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omments5.xml" ContentType="application/vnd.openxmlformats-officedocument.spreadsheetml.comments+xml"/>
  <Override PartName="/xl/drawings/drawing14.xml" ContentType="application/vnd.openxmlformats-officedocument.drawing+xml"/>
  <Override PartName="/xl/comments6.xml" ContentType="application/vnd.openxmlformats-officedocument.spreadsheetml.comments+xml"/>
  <Override PartName="/xl/drawings/drawing15.xml" ContentType="application/vnd.openxmlformats-officedocument.drawing+xml"/>
  <Override PartName="/xl/comments7.xml" ContentType="application/vnd.openxmlformats-officedocument.spreadsheetml.comments+xml"/>
  <Override PartName="/xl/drawings/drawing16.xml" ContentType="application/vnd.openxmlformats-officedocument.drawing+xml"/>
  <Override PartName="/xl/comments8.xml" ContentType="application/vnd.openxmlformats-officedocument.spreadsheetml.comments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omments10.xml" ContentType="application/vnd.openxmlformats-officedocument.spreadsheetml.comments+xml"/>
  <Override PartName="/xl/drawings/drawing22.xml" ContentType="application/vnd.openxmlformats-officedocument.drawing+xml"/>
  <Override PartName="/xl/comments11.xml" ContentType="application/vnd.openxmlformats-officedocument.spreadsheetml.comments+xml"/>
  <Override PartName="/xl/drawings/drawing23.xml" ContentType="application/vnd.openxmlformats-officedocument.drawing+xml"/>
  <Override PartName="/xl/comments12.xml" ContentType="application/vnd.openxmlformats-officedocument.spreadsheetml.comments+xml"/>
  <Override PartName="/xl/drawings/drawing24.xml" ContentType="application/vnd.openxmlformats-officedocument.drawing+xml"/>
  <Override PartName="/xl/comments13.xml" ContentType="application/vnd.openxmlformats-officedocument.spreadsheetml.comments+xml"/>
  <Override PartName="/xl/drawings/drawing25.xml" ContentType="application/vnd.openxmlformats-officedocument.drawing+xml"/>
  <Override PartName="/xl/comments14.xml" ContentType="application/vnd.openxmlformats-officedocument.spreadsheetml.comments+xml"/>
  <Override PartName="/xl/drawings/drawing26.xml" ContentType="application/vnd.openxmlformats-officedocument.drawing+xml"/>
  <Override PartName="/xl/comments15.xml" ContentType="application/vnd.openxmlformats-officedocument.spreadsheetml.comments+xml"/>
  <Override PartName="/xl/drawings/drawing27.xml" ContentType="application/vnd.openxmlformats-officedocument.drawing+xml"/>
  <Override PartName="/xl/comments16.xml" ContentType="application/vnd.openxmlformats-officedocument.spreadsheetml.comments+xml"/>
  <Override PartName="/xl/drawings/drawing28.xml" ContentType="application/vnd.openxmlformats-officedocument.drawing+xml"/>
  <Override PartName="/xl/comments17.xml" ContentType="application/vnd.openxmlformats-officedocument.spreadsheetml.comments+xml"/>
  <Override PartName="/xl/drawings/drawing29.xml" ContentType="application/vnd.openxmlformats-officedocument.drawing+xml"/>
  <Override PartName="/xl/comments18.xml" ContentType="application/vnd.openxmlformats-officedocument.spreadsheetml.comments+xml"/>
  <Override PartName="/xl/drawings/drawing30.xml" ContentType="application/vnd.openxmlformats-officedocument.drawing+xml"/>
  <Override PartName="/xl/comments19.xml" ContentType="application/vnd.openxmlformats-officedocument.spreadsheetml.comments+xml"/>
  <Override PartName="/xl/drawings/drawing31.xml" ContentType="application/vnd.openxmlformats-officedocument.drawing+xml"/>
  <Override PartName="/xl/comments20.xml" ContentType="application/vnd.openxmlformats-officedocument.spreadsheetml.comments+xml"/>
  <Override PartName="/xl/drawings/drawing32.xml" ContentType="application/vnd.openxmlformats-officedocument.drawing+xml"/>
  <Override PartName="/xl/comments21.xml" ContentType="application/vnd.openxmlformats-officedocument.spreadsheetml.comments+xml"/>
  <Override PartName="/xl/drawings/drawing33.xml" ContentType="application/vnd.openxmlformats-officedocument.drawing+xml"/>
  <Override PartName="/xl/comments22.xml" ContentType="application/vnd.openxmlformats-officedocument.spreadsheetml.comments+xml"/>
  <Override PartName="/xl/drawings/drawing34.xml" ContentType="application/vnd.openxmlformats-officedocument.drawing+xml"/>
  <Override PartName="/xl/comments23.xml" ContentType="application/vnd.openxmlformats-officedocument.spreadsheetml.comments+xml"/>
  <Override PartName="/xl/drawings/drawing35.xml" ContentType="application/vnd.openxmlformats-officedocument.drawing+xml"/>
  <Override PartName="/xl/comments24.xml" ContentType="application/vnd.openxmlformats-officedocument.spreadsheetml.comments+xml"/>
  <Override PartName="/xl/drawings/drawing3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stafaUgurCEYLAN\Desktop\Projelerim\Bpet_Portal\BPET_PORTAL\BPET_PORTAL\bin\Debug\"/>
    </mc:Choice>
  </mc:AlternateContent>
  <xr:revisionPtr revIDLastSave="0" documentId="13_ncr:1_{FDE8C485-A044-4749-BE9A-0CD7E76E8245}" xr6:coauthVersionLast="47" xr6:coauthVersionMax="47" xr10:uidLastSave="{00000000-0000-0000-0000-000000000000}"/>
  <bookViews>
    <workbookView xWindow="5640" yWindow="3360" windowWidth="17280" windowHeight="8880" tabRatio="914" firstSheet="24" activeTab="29" xr2:uid="{00000000-000D-0000-FFFF-FFFF00000000}"/>
  </bookViews>
  <sheets>
    <sheet name="Balpet_İçindekiler" sheetId="60" state="hidden" r:id="rId1"/>
    <sheet name="vvv" sheetId="87" state="hidden" r:id="rId2"/>
    <sheet name="Kapak1" sheetId="48" r:id="rId3"/>
    <sheet name="Sayfa2" sheetId="89" r:id="rId4"/>
    <sheet name="Onay" sheetId="64" r:id="rId5"/>
    <sheet name="Nakit Akım" sheetId="81" state="hidden" r:id="rId6"/>
    <sheet name="Diğer Gelir Ve Giderler 2024" sheetId="84" r:id="rId7"/>
    <sheet name="Bütçe 2024 Kabuller" sheetId="82" r:id="rId8"/>
    <sheet name="Yatırım Konsolide" sheetId="54" state="hidden" r:id="rId9"/>
    <sheet name="Yatırım Bütçesi_2024 LPG" sheetId="88" r:id="rId10"/>
    <sheet name="Yatırım Bütçesi_2024" sheetId="73" r:id="rId11"/>
    <sheet name="BPET Konsolide" sheetId="46" r:id="rId12"/>
    <sheet name="Perakende Özet M3" sheetId="39" state="hidden" r:id="rId13"/>
    <sheet name="Yatırım Bütçesi 2" sheetId="58" state="hidden" r:id="rId14"/>
    <sheet name="NOTLAR" sheetId="86" state="hidden" r:id="rId15"/>
    <sheet name="Genel Yönetim Giderleri" sheetId="44" r:id="rId16"/>
    <sheet name=" Satış Konsolide" sheetId="28" r:id="rId17"/>
    <sheet name="Pazarlama&amp;Satış(d+a) GMY+MDR" sheetId="56" r:id="rId18"/>
    <sheet name="MADENİ YAĞ GİDER BÜTÇESİ" sheetId="43" r:id="rId19"/>
    <sheet name="İHALE" sheetId="29" r:id="rId20"/>
    <sheet name="ENDÜSTRİYEL" sheetId="36" r:id="rId21"/>
    <sheet name="DAĞITICI" sheetId="25" r:id="rId22"/>
    <sheet name="Deniz Satış &amp; Konsolide" sheetId="63" r:id="rId23"/>
    <sheet name="Ötv'siz Deniz" sheetId="26" r:id="rId24"/>
    <sheet name="Ötv'li Deniz" sheetId="27" r:id="rId25"/>
    <sheet name="DAĞITICI-ÖTV'SİZ-İHALE HEDEF" sheetId="70" r:id="rId26"/>
    <sheet name="SAHA AYLIK ÜRÜN M3" sheetId="80" r:id="rId27"/>
    <sheet name="Alış Fiyat" sheetId="33" r:id="rId28"/>
    <sheet name="Satış Fiyat" sheetId="34" r:id="rId29"/>
    <sheet name="M.Yağ_Adbulue" sheetId="68" r:id="rId30"/>
    <sheet name="Yatırım Bütçesi" sheetId="53" state="hidden" r:id="rId31"/>
    <sheet name="Balpet Kredi" sheetId="59" state="hidden" r:id="rId32"/>
    <sheet name="Satış Kanalları M3" sheetId="2" r:id="rId33"/>
    <sheet name="İskonto Oranı" sheetId="83" state="hidden" r:id="rId34"/>
    <sheet name="M.Yağ Alış Fiyat" sheetId="69" r:id="rId35"/>
    <sheet name="Perakende" sheetId="20" r:id="rId36"/>
    <sheet name="Mersin" sheetId="4" r:id="rId37"/>
    <sheet name="Ankara" sheetId="6" r:id="rId38"/>
    <sheet name="Antalya" sheetId="5" r:id="rId39"/>
    <sheet name="Konya" sheetId="10" r:id="rId40"/>
    <sheet name="Trakya" sheetId="7" r:id="rId41"/>
    <sheet name="Kayseri" sheetId="19" r:id="rId42"/>
    <sheet name="Diyarbakır" sheetId="9" r:id="rId43"/>
    <sheet name="Erzurum" sheetId="11" r:id="rId44"/>
    <sheet name="Marmara2" sheetId="12" r:id="rId45"/>
    <sheet name="Ege" sheetId="14" r:id="rId46"/>
    <sheet name="Malatya" sheetId="17" r:id="rId47"/>
    <sheet name="Marmara1" sheetId="13" r:id="rId48"/>
    <sheet name="Karadeniz" sheetId="18" r:id="rId49"/>
    <sheet name="Şanlıurfa" sheetId="15" r:id="rId50"/>
    <sheet name="Saha-ikmal" sheetId="40" state="hidden" r:id="rId51"/>
    <sheet name="Fiyatlar_Onur" sheetId="37" state="hidden" r:id="rId52"/>
    <sheet name="İskonto Oran" sheetId="35" state="hidden" r:id="rId53"/>
    <sheet name="M.YAĞ" sheetId="22" state="hidden" r:id="rId54"/>
    <sheet name="Lpg Alış Fiyat" sheetId="41" state="hidden" r:id="rId55"/>
    <sheet name="Satış Miktarları" sheetId="79" state="hidden" r:id="rId56"/>
    <sheet name="Sayfa1" sheetId="85" state="hidden" r:id="rId57"/>
  </sheets>
  <externalReferences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____MUK1">[1]AKARYAKIT!#REF!</definedName>
    <definedName name="____MUK2">[1]AKARYAKIT!#REF!</definedName>
    <definedName name="___MUK1" localSheetId="0">[2]AKARYAKIT!#REF!</definedName>
    <definedName name="___MUK1" localSheetId="11">[2]AKARYAKIT!#REF!</definedName>
    <definedName name="___MUK1" localSheetId="22">[2]AKARYAKIT!#REF!</definedName>
    <definedName name="___MUK1" localSheetId="29">[3]AKARYAKIT!#REF!</definedName>
    <definedName name="___MUK1" localSheetId="5">[4]AKARYAKIT!#REF!</definedName>
    <definedName name="___MUK1" localSheetId="12">[2]AKARYAKIT!#REF!</definedName>
    <definedName name="___MUK1">[2]AKARYAKIT!#REF!</definedName>
    <definedName name="___MUK2" localSheetId="0">[2]AKARYAKIT!#REF!</definedName>
    <definedName name="___MUK2" localSheetId="11">[2]AKARYAKIT!#REF!</definedName>
    <definedName name="___MUK2" localSheetId="22">[2]AKARYAKIT!#REF!</definedName>
    <definedName name="___MUK2" localSheetId="29">[3]AKARYAKIT!#REF!</definedName>
    <definedName name="___MUK2" localSheetId="5">[4]AKARYAKIT!#REF!</definedName>
    <definedName name="___MUK2" localSheetId="12">[2]AKARYAKIT!#REF!</definedName>
    <definedName name="___MUK2">[2]AKARYAKIT!#REF!</definedName>
    <definedName name="__MUK1" localSheetId="0">[2]AKARYAKIT!#REF!</definedName>
    <definedName name="__MUK1" localSheetId="11">[2]AKARYAKIT!#REF!</definedName>
    <definedName name="__MUK1" localSheetId="22">[2]AKARYAKIT!#REF!</definedName>
    <definedName name="__MUK1" localSheetId="29">[3]AKARYAKIT!#REF!</definedName>
    <definedName name="__MUK1" localSheetId="5">[4]AKARYAKIT!#REF!</definedName>
    <definedName name="__MUK1" localSheetId="12">[2]AKARYAKIT!#REF!</definedName>
    <definedName name="__MUK1">[2]AKARYAKIT!#REF!</definedName>
    <definedName name="__MUK2" localSheetId="0">[2]AKARYAKIT!#REF!</definedName>
    <definedName name="__MUK2" localSheetId="11">[2]AKARYAKIT!#REF!</definedName>
    <definedName name="__MUK2" localSheetId="22">[2]AKARYAKIT!#REF!</definedName>
    <definedName name="__MUK2" localSheetId="29">[3]AKARYAKIT!#REF!</definedName>
    <definedName name="__MUK2" localSheetId="5">[4]AKARYAKIT!#REF!</definedName>
    <definedName name="__MUK2" localSheetId="12">[2]AKARYAKIT!#REF!</definedName>
    <definedName name="__MUK2">[2]AKARYAKIT!#REF!</definedName>
    <definedName name="_MUK1" localSheetId="0">[5]AKARYAKIT!#REF!</definedName>
    <definedName name="_MUK1" localSheetId="11">[5]AKARYAKIT!#REF!</definedName>
    <definedName name="_MUK1" localSheetId="22">[5]AKARYAKIT!#REF!</definedName>
    <definedName name="_MUK1" localSheetId="29">[6]AKARYAKIT!#REF!</definedName>
    <definedName name="_MUK1" localSheetId="5">[7]AKARYAKIT!#REF!</definedName>
    <definedName name="_MUK1" localSheetId="12">[5]AKARYAKIT!#REF!</definedName>
    <definedName name="_MUK1">[5]AKARYAKIT!#REF!</definedName>
    <definedName name="_MUK2" localSheetId="0">[5]AKARYAKIT!#REF!</definedName>
    <definedName name="_MUK2" localSheetId="11">[5]AKARYAKIT!#REF!</definedName>
    <definedName name="_MUK2" localSheetId="22">[5]AKARYAKIT!#REF!</definedName>
    <definedName name="_MUK2" localSheetId="29">[6]AKARYAKIT!#REF!</definedName>
    <definedName name="_MUK2" localSheetId="5">[7]AKARYAKIT!#REF!</definedName>
    <definedName name="_MUK2" localSheetId="12">[5]AKARYAKIT!#REF!</definedName>
    <definedName name="_MUK2">[5]AKARYAKIT!#REF!</definedName>
    <definedName name="_xlnm._FilterDatabase" localSheetId="51" hidden="1">Fiyatlar_Onur!$A$6:$N$56</definedName>
    <definedName name="_xlnm._FilterDatabase" localSheetId="50" hidden="1">'Saha-ikmal'!$A$3:$B$20</definedName>
    <definedName name="a" localSheetId="0">[8]AKARYAKIT!#REF!</definedName>
    <definedName name="a" localSheetId="11">[8]AKARYAKIT!#REF!</definedName>
    <definedName name="a" localSheetId="22">[8]AKARYAKIT!#REF!</definedName>
    <definedName name="a" localSheetId="51">[8]AKARYAKIT!#REF!</definedName>
    <definedName name="a" localSheetId="5">[8]AKARYAKIT!#REF!</definedName>
    <definedName name="a" localSheetId="12">[8]AKARYAKIT!#REF!</definedName>
    <definedName name="a">[8]AKARYAKIT!#REF!</definedName>
    <definedName name="AA" localSheetId="0">[5]AKARYAKIT!#REF!</definedName>
    <definedName name="AA" localSheetId="11">[5]AKARYAKIT!#REF!</definedName>
    <definedName name="AA" localSheetId="22">[5]AKARYAKIT!#REF!</definedName>
    <definedName name="AA" localSheetId="51">[2]AKARYAKIT!#REF!</definedName>
    <definedName name="AA" localSheetId="29">[6]AKARYAKIT!#REF!</definedName>
    <definedName name="AA" localSheetId="5">[7]AKARYAKIT!#REF!</definedName>
    <definedName name="AA" localSheetId="12">[5]AKARYAKIT!#REF!</definedName>
    <definedName name="AA">[5]AKARYAKIT!#REF!</definedName>
    <definedName name="Baskı_alma" localSheetId="0">[5]AKARYAKIT!#REF!</definedName>
    <definedName name="Baskı_alma" localSheetId="11">[5]AKARYAKIT!#REF!</definedName>
    <definedName name="Baskı_alma" localSheetId="22">[5]AKARYAKIT!#REF!</definedName>
    <definedName name="Baskı_alma" localSheetId="51">[2]AKARYAKIT!#REF!</definedName>
    <definedName name="Baskı_alma" localSheetId="29">[6]AKARYAKIT!#REF!</definedName>
    <definedName name="Baskı_alma" localSheetId="5">[7]AKARYAKIT!#REF!</definedName>
    <definedName name="Baskı_alma" localSheetId="12">[5]AKARYAKIT!#REF!</definedName>
    <definedName name="Baskı_alma">[5]AKARYAKIT!#REF!</definedName>
    <definedName name="BB" localSheetId="0">[5]AKARYAKIT!#REF!</definedName>
    <definedName name="BB" localSheetId="11">[5]AKARYAKIT!#REF!</definedName>
    <definedName name="BB" localSheetId="22">[5]AKARYAKIT!#REF!</definedName>
    <definedName name="BB" localSheetId="51">[2]AKARYAKIT!#REF!</definedName>
    <definedName name="BB" localSheetId="29">[6]AKARYAKIT!#REF!</definedName>
    <definedName name="BB" localSheetId="5">[7]AKARYAKIT!#REF!</definedName>
    <definedName name="BB" localSheetId="12">[5]AKARYAKIT!#REF!</definedName>
    <definedName name="BB">[5]AKARYAKIT!#REF!</definedName>
    <definedName name="BUYUKLIST" localSheetId="0">[5]AKARYAKIT!#REF!</definedName>
    <definedName name="BUYUKLIST" localSheetId="11">[5]AKARYAKIT!#REF!</definedName>
    <definedName name="BUYUKLIST" localSheetId="22">[5]AKARYAKIT!#REF!</definedName>
    <definedName name="BUYUKLIST" localSheetId="51">[2]AKARYAKIT!#REF!</definedName>
    <definedName name="BUYUKLIST" localSheetId="29">[6]AKARYAKIT!#REF!</definedName>
    <definedName name="BUYUKLIST" localSheetId="5">[7]AKARYAKIT!#REF!</definedName>
    <definedName name="BUYUKLIST" localSheetId="12">[5]AKARYAKIT!#REF!</definedName>
    <definedName name="BUYUKLIST">[5]AKARYAKIT!#REF!</definedName>
    <definedName name="FİYAT2" localSheetId="0">[5]AKARYAKIT!#REF!</definedName>
    <definedName name="FİYAT2" localSheetId="11">[5]AKARYAKIT!#REF!</definedName>
    <definedName name="FİYAT2" localSheetId="22">[5]AKARYAKIT!#REF!</definedName>
    <definedName name="FİYAT2" localSheetId="51">[2]AKARYAKIT!#REF!</definedName>
    <definedName name="FİYAT2" localSheetId="29">[6]AKARYAKIT!#REF!</definedName>
    <definedName name="FİYAT2" localSheetId="5">[7]AKARYAKIT!#REF!</definedName>
    <definedName name="FİYAT2" localSheetId="12">[5]AKARYAKIT!#REF!</definedName>
    <definedName name="FİYAT2">[5]AKARYAKIT!#REF!</definedName>
    <definedName name="FİYATLPG" localSheetId="0">#REF!</definedName>
    <definedName name="FİYATLPG" localSheetId="11">#REF!</definedName>
    <definedName name="FİYATLPG" localSheetId="22">#REF!</definedName>
    <definedName name="FİYATLPG" localSheetId="51">#REF!</definedName>
    <definedName name="FİYATLPG" localSheetId="29">#REF!</definedName>
    <definedName name="FİYATLPG" localSheetId="5">#REF!</definedName>
    <definedName name="FİYATLPG" localSheetId="12">#REF!</definedName>
    <definedName name="FİYATLPG">#REF!</definedName>
    <definedName name="IHMUK3" localSheetId="0">[5]AKARYAKIT!#REF!</definedName>
    <definedName name="IHMUK3" localSheetId="11">[5]AKARYAKIT!#REF!</definedName>
    <definedName name="IHMUK3" localSheetId="22">[5]AKARYAKIT!#REF!</definedName>
    <definedName name="IHMUK3" localSheetId="51">[2]AKARYAKIT!#REF!</definedName>
    <definedName name="IHMUK3" localSheetId="29">[6]AKARYAKIT!#REF!</definedName>
    <definedName name="IHMUK3" localSheetId="5">[7]AKARYAKIT!#REF!</definedName>
    <definedName name="IHMUK3" localSheetId="12">[5]AKARYAKIT!#REF!</definedName>
    <definedName name="IHMUK3">[5]AKARYAKIT!#REF!</definedName>
    <definedName name="IHRAKIYE" localSheetId="0">[5]AKARYAKIT!#REF!</definedName>
    <definedName name="IHRAKIYE" localSheetId="11">[5]AKARYAKIT!#REF!</definedName>
    <definedName name="IHRAKIYE" localSheetId="22">[5]AKARYAKIT!#REF!</definedName>
    <definedName name="IHRAKIYE" localSheetId="51">[2]AKARYAKIT!#REF!</definedName>
    <definedName name="IHRAKIYE" localSheetId="29">[6]AKARYAKIT!#REF!</definedName>
    <definedName name="IHRAKIYE" localSheetId="5">[7]AKARYAKIT!#REF!</definedName>
    <definedName name="IHRAKIYE" localSheetId="12">[5]AKARYAKIT!#REF!</definedName>
    <definedName name="IHRAKIYE">[5]AKARYAKIT!#REF!</definedName>
    <definedName name="IHRAKIYEMUK" localSheetId="0">[5]AKARYAKIT!#REF!</definedName>
    <definedName name="IHRAKIYEMUK" localSheetId="11">[5]AKARYAKIT!#REF!</definedName>
    <definedName name="IHRAKIYEMUK" localSheetId="22">[5]AKARYAKIT!#REF!</definedName>
    <definedName name="IHRAKIYEMUK" localSheetId="51">[2]AKARYAKIT!#REF!</definedName>
    <definedName name="IHRAKIYEMUK" localSheetId="29">[6]AKARYAKIT!#REF!</definedName>
    <definedName name="IHRAKIYEMUK" localSheetId="5">[7]AKARYAKIT!#REF!</definedName>
    <definedName name="IHRAKIYEMUK" localSheetId="12">[5]AKARYAKIT!#REF!</definedName>
    <definedName name="IHRAKIYEMUK">[5]AKARYAKIT!#REF!</definedName>
    <definedName name="LL" localSheetId="0">#REF!</definedName>
    <definedName name="LL" localSheetId="11">#REF!</definedName>
    <definedName name="LL" localSheetId="22">#REF!</definedName>
    <definedName name="LL" localSheetId="51">#REF!</definedName>
    <definedName name="LL" localSheetId="29">#REF!</definedName>
    <definedName name="LL" localSheetId="5">#REF!</definedName>
    <definedName name="LL" localSheetId="12">#REF!</definedName>
    <definedName name="LL">#REF!</definedName>
    <definedName name="LPGMUK" localSheetId="0">#REF!</definedName>
    <definedName name="LPGMUK" localSheetId="11">#REF!</definedName>
    <definedName name="LPGMUK" localSheetId="22">#REF!</definedName>
    <definedName name="LPGMUK" localSheetId="51">#REF!</definedName>
    <definedName name="LPGMUK" localSheetId="29">#REF!</definedName>
    <definedName name="LPGMUK" localSheetId="5">#REF!</definedName>
    <definedName name="LPGMUK" localSheetId="12">#REF!</definedName>
    <definedName name="LPGMUK">#REF!</definedName>
    <definedName name="POMPA" localSheetId="0">[5]AKARYAKIT!#REF!</definedName>
    <definedName name="POMPA" localSheetId="11">[5]AKARYAKIT!#REF!</definedName>
    <definedName name="POMPA" localSheetId="22">[5]AKARYAKIT!#REF!</definedName>
    <definedName name="POMPA" localSheetId="51">[2]AKARYAKIT!#REF!</definedName>
    <definedName name="POMPA" localSheetId="29">[6]AKARYAKIT!#REF!</definedName>
    <definedName name="POMPA" localSheetId="5">[7]AKARYAKIT!#REF!</definedName>
    <definedName name="POMPA" localSheetId="12">[5]AKARYAKIT!#REF!</definedName>
    <definedName name="POMPA">[5]AKARYAKIT!#REF!</definedName>
    <definedName name="_xlnm.Print_Area" localSheetId="16">' Satış Konsolide'!$A$1:$Q$187</definedName>
    <definedName name="_xlnm.Print_Area" localSheetId="27">'Alış Fiyat'!$A$1:$Q$358</definedName>
    <definedName name="_xlnm.Print_Area" localSheetId="37">Ankara!$A$1:$Q$187</definedName>
    <definedName name="_xlnm.Print_Area" localSheetId="38">Antalya!$A$1:$Q$187</definedName>
    <definedName name="_xlnm.Print_Area" localSheetId="0">Balpet_İçindekiler!$B$1:$K$50</definedName>
    <definedName name="_xlnm.Print_Area" localSheetId="11">'BPET Konsolide'!$A$1:$Q$317</definedName>
    <definedName name="_xlnm.Print_Area" localSheetId="7">'Bütçe 2024 Kabuller'!$A$1:$N$20</definedName>
    <definedName name="_xlnm.Print_Area" localSheetId="21">DAĞITICI!$A$1:$Q$187</definedName>
    <definedName name="_xlnm.Print_Area" localSheetId="22">'Deniz Satış &amp; Konsolide'!$A$1:$Q$187</definedName>
    <definedName name="_xlnm.Print_Area" localSheetId="6">'Diğer Gelir Ve Giderler 2024'!$A$1:$AC$83</definedName>
    <definedName name="_xlnm.Print_Area" localSheetId="42">Diyarbakır!$A$1:$Q$187</definedName>
    <definedName name="_xlnm.Print_Area" localSheetId="45">Ege!$A$1:$Q$187</definedName>
    <definedName name="_xlnm.Print_Area" localSheetId="20">ENDÜSTRİYEL!$A$1:$Q$187</definedName>
    <definedName name="_xlnm.Print_Area" localSheetId="43">Erzurum!$A$1:$Q$187</definedName>
    <definedName name="_xlnm.Print_Area" localSheetId="51">Fiyatlar_Onur!$A$1:$L$62</definedName>
    <definedName name="_xlnm.Print_Area" localSheetId="15">'Genel Yönetim Giderleri'!$A$1:$Q$37</definedName>
    <definedName name="_xlnm.Print_Area" localSheetId="19">İHALE!$A$1:$Q$187</definedName>
    <definedName name="_xlnm.Print_Area" localSheetId="2">Kapak1!$C:$L</definedName>
    <definedName name="_xlnm.Print_Area" localSheetId="48">Karadeniz!$A$1:$Q$187</definedName>
    <definedName name="_xlnm.Print_Area" localSheetId="41">Kayseri!$A$1:$Q$187</definedName>
    <definedName name="_xlnm.Print_Area" localSheetId="39">Konya!$A$1:$Q$187</definedName>
    <definedName name="_xlnm.Print_Area" localSheetId="53">M.YAĞ!$A$2:$T$76</definedName>
    <definedName name="_xlnm.Print_Area" localSheetId="29">M.Yağ_Adbulue!$A$2:$P$36</definedName>
    <definedName name="_xlnm.Print_Area" localSheetId="18">'MADENİ YAĞ GİDER BÜTÇESİ'!$A$1:$Q$37</definedName>
    <definedName name="_xlnm.Print_Area" localSheetId="46">Malatya!$A$1:$Q$187</definedName>
    <definedName name="_xlnm.Print_Area" localSheetId="47">Marmara1!$A$1:$Q$187</definedName>
    <definedName name="_xlnm.Print_Area" localSheetId="44">Marmara2!$A$1:$Q$187</definedName>
    <definedName name="_xlnm.Print_Area" localSheetId="36">Mersin!$A$2:$Q$187</definedName>
    <definedName name="_xlnm.Print_Area" localSheetId="5">'Nakit Akım'!$A$1:$N$56</definedName>
    <definedName name="_xlnm.Print_Area" localSheetId="4">Onay!$B$1:$Q$56</definedName>
    <definedName name="_xlnm.Print_Area" localSheetId="24">'Ötv''li Deniz'!$A$1:$Q$187</definedName>
    <definedName name="_xlnm.Print_Area" localSheetId="23">'Ötv''siz Deniz'!$A$1:$Q$190</definedName>
    <definedName name="_xlnm.Print_Area" localSheetId="35">Perakende!$A$1:$Q$187</definedName>
    <definedName name="_xlnm.Print_Area" localSheetId="12">'Perakende Özet M3'!$A$1:$Q$23</definedName>
    <definedName name="_xlnm.Print_Area" localSheetId="28">'Satış Fiyat'!$A$1:$Q$358</definedName>
    <definedName name="_xlnm.Print_Area" localSheetId="49">Şanlıurfa!$A$1:$Q$187</definedName>
    <definedName name="_xlnm.Print_Area" localSheetId="40">Trakya!$A$1:$Q$187</definedName>
    <definedName name="_xlnm.Print_Titles" localSheetId="27">'Alış Fiyat'!#REF!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3" i="19" l="1"/>
  <c r="B88" i="10"/>
  <c r="B35" i="84"/>
  <c r="C35" i="84"/>
  <c r="D35" i="84"/>
  <c r="E35" i="84"/>
  <c r="F35" i="84"/>
  <c r="G35" i="84"/>
  <c r="H35" i="84"/>
  <c r="I35" i="84"/>
  <c r="J35" i="84"/>
  <c r="K35" i="84"/>
  <c r="L35" i="84"/>
  <c r="M35" i="84"/>
  <c r="C5" i="43"/>
  <c r="E353" i="34"/>
  <c r="F353" i="34"/>
  <c r="G353" i="34"/>
  <c r="H353" i="34"/>
  <c r="I353" i="34"/>
  <c r="J353" i="34"/>
  <c r="K353" i="34"/>
  <c r="L353" i="34"/>
  <c r="M353" i="34"/>
  <c r="N353" i="34"/>
  <c r="O353" i="34"/>
  <c r="E354" i="34"/>
  <c r="F354" i="34"/>
  <c r="G354" i="34"/>
  <c r="H354" i="34"/>
  <c r="I354" i="34"/>
  <c r="J354" i="34"/>
  <c r="K354" i="34"/>
  <c r="L354" i="34"/>
  <c r="M354" i="34"/>
  <c r="N354" i="34"/>
  <c r="O354" i="34"/>
  <c r="D354" i="34"/>
  <c r="D353" i="34"/>
  <c r="E330" i="34"/>
  <c r="F330" i="34"/>
  <c r="G330" i="34"/>
  <c r="H330" i="34"/>
  <c r="I330" i="34"/>
  <c r="J330" i="34"/>
  <c r="K330" i="34"/>
  <c r="L330" i="34"/>
  <c r="M330" i="34"/>
  <c r="N330" i="34"/>
  <c r="O330" i="34"/>
  <c r="E331" i="34"/>
  <c r="F331" i="34"/>
  <c r="G331" i="34"/>
  <c r="H331" i="34"/>
  <c r="I331" i="34"/>
  <c r="J331" i="34"/>
  <c r="K331" i="34"/>
  <c r="L331" i="34"/>
  <c r="M331" i="34"/>
  <c r="N331" i="34"/>
  <c r="O331" i="34"/>
  <c r="D331" i="34"/>
  <c r="D330" i="34"/>
  <c r="E306" i="34"/>
  <c r="F306" i="34"/>
  <c r="G306" i="34"/>
  <c r="H306" i="34"/>
  <c r="I306" i="34"/>
  <c r="J306" i="34"/>
  <c r="K306" i="34"/>
  <c r="L306" i="34"/>
  <c r="M306" i="34"/>
  <c r="N306" i="34"/>
  <c r="O306" i="34"/>
  <c r="E307" i="34"/>
  <c r="F307" i="34"/>
  <c r="G307" i="34"/>
  <c r="H307" i="34"/>
  <c r="I307" i="34"/>
  <c r="J307" i="34"/>
  <c r="K307" i="34"/>
  <c r="L307" i="34"/>
  <c r="M307" i="34"/>
  <c r="N307" i="34"/>
  <c r="O307" i="34"/>
  <c r="D307" i="34"/>
  <c r="D306" i="34"/>
  <c r="E282" i="34"/>
  <c r="F282" i="34"/>
  <c r="G282" i="34"/>
  <c r="H282" i="34"/>
  <c r="I282" i="34"/>
  <c r="J282" i="34"/>
  <c r="K282" i="34"/>
  <c r="L282" i="34"/>
  <c r="M282" i="34"/>
  <c r="N282" i="34"/>
  <c r="O282" i="34"/>
  <c r="E283" i="34"/>
  <c r="F283" i="34"/>
  <c r="G283" i="34"/>
  <c r="H283" i="34"/>
  <c r="I283" i="34"/>
  <c r="J283" i="34"/>
  <c r="K283" i="34"/>
  <c r="L283" i="34"/>
  <c r="M283" i="34"/>
  <c r="N283" i="34"/>
  <c r="O283" i="34"/>
  <c r="D283" i="34"/>
  <c r="D282" i="34"/>
  <c r="E258" i="34"/>
  <c r="F258" i="34"/>
  <c r="G258" i="34"/>
  <c r="H258" i="34"/>
  <c r="I258" i="34"/>
  <c r="J258" i="34"/>
  <c r="K258" i="34"/>
  <c r="L258" i="34"/>
  <c r="M258" i="34"/>
  <c r="N258" i="34"/>
  <c r="O258" i="34"/>
  <c r="E259" i="34"/>
  <c r="F259" i="34"/>
  <c r="G259" i="34"/>
  <c r="H259" i="34"/>
  <c r="I259" i="34"/>
  <c r="J259" i="34"/>
  <c r="K259" i="34"/>
  <c r="L259" i="34"/>
  <c r="M259" i="34"/>
  <c r="N259" i="34"/>
  <c r="O259" i="34"/>
  <c r="D259" i="34"/>
  <c r="D258" i="34"/>
  <c r="E234" i="34"/>
  <c r="F234" i="34"/>
  <c r="G234" i="34"/>
  <c r="H234" i="34"/>
  <c r="I234" i="34"/>
  <c r="J234" i="34"/>
  <c r="K234" i="34"/>
  <c r="L234" i="34"/>
  <c r="M234" i="34"/>
  <c r="N234" i="34"/>
  <c r="O234" i="34"/>
  <c r="E235" i="34"/>
  <c r="F235" i="34"/>
  <c r="G235" i="34"/>
  <c r="H235" i="34"/>
  <c r="I235" i="34"/>
  <c r="J235" i="34"/>
  <c r="K235" i="34"/>
  <c r="L235" i="34"/>
  <c r="M235" i="34"/>
  <c r="N235" i="34"/>
  <c r="O235" i="34"/>
  <c r="D235" i="34"/>
  <c r="D234" i="34"/>
  <c r="E210" i="34"/>
  <c r="F210" i="34"/>
  <c r="G210" i="34"/>
  <c r="H210" i="34"/>
  <c r="I210" i="34"/>
  <c r="J210" i="34"/>
  <c r="K210" i="34"/>
  <c r="L210" i="34"/>
  <c r="M210" i="34"/>
  <c r="N210" i="34"/>
  <c r="O210" i="34"/>
  <c r="E211" i="34"/>
  <c r="F211" i="34"/>
  <c r="G211" i="34"/>
  <c r="H211" i="34"/>
  <c r="I211" i="34"/>
  <c r="J211" i="34"/>
  <c r="K211" i="34"/>
  <c r="L211" i="34"/>
  <c r="M211" i="34"/>
  <c r="N211" i="34"/>
  <c r="O211" i="34"/>
  <c r="D211" i="34"/>
  <c r="D210" i="34"/>
  <c r="E186" i="34"/>
  <c r="F186" i="34"/>
  <c r="G186" i="34"/>
  <c r="H186" i="34"/>
  <c r="I186" i="34"/>
  <c r="J186" i="34"/>
  <c r="K186" i="34"/>
  <c r="L186" i="34"/>
  <c r="M186" i="34"/>
  <c r="N186" i="34"/>
  <c r="O186" i="34"/>
  <c r="E187" i="34"/>
  <c r="F187" i="34"/>
  <c r="G187" i="34"/>
  <c r="H187" i="34"/>
  <c r="I187" i="34"/>
  <c r="J187" i="34"/>
  <c r="K187" i="34"/>
  <c r="L187" i="34"/>
  <c r="M187" i="34"/>
  <c r="N187" i="34"/>
  <c r="O187" i="34"/>
  <c r="D187" i="34"/>
  <c r="D186" i="34"/>
  <c r="E162" i="34"/>
  <c r="F162" i="34"/>
  <c r="G162" i="34"/>
  <c r="H162" i="34"/>
  <c r="I162" i="34"/>
  <c r="J162" i="34"/>
  <c r="K162" i="34"/>
  <c r="L162" i="34"/>
  <c r="M162" i="34"/>
  <c r="N162" i="34"/>
  <c r="O162" i="34"/>
  <c r="E163" i="34"/>
  <c r="F163" i="34"/>
  <c r="G163" i="34"/>
  <c r="H163" i="34"/>
  <c r="I163" i="34"/>
  <c r="J163" i="34"/>
  <c r="K163" i="34"/>
  <c r="L163" i="34"/>
  <c r="M163" i="34"/>
  <c r="N163" i="34"/>
  <c r="O163" i="34"/>
  <c r="D163" i="34"/>
  <c r="D162" i="34"/>
  <c r="E138" i="34"/>
  <c r="F138" i="34"/>
  <c r="G138" i="34"/>
  <c r="H138" i="34"/>
  <c r="I138" i="34"/>
  <c r="J138" i="34"/>
  <c r="K138" i="34"/>
  <c r="L138" i="34"/>
  <c r="M138" i="34"/>
  <c r="N138" i="34"/>
  <c r="O138" i="34"/>
  <c r="E139" i="34"/>
  <c r="F139" i="34"/>
  <c r="G139" i="34"/>
  <c r="H139" i="34"/>
  <c r="I139" i="34"/>
  <c r="J139" i="34"/>
  <c r="K139" i="34"/>
  <c r="L139" i="34"/>
  <c r="M139" i="34"/>
  <c r="N139" i="34"/>
  <c r="O139" i="34"/>
  <c r="D139" i="34"/>
  <c r="D138" i="34"/>
  <c r="E114" i="34"/>
  <c r="F114" i="34"/>
  <c r="G114" i="34"/>
  <c r="H114" i="34"/>
  <c r="I114" i="34"/>
  <c r="J114" i="34"/>
  <c r="K114" i="34"/>
  <c r="L114" i="34"/>
  <c r="M114" i="34"/>
  <c r="N114" i="34"/>
  <c r="O114" i="34"/>
  <c r="E115" i="34"/>
  <c r="F115" i="34"/>
  <c r="G115" i="34"/>
  <c r="H115" i="34"/>
  <c r="I115" i="34"/>
  <c r="J115" i="34"/>
  <c r="K115" i="34"/>
  <c r="L115" i="34"/>
  <c r="M115" i="34"/>
  <c r="N115" i="34"/>
  <c r="O115" i="34"/>
  <c r="D115" i="34"/>
  <c r="D114" i="34"/>
  <c r="E90" i="34"/>
  <c r="F90" i="34"/>
  <c r="G90" i="34"/>
  <c r="H90" i="34"/>
  <c r="I90" i="34"/>
  <c r="J90" i="34"/>
  <c r="K90" i="34"/>
  <c r="L90" i="34"/>
  <c r="M90" i="34"/>
  <c r="N90" i="34"/>
  <c r="O90" i="34"/>
  <c r="E91" i="34"/>
  <c r="F91" i="34"/>
  <c r="G91" i="34"/>
  <c r="H91" i="34"/>
  <c r="I91" i="34"/>
  <c r="J91" i="34"/>
  <c r="K91" i="34"/>
  <c r="L91" i="34"/>
  <c r="M91" i="34"/>
  <c r="N91" i="34"/>
  <c r="O91" i="34"/>
  <c r="D91" i="34"/>
  <c r="D90" i="34"/>
  <c r="E66" i="34"/>
  <c r="F66" i="34"/>
  <c r="G66" i="34"/>
  <c r="H66" i="34"/>
  <c r="I66" i="34"/>
  <c r="J66" i="34"/>
  <c r="K66" i="34"/>
  <c r="L66" i="34"/>
  <c r="M66" i="34"/>
  <c r="N66" i="34"/>
  <c r="O66" i="34"/>
  <c r="E67" i="34"/>
  <c r="F67" i="34"/>
  <c r="G67" i="34"/>
  <c r="H67" i="34"/>
  <c r="I67" i="34"/>
  <c r="J67" i="34"/>
  <c r="K67" i="34"/>
  <c r="L67" i="34"/>
  <c r="M67" i="34"/>
  <c r="N67" i="34"/>
  <c r="O67" i="34"/>
  <c r="D67" i="34"/>
  <c r="D66" i="34"/>
  <c r="Q3" i="68"/>
  <c r="Q4" i="68"/>
  <c r="Q5" i="68"/>
  <c r="Q6" i="68"/>
  <c r="Q7" i="68"/>
  <c r="Q8" i="68"/>
  <c r="Q9" i="68"/>
  <c r="Q10" i="68"/>
  <c r="Q11" i="68"/>
  <c r="Q12" i="68"/>
  <c r="Q13" i="68"/>
  <c r="Q14" i="68"/>
  <c r="O344" i="34"/>
  <c r="N344" i="34"/>
  <c r="M344" i="34"/>
  <c r="L344" i="34"/>
  <c r="K344" i="34"/>
  <c r="J344" i="34"/>
  <c r="I344" i="34"/>
  <c r="H344" i="34"/>
  <c r="G344" i="34"/>
  <c r="F344" i="34"/>
  <c r="E344" i="34"/>
  <c r="D344" i="34"/>
  <c r="O321" i="34"/>
  <c r="N321" i="34"/>
  <c r="M321" i="34"/>
  <c r="L321" i="34"/>
  <c r="K321" i="34"/>
  <c r="J321" i="34"/>
  <c r="I321" i="34"/>
  <c r="H321" i="34"/>
  <c r="G321" i="34"/>
  <c r="F321" i="34"/>
  <c r="E321" i="34"/>
  <c r="D321" i="34"/>
  <c r="O297" i="34"/>
  <c r="N297" i="34"/>
  <c r="M297" i="34"/>
  <c r="L297" i="34"/>
  <c r="K297" i="34"/>
  <c r="J297" i="34"/>
  <c r="I297" i="34"/>
  <c r="H297" i="34"/>
  <c r="G297" i="34"/>
  <c r="F297" i="34"/>
  <c r="E297" i="34"/>
  <c r="D297" i="34"/>
  <c r="O273" i="34"/>
  <c r="N273" i="34"/>
  <c r="M273" i="34"/>
  <c r="L273" i="34"/>
  <c r="K273" i="34"/>
  <c r="J273" i="34"/>
  <c r="I273" i="34"/>
  <c r="H273" i="34"/>
  <c r="G273" i="34"/>
  <c r="F273" i="34"/>
  <c r="E273" i="34"/>
  <c r="D273" i="34"/>
  <c r="O249" i="34"/>
  <c r="N249" i="34"/>
  <c r="M249" i="34"/>
  <c r="L249" i="34"/>
  <c r="K249" i="34"/>
  <c r="J249" i="34"/>
  <c r="I249" i="34"/>
  <c r="H249" i="34"/>
  <c r="G249" i="34"/>
  <c r="F249" i="34"/>
  <c r="E249" i="34"/>
  <c r="D249" i="34"/>
  <c r="O225" i="34"/>
  <c r="N225" i="34"/>
  <c r="M225" i="34"/>
  <c r="L225" i="34"/>
  <c r="K225" i="34"/>
  <c r="J225" i="34"/>
  <c r="I225" i="34"/>
  <c r="H225" i="34"/>
  <c r="G225" i="34"/>
  <c r="F225" i="34"/>
  <c r="E225" i="34"/>
  <c r="D225" i="34"/>
  <c r="O201" i="34"/>
  <c r="N201" i="34"/>
  <c r="M201" i="34"/>
  <c r="L201" i="34"/>
  <c r="K201" i="34"/>
  <c r="J201" i="34"/>
  <c r="I201" i="34"/>
  <c r="H201" i="34"/>
  <c r="G201" i="34"/>
  <c r="F201" i="34"/>
  <c r="E201" i="34"/>
  <c r="D201" i="34"/>
  <c r="O177" i="34"/>
  <c r="N177" i="34"/>
  <c r="M177" i="34"/>
  <c r="L177" i="34"/>
  <c r="K177" i="34"/>
  <c r="J177" i="34"/>
  <c r="I177" i="34"/>
  <c r="H177" i="34"/>
  <c r="G177" i="34"/>
  <c r="F177" i="34"/>
  <c r="E177" i="34"/>
  <c r="D177" i="34"/>
  <c r="O153" i="34"/>
  <c r="N153" i="34"/>
  <c r="M153" i="34"/>
  <c r="L153" i="34"/>
  <c r="K153" i="34"/>
  <c r="J153" i="34"/>
  <c r="I153" i="34"/>
  <c r="H153" i="34"/>
  <c r="G153" i="34"/>
  <c r="F153" i="34"/>
  <c r="E153" i="34"/>
  <c r="D153" i="34"/>
  <c r="O129" i="34"/>
  <c r="N129" i="34"/>
  <c r="M129" i="34"/>
  <c r="L129" i="34"/>
  <c r="K129" i="34"/>
  <c r="J129" i="34"/>
  <c r="I129" i="34"/>
  <c r="H129" i="34"/>
  <c r="G129" i="34"/>
  <c r="F129" i="34"/>
  <c r="E129" i="34"/>
  <c r="D129" i="34"/>
  <c r="O105" i="34"/>
  <c r="N105" i="34"/>
  <c r="M105" i="34"/>
  <c r="L105" i="34"/>
  <c r="K105" i="34"/>
  <c r="J105" i="34"/>
  <c r="I105" i="34"/>
  <c r="H105" i="34"/>
  <c r="G105" i="34"/>
  <c r="F105" i="34"/>
  <c r="E105" i="34"/>
  <c r="D105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O57" i="34"/>
  <c r="N57" i="34"/>
  <c r="M57" i="34"/>
  <c r="L57" i="34"/>
  <c r="K57" i="34"/>
  <c r="J57" i="34"/>
  <c r="I57" i="34"/>
  <c r="H57" i="34"/>
  <c r="G57" i="34"/>
  <c r="F57" i="34"/>
  <c r="E57" i="34"/>
  <c r="D57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O9" i="34"/>
  <c r="N9" i="34"/>
  <c r="M9" i="34"/>
  <c r="L9" i="34"/>
  <c r="K9" i="34"/>
  <c r="J9" i="34"/>
  <c r="I9" i="34"/>
  <c r="H9" i="34"/>
  <c r="G9" i="34"/>
  <c r="F9" i="34"/>
  <c r="E37" i="84" l="1"/>
  <c r="F37" i="84"/>
  <c r="G37" i="84"/>
  <c r="H37" i="84"/>
  <c r="I37" i="84"/>
  <c r="J37" i="84"/>
  <c r="K37" i="84"/>
  <c r="L37" i="84"/>
  <c r="N19" i="82" l="1"/>
  <c r="M19" i="82"/>
  <c r="L19" i="82"/>
  <c r="K19" i="82"/>
  <c r="J19" i="82"/>
  <c r="I19" i="82"/>
  <c r="H19" i="82"/>
  <c r="G19" i="82"/>
  <c r="F19" i="82"/>
  <c r="E19" i="82"/>
  <c r="D19" i="82"/>
  <c r="C19" i="82"/>
  <c r="C4" i="44" l="1"/>
  <c r="L6" i="44" l="1"/>
  <c r="M6" i="44"/>
  <c r="N6" i="44"/>
  <c r="O6" i="44"/>
  <c r="P6" i="44"/>
  <c r="F7" i="44"/>
  <c r="L7" i="44"/>
  <c r="M7" i="44"/>
  <c r="N7" i="44"/>
  <c r="O7" i="44"/>
  <c r="P7" i="44"/>
  <c r="N8" i="44"/>
  <c r="O8" i="44"/>
  <c r="P8" i="44"/>
  <c r="F9" i="44"/>
  <c r="G9" i="44"/>
  <c r="H9" i="44"/>
  <c r="N9" i="44"/>
  <c r="O9" i="44"/>
  <c r="P9" i="44"/>
  <c r="K12" i="44"/>
  <c r="F13" i="44"/>
  <c r="G13" i="44"/>
  <c r="H13" i="44"/>
  <c r="I13" i="44"/>
  <c r="J13" i="44"/>
  <c r="K13" i="44"/>
  <c r="K14" i="44"/>
  <c r="L14" i="44"/>
  <c r="M14" i="44"/>
  <c r="L16" i="44"/>
  <c r="M16" i="44"/>
  <c r="N16" i="44"/>
  <c r="O16" i="44"/>
  <c r="J17" i="44"/>
  <c r="K17" i="44"/>
  <c r="K18" i="44"/>
  <c r="L18" i="44"/>
  <c r="M18" i="44"/>
  <c r="N18" i="44"/>
  <c r="O18" i="44"/>
  <c r="P18" i="44"/>
  <c r="F19" i="44"/>
  <c r="N19" i="44"/>
  <c r="O19" i="44"/>
  <c r="P19" i="44"/>
  <c r="F20" i="44"/>
  <c r="G20" i="44"/>
  <c r="M20" i="44"/>
  <c r="N20" i="44"/>
  <c r="O20" i="44"/>
  <c r="P20" i="44"/>
  <c r="F22" i="44"/>
  <c r="G22" i="44"/>
  <c r="H22" i="44"/>
  <c r="I22" i="44"/>
  <c r="O22" i="44"/>
  <c r="P22" i="44"/>
  <c r="F23" i="44"/>
  <c r="J23" i="44"/>
  <c r="P23" i="44"/>
  <c r="F24" i="44"/>
  <c r="G24" i="44"/>
  <c r="H24" i="44"/>
  <c r="I24" i="44"/>
  <c r="J24" i="44"/>
  <c r="K24" i="44"/>
  <c r="F25" i="44"/>
  <c r="L25" i="44"/>
  <c r="H26" i="44"/>
  <c r="I26" i="44"/>
  <c r="L29" i="44"/>
  <c r="M29" i="44"/>
  <c r="K30" i="44"/>
  <c r="L30" i="44"/>
  <c r="N30" i="44"/>
  <c r="O30" i="44"/>
  <c r="P30" i="44"/>
  <c r="F31" i="44"/>
  <c r="L31" i="44"/>
  <c r="M31" i="44"/>
  <c r="N31" i="44"/>
  <c r="O31" i="44"/>
  <c r="P31" i="44"/>
  <c r="F32" i="44"/>
  <c r="G32" i="44"/>
  <c r="O32" i="44"/>
  <c r="P32" i="44"/>
  <c r="F33" i="44"/>
  <c r="G33" i="44"/>
  <c r="H33" i="44"/>
  <c r="M33" i="44"/>
  <c r="N33" i="44"/>
  <c r="O33" i="44"/>
  <c r="P33" i="44"/>
  <c r="O34" i="44"/>
  <c r="P34" i="44"/>
  <c r="F35" i="44"/>
  <c r="G35" i="44"/>
  <c r="H35" i="44"/>
  <c r="I35" i="44"/>
  <c r="J35" i="44"/>
  <c r="I36" i="44"/>
  <c r="J36" i="44"/>
  <c r="K36" i="44"/>
  <c r="P36" i="44"/>
  <c r="E7" i="44"/>
  <c r="E8" i="44"/>
  <c r="E9" i="44"/>
  <c r="E12" i="44"/>
  <c r="E13" i="44"/>
  <c r="E14" i="44"/>
  <c r="E22" i="44"/>
  <c r="E23" i="44"/>
  <c r="E24" i="44"/>
  <c r="E25" i="44"/>
  <c r="E31" i="44"/>
  <c r="E32" i="44"/>
  <c r="E33" i="44"/>
  <c r="E34" i="44"/>
  <c r="E6" i="44"/>
  <c r="Q9" i="44"/>
  <c r="Q10" i="44"/>
  <c r="Q11" i="44"/>
  <c r="Q12" i="44"/>
  <c r="Q13" i="44"/>
  <c r="Q14" i="44"/>
  <c r="Q15" i="44"/>
  <c r="Q16" i="44"/>
  <c r="Q22" i="44"/>
  <c r="Q23" i="44"/>
  <c r="Q24" i="44"/>
  <c r="Q25" i="44"/>
  <c r="Q26" i="44"/>
  <c r="Q27" i="44"/>
  <c r="Q28" i="44"/>
  <c r="Q34" i="44"/>
  <c r="Q35" i="44"/>
  <c r="Q36" i="44"/>
  <c r="Q37" i="44"/>
  <c r="D6" i="44"/>
  <c r="Q6" i="44" s="1"/>
  <c r="D7" i="44"/>
  <c r="Q7" i="44" s="1"/>
  <c r="D8" i="44"/>
  <c r="Q8" i="44" s="1"/>
  <c r="D9" i="44"/>
  <c r="D10" i="44"/>
  <c r="D11" i="44"/>
  <c r="D12" i="44"/>
  <c r="D13" i="44"/>
  <c r="D14" i="44"/>
  <c r="D15" i="44"/>
  <c r="D16" i="44"/>
  <c r="D17" i="44"/>
  <c r="Q17" i="44" s="1"/>
  <c r="D18" i="44"/>
  <c r="Q18" i="44" s="1"/>
  <c r="D19" i="44"/>
  <c r="Q19" i="44" s="1"/>
  <c r="D20" i="44"/>
  <c r="Q20" i="44" s="1"/>
  <c r="D21" i="44"/>
  <c r="Q21" i="44" s="1"/>
  <c r="D22" i="44"/>
  <c r="D23" i="44"/>
  <c r="D24" i="44"/>
  <c r="D25" i="44"/>
  <c r="D26" i="44"/>
  <c r="D27" i="44"/>
  <c r="D28" i="44"/>
  <c r="D29" i="44"/>
  <c r="Q29" i="44" s="1"/>
  <c r="D30" i="44"/>
  <c r="Q30" i="44" s="1"/>
  <c r="D31" i="44"/>
  <c r="Q31" i="44" s="1"/>
  <c r="D32" i="44"/>
  <c r="Q32" i="44" s="1"/>
  <c r="D33" i="44"/>
  <c r="Q33" i="44" s="1"/>
  <c r="D34" i="44"/>
  <c r="D35" i="44"/>
  <c r="D36" i="44"/>
  <c r="D37" i="44"/>
  <c r="D5" i="44"/>
  <c r="P28" i="44" l="1"/>
  <c r="E28" i="44"/>
  <c r="F28" i="44"/>
  <c r="G28" i="44"/>
  <c r="H28" i="44"/>
  <c r="M28" i="44"/>
  <c r="N28" i="44"/>
  <c r="O28" i="44"/>
  <c r="K11" i="44"/>
  <c r="M11" i="44"/>
  <c r="O11" i="44"/>
  <c r="L11" i="44"/>
  <c r="N11" i="44"/>
  <c r="I11" i="44"/>
  <c r="O27" i="44"/>
  <c r="E27" i="44"/>
  <c r="F27" i="44"/>
  <c r="G27" i="44"/>
  <c r="P27" i="44"/>
  <c r="H27" i="44"/>
  <c r="I27" i="44"/>
  <c r="J27" i="44"/>
  <c r="K27" i="44"/>
  <c r="J10" i="44"/>
  <c r="L10" i="44"/>
  <c r="M10" i="44"/>
  <c r="N10" i="44"/>
  <c r="K10" i="44"/>
  <c r="F10" i="44"/>
  <c r="G10" i="44"/>
  <c r="H10" i="44"/>
  <c r="I10" i="44"/>
  <c r="O10" i="44"/>
  <c r="P10" i="44"/>
  <c r="H11" i="44"/>
  <c r="N26" i="44"/>
  <c r="P26" i="44"/>
  <c r="O26" i="44"/>
  <c r="F26" i="44"/>
  <c r="M26" i="44"/>
  <c r="L28" i="44"/>
  <c r="G26" i="44"/>
  <c r="G11" i="44"/>
  <c r="K28" i="44"/>
  <c r="F11" i="44"/>
  <c r="I21" i="44"/>
  <c r="K21" i="44"/>
  <c r="L21" i="44"/>
  <c r="M21" i="44"/>
  <c r="J21" i="44"/>
  <c r="G21" i="44"/>
  <c r="H21" i="44"/>
  <c r="N21" i="44"/>
  <c r="E21" i="44"/>
  <c r="O21" i="44"/>
  <c r="P21" i="44"/>
  <c r="E11" i="44"/>
  <c r="J28" i="44"/>
  <c r="E10" i="44"/>
  <c r="I28" i="44"/>
  <c r="N27" i="44"/>
  <c r="P16" i="44"/>
  <c r="F16" i="44"/>
  <c r="E16" i="44"/>
  <c r="G16" i="44"/>
  <c r="H16" i="44"/>
  <c r="I16" i="44"/>
  <c r="J16" i="44"/>
  <c r="M27" i="44"/>
  <c r="K16" i="44"/>
  <c r="E29" i="44"/>
  <c r="F29" i="44"/>
  <c r="G29" i="44"/>
  <c r="H29" i="44"/>
  <c r="I29" i="44"/>
  <c r="J29" i="44"/>
  <c r="K29" i="44"/>
  <c r="G17" i="44"/>
  <c r="H17" i="44"/>
  <c r="I17" i="44"/>
  <c r="F17" i="44"/>
  <c r="E17" i="44"/>
  <c r="L17" i="44"/>
  <c r="M17" i="44"/>
  <c r="N17" i="44"/>
  <c r="O17" i="44"/>
  <c r="P17" i="44"/>
  <c r="M37" i="44"/>
  <c r="P37" i="44"/>
  <c r="N37" i="44"/>
  <c r="O37" i="44"/>
  <c r="I37" i="44"/>
  <c r="J37" i="44"/>
  <c r="K37" i="44"/>
  <c r="E37" i="44"/>
  <c r="L37" i="44"/>
  <c r="O15" i="44"/>
  <c r="E15" i="44"/>
  <c r="F15" i="44"/>
  <c r="P15" i="44"/>
  <c r="G15" i="44"/>
  <c r="L15" i="44"/>
  <c r="M15" i="44"/>
  <c r="N15" i="44"/>
  <c r="E26" i="44"/>
  <c r="L27" i="44"/>
  <c r="F21" i="44"/>
  <c r="K15" i="44"/>
  <c r="L36" i="44"/>
  <c r="M36" i="44"/>
  <c r="N36" i="44"/>
  <c r="O36" i="44"/>
  <c r="E36" i="44"/>
  <c r="F36" i="44"/>
  <c r="G36" i="44"/>
  <c r="H36" i="44"/>
  <c r="N14" i="44"/>
  <c r="P14" i="44"/>
  <c r="F14" i="44"/>
  <c r="O14" i="44"/>
  <c r="G14" i="44"/>
  <c r="H14" i="44"/>
  <c r="I14" i="44"/>
  <c r="J14" i="44"/>
  <c r="H37" i="44"/>
  <c r="P29" i="44"/>
  <c r="L26" i="44"/>
  <c r="J15" i="44"/>
  <c r="K35" i="44"/>
  <c r="L35" i="44"/>
  <c r="M35" i="44"/>
  <c r="N35" i="44"/>
  <c r="O35" i="44"/>
  <c r="E35" i="44"/>
  <c r="P35" i="44"/>
  <c r="M13" i="44"/>
  <c r="O13" i="44"/>
  <c r="N13" i="44"/>
  <c r="P13" i="44"/>
  <c r="L13" i="44"/>
  <c r="G37" i="44"/>
  <c r="O29" i="44"/>
  <c r="K26" i="44"/>
  <c r="I15" i="44"/>
  <c r="P11" i="44"/>
  <c r="D4" i="44"/>
  <c r="J34" i="44"/>
  <c r="L34" i="44"/>
  <c r="K34" i="44"/>
  <c r="M34" i="44"/>
  <c r="F34" i="44"/>
  <c r="G34" i="44"/>
  <c r="H34" i="44"/>
  <c r="I34" i="44"/>
  <c r="N34" i="44"/>
  <c r="L12" i="44"/>
  <c r="N12" i="44"/>
  <c r="O12" i="44"/>
  <c r="M12" i="44"/>
  <c r="P12" i="44"/>
  <c r="F12" i="44"/>
  <c r="G12" i="44"/>
  <c r="H12" i="44"/>
  <c r="I12" i="44"/>
  <c r="J12" i="44"/>
  <c r="F37" i="44"/>
  <c r="N29" i="44"/>
  <c r="J26" i="44"/>
  <c r="H15" i="44"/>
  <c r="J11" i="44"/>
  <c r="M25" i="44"/>
  <c r="N25" i="44"/>
  <c r="O25" i="44"/>
  <c r="P25" i="44"/>
  <c r="I9" i="44"/>
  <c r="K9" i="44"/>
  <c r="M9" i="44"/>
  <c r="J9" i="44"/>
  <c r="L9" i="44"/>
  <c r="K25" i="44"/>
  <c r="I33" i="44"/>
  <c r="L33" i="44"/>
  <c r="J33" i="44"/>
  <c r="K33" i="44"/>
  <c r="L24" i="44"/>
  <c r="M24" i="44"/>
  <c r="N24" i="44"/>
  <c r="O24" i="44"/>
  <c r="P24" i="44"/>
  <c r="J25" i="44"/>
  <c r="H32" i="44"/>
  <c r="I32" i="44"/>
  <c r="J32" i="44"/>
  <c r="K32" i="44"/>
  <c r="H20" i="44"/>
  <c r="J20" i="44"/>
  <c r="I20" i="44"/>
  <c r="K20" i="44"/>
  <c r="L20" i="44"/>
  <c r="H8" i="44"/>
  <c r="J8" i="44"/>
  <c r="K8" i="44"/>
  <c r="L8" i="44"/>
  <c r="I8" i="44"/>
  <c r="K23" i="44"/>
  <c r="M23" i="44"/>
  <c r="N23" i="44"/>
  <c r="O23" i="44"/>
  <c r="L23" i="44"/>
  <c r="N32" i="44"/>
  <c r="I25" i="44"/>
  <c r="I23" i="44"/>
  <c r="M8" i="44"/>
  <c r="G31" i="44"/>
  <c r="H31" i="44"/>
  <c r="I31" i="44"/>
  <c r="J31" i="44"/>
  <c r="K31" i="44"/>
  <c r="G19" i="44"/>
  <c r="I19" i="44"/>
  <c r="J19" i="44"/>
  <c r="K19" i="44"/>
  <c r="H19" i="44"/>
  <c r="G7" i="44"/>
  <c r="I7" i="44"/>
  <c r="J7" i="44"/>
  <c r="K7" i="44"/>
  <c r="H7" i="44"/>
  <c r="J22" i="44"/>
  <c r="K22" i="44"/>
  <c r="L22" i="44"/>
  <c r="M22" i="44"/>
  <c r="N22" i="44"/>
  <c r="E20" i="44"/>
  <c r="M32" i="44"/>
  <c r="H25" i="44"/>
  <c r="H23" i="44"/>
  <c r="M19" i="44"/>
  <c r="G8" i="44"/>
  <c r="F30" i="44"/>
  <c r="H30" i="44"/>
  <c r="I30" i="44"/>
  <c r="J30" i="44"/>
  <c r="G30" i="44"/>
  <c r="E30" i="44"/>
  <c r="F18" i="44"/>
  <c r="G18" i="44"/>
  <c r="H18" i="44"/>
  <c r="I18" i="44"/>
  <c r="E18" i="44"/>
  <c r="J18" i="44"/>
  <c r="F6" i="44"/>
  <c r="G6" i="44"/>
  <c r="H6" i="44"/>
  <c r="I6" i="44"/>
  <c r="J6" i="44"/>
  <c r="E19" i="44"/>
  <c r="L32" i="44"/>
  <c r="M30" i="44"/>
  <c r="G25" i="44"/>
  <c r="G23" i="44"/>
  <c r="L19" i="44"/>
  <c r="F8" i="44"/>
  <c r="K6" i="44"/>
  <c r="Q5" i="44"/>
  <c r="N11" i="82"/>
  <c r="M11" i="82"/>
  <c r="L11" i="82"/>
  <c r="K11" i="82"/>
  <c r="J11" i="82"/>
  <c r="I11" i="82"/>
  <c r="D11" i="82"/>
  <c r="E11" i="82"/>
  <c r="F11" i="82"/>
  <c r="G11" i="82"/>
  <c r="H11" i="82"/>
  <c r="C11" i="82"/>
  <c r="D9" i="82"/>
  <c r="E9" i="82" s="1"/>
  <c r="F9" i="82" s="1"/>
  <c r="G9" i="82" s="1"/>
  <c r="H9" i="82" s="1"/>
  <c r="I9" i="82" s="1"/>
  <c r="J9" i="82" s="1"/>
  <c r="K9" i="82" s="1"/>
  <c r="L9" i="82" s="1"/>
  <c r="M9" i="82" s="1"/>
  <c r="N9" i="82" s="1"/>
  <c r="Q4" i="44" l="1"/>
  <c r="G5" i="44"/>
  <c r="G4" i="44" s="1"/>
  <c r="K5" i="44"/>
  <c r="K4" i="44" s="1"/>
  <c r="O5" i="44"/>
  <c r="O4" i="44" s="1"/>
  <c r="F5" i="44"/>
  <c r="F4" i="44" s="1"/>
  <c r="N5" i="44"/>
  <c r="N4" i="44" s="1"/>
  <c r="H5" i="44"/>
  <c r="H4" i="44" s="1"/>
  <c r="L5" i="44"/>
  <c r="L4" i="44" s="1"/>
  <c r="P5" i="44"/>
  <c r="P4" i="44" s="1"/>
  <c r="I5" i="44"/>
  <c r="I4" i="44" s="1"/>
  <c r="M5" i="44"/>
  <c r="M4" i="44" s="1"/>
  <c r="J5" i="44"/>
  <c r="J4" i="44" s="1"/>
  <c r="E5" i="44"/>
  <c r="E4" i="44" s="1"/>
  <c r="C150" i="28"/>
  <c r="C149" i="28"/>
  <c r="C148" i="28"/>
  <c r="C147" i="28"/>
  <c r="B4" i="43"/>
  <c r="B4" i="56"/>
  <c r="M36" i="56"/>
  <c r="K24" i="56"/>
  <c r="O7" i="56"/>
  <c r="N7" i="56"/>
  <c r="H7" i="56"/>
  <c r="G7" i="56"/>
  <c r="F7" i="56"/>
  <c r="E7" i="56"/>
  <c r="D7" i="56"/>
  <c r="O6" i="56"/>
  <c r="N6" i="56"/>
  <c r="G6" i="56"/>
  <c r="F6" i="56"/>
  <c r="E6" i="56"/>
  <c r="D6" i="56"/>
  <c r="P36" i="56"/>
  <c r="K36" i="56" s="1"/>
  <c r="P35" i="56"/>
  <c r="P34" i="56"/>
  <c r="P33" i="56"/>
  <c r="P32" i="56"/>
  <c r="P31" i="56"/>
  <c r="P30" i="56"/>
  <c r="P27" i="56"/>
  <c r="P26" i="56"/>
  <c r="P25" i="56"/>
  <c r="P24" i="56"/>
  <c r="J24" i="56" s="1"/>
  <c r="P23" i="56"/>
  <c r="P22" i="56"/>
  <c r="P21" i="56"/>
  <c r="P20" i="56"/>
  <c r="P19" i="56"/>
  <c r="P17" i="56"/>
  <c r="P16" i="56"/>
  <c r="P14" i="56"/>
  <c r="P13" i="56"/>
  <c r="P12" i="56"/>
  <c r="P11" i="56"/>
  <c r="P7" i="56"/>
  <c r="M7" i="56" s="1"/>
  <c r="P6" i="56"/>
  <c r="M6" i="56" s="1"/>
  <c r="C37" i="56"/>
  <c r="P37" i="56" s="1"/>
  <c r="C36" i="56"/>
  <c r="C35" i="56"/>
  <c r="C34" i="56"/>
  <c r="C33" i="56"/>
  <c r="C32" i="56"/>
  <c r="C31" i="56"/>
  <c r="C30" i="56"/>
  <c r="C29" i="56"/>
  <c r="P29" i="56" s="1"/>
  <c r="C28" i="56"/>
  <c r="P28" i="56" s="1"/>
  <c r="C27" i="56"/>
  <c r="C26" i="56"/>
  <c r="C25" i="56"/>
  <c r="C24" i="56"/>
  <c r="C23" i="56"/>
  <c r="C22" i="56"/>
  <c r="C21" i="56"/>
  <c r="C20" i="56"/>
  <c r="C19" i="56"/>
  <c r="C18" i="56"/>
  <c r="P18" i="56" s="1"/>
  <c r="C17" i="56"/>
  <c r="C16" i="56"/>
  <c r="C15" i="56"/>
  <c r="P15" i="56" s="1"/>
  <c r="C14" i="56"/>
  <c r="C13" i="56"/>
  <c r="C12" i="56"/>
  <c r="C11" i="56"/>
  <c r="C10" i="56"/>
  <c r="P10" i="56" s="1"/>
  <c r="C9" i="56"/>
  <c r="P9" i="56" s="1"/>
  <c r="C8" i="56"/>
  <c r="P8" i="56" s="1"/>
  <c r="C7" i="56"/>
  <c r="C6" i="56"/>
  <c r="K37" i="56" l="1"/>
  <c r="D37" i="56"/>
  <c r="O37" i="56"/>
  <c r="N37" i="56"/>
  <c r="M37" i="56"/>
  <c r="L37" i="56"/>
  <c r="J37" i="56"/>
  <c r="I37" i="56"/>
  <c r="H37" i="56"/>
  <c r="G37" i="56"/>
  <c r="F37" i="56"/>
  <c r="E37" i="56"/>
  <c r="L36" i="56"/>
  <c r="E36" i="56"/>
  <c r="F36" i="56"/>
  <c r="G36" i="56"/>
  <c r="H36" i="56"/>
  <c r="I36" i="56"/>
  <c r="J36" i="56"/>
  <c r="N36" i="56"/>
  <c r="O36" i="56"/>
  <c r="D36" i="56"/>
  <c r="K29" i="56"/>
  <c r="J29" i="56"/>
  <c r="D29" i="56"/>
  <c r="O29" i="56"/>
  <c r="N29" i="56"/>
  <c r="I29" i="56"/>
  <c r="H29" i="56"/>
  <c r="G29" i="56"/>
  <c r="F29" i="56"/>
  <c r="E29" i="56"/>
  <c r="M29" i="56"/>
  <c r="L29" i="56"/>
  <c r="K28" i="56"/>
  <c r="J28" i="56"/>
  <c r="G28" i="56"/>
  <c r="F28" i="56"/>
  <c r="E28" i="56"/>
  <c r="D28" i="56"/>
  <c r="O28" i="56"/>
  <c r="N28" i="56"/>
  <c r="I28" i="56"/>
  <c r="H28" i="56"/>
  <c r="M28" i="56"/>
  <c r="L28" i="56"/>
  <c r="N24" i="56"/>
  <c r="O24" i="56"/>
  <c r="D24" i="56"/>
  <c r="E24" i="56"/>
  <c r="F24" i="56"/>
  <c r="G24" i="56"/>
  <c r="L24" i="56"/>
  <c r="M24" i="56"/>
  <c r="H24" i="56"/>
  <c r="I24" i="56"/>
  <c r="K18" i="56"/>
  <c r="J18" i="56"/>
  <c r="I18" i="56"/>
  <c r="H18" i="56"/>
  <c r="G18" i="56"/>
  <c r="E18" i="56"/>
  <c r="N18" i="56"/>
  <c r="M18" i="56"/>
  <c r="L18" i="56"/>
  <c r="F18" i="56"/>
  <c r="D18" i="56"/>
  <c r="O18" i="56"/>
  <c r="J15" i="56"/>
  <c r="I15" i="56"/>
  <c r="H15" i="56"/>
  <c r="G15" i="56"/>
  <c r="F15" i="56"/>
  <c r="E15" i="56"/>
  <c r="D15" i="56"/>
  <c r="O15" i="56"/>
  <c r="N15" i="56"/>
  <c r="M15" i="56"/>
  <c r="L15" i="56"/>
  <c r="K15" i="56"/>
  <c r="M8" i="56"/>
  <c r="L8" i="56"/>
  <c r="K8" i="56"/>
  <c r="J8" i="56"/>
  <c r="I8" i="56"/>
  <c r="H8" i="56"/>
  <c r="G8" i="56"/>
  <c r="P4" i="56"/>
  <c r="F8" i="56"/>
  <c r="E8" i="56"/>
  <c r="D8" i="56"/>
  <c r="O8" i="56"/>
  <c r="N8" i="56"/>
  <c r="M9" i="56"/>
  <c r="L9" i="56"/>
  <c r="K9" i="56"/>
  <c r="J9" i="56"/>
  <c r="I9" i="56"/>
  <c r="H9" i="56"/>
  <c r="G9" i="56"/>
  <c r="F9" i="56"/>
  <c r="E9" i="56"/>
  <c r="D9" i="56"/>
  <c r="O9" i="56"/>
  <c r="N9" i="56"/>
  <c r="M10" i="56"/>
  <c r="L10" i="56"/>
  <c r="K10" i="56"/>
  <c r="J10" i="56"/>
  <c r="I10" i="56"/>
  <c r="H10" i="56"/>
  <c r="G10" i="56"/>
  <c r="F10" i="56"/>
  <c r="E10" i="56"/>
  <c r="D10" i="56"/>
  <c r="O10" i="56"/>
  <c r="N10" i="56"/>
  <c r="C4" i="56"/>
  <c r="H6" i="56"/>
  <c r="I6" i="56"/>
  <c r="I7" i="56"/>
  <c r="J6" i="56"/>
  <c r="J7" i="56"/>
  <c r="K6" i="56"/>
  <c r="K7" i="56"/>
  <c r="L6" i="56"/>
  <c r="L7" i="56"/>
  <c r="C37" i="43"/>
  <c r="P37" i="43" s="1"/>
  <c r="C36" i="43"/>
  <c r="P36" i="43" s="1"/>
  <c r="C35" i="43"/>
  <c r="P35" i="43" s="1"/>
  <c r="C34" i="43"/>
  <c r="P34" i="43" s="1"/>
  <c r="C33" i="43"/>
  <c r="P33" i="43" s="1"/>
  <c r="C32" i="43"/>
  <c r="P32" i="43" s="1"/>
  <c r="C31" i="43"/>
  <c r="P31" i="43" s="1"/>
  <c r="C30" i="43"/>
  <c r="P30" i="43" s="1"/>
  <c r="C29" i="43"/>
  <c r="P29" i="43" s="1"/>
  <c r="C28" i="43"/>
  <c r="P28" i="43" s="1"/>
  <c r="C27" i="43"/>
  <c r="P27" i="43" s="1"/>
  <c r="C26" i="43"/>
  <c r="P26" i="43" s="1"/>
  <c r="C25" i="43"/>
  <c r="P25" i="43" s="1"/>
  <c r="C24" i="43"/>
  <c r="P24" i="43" s="1"/>
  <c r="C23" i="43"/>
  <c r="P23" i="43" s="1"/>
  <c r="C22" i="43"/>
  <c r="P22" i="43" s="1"/>
  <c r="C21" i="43"/>
  <c r="P21" i="43" s="1"/>
  <c r="C20" i="43"/>
  <c r="P20" i="43" s="1"/>
  <c r="C19" i="43"/>
  <c r="P19" i="43" s="1"/>
  <c r="C18" i="43"/>
  <c r="P18" i="43" s="1"/>
  <c r="C17" i="43"/>
  <c r="P17" i="43" s="1"/>
  <c r="C16" i="43"/>
  <c r="P16" i="43" s="1"/>
  <c r="C15" i="43"/>
  <c r="P15" i="43" s="1"/>
  <c r="C14" i="43"/>
  <c r="P14" i="43" s="1"/>
  <c r="C13" i="43"/>
  <c r="P13" i="43" s="1"/>
  <c r="C12" i="43"/>
  <c r="P12" i="43" s="1"/>
  <c r="C11" i="43"/>
  <c r="P11" i="43" s="1"/>
  <c r="C10" i="43"/>
  <c r="P10" i="43" s="1"/>
  <c r="C9" i="43"/>
  <c r="P9" i="43" s="1"/>
  <c r="C8" i="43"/>
  <c r="P8" i="43" s="1"/>
  <c r="C7" i="43"/>
  <c r="P7" i="43" s="1"/>
  <c r="C6" i="43"/>
  <c r="P6" i="43" s="1"/>
  <c r="O4" i="56" l="1"/>
  <c r="D4" i="56"/>
  <c r="E4" i="56"/>
  <c r="M4" i="56"/>
  <c r="G4" i="56"/>
  <c r="F4" i="56"/>
  <c r="J4" i="56"/>
  <c r="I4" i="56"/>
  <c r="H4" i="56"/>
  <c r="L4" i="56"/>
  <c r="N4" i="56"/>
  <c r="K4" i="56"/>
  <c r="O36" i="43"/>
  <c r="N36" i="43"/>
  <c r="M36" i="43"/>
  <c r="L36" i="43"/>
  <c r="K36" i="43"/>
  <c r="J36" i="43"/>
  <c r="I36" i="43"/>
  <c r="H36" i="43"/>
  <c r="G36" i="43"/>
  <c r="F36" i="43"/>
  <c r="E36" i="43"/>
  <c r="D36" i="43"/>
  <c r="O37" i="43"/>
  <c r="N37" i="43"/>
  <c r="M37" i="43"/>
  <c r="L37" i="43"/>
  <c r="K37" i="43"/>
  <c r="J37" i="43"/>
  <c r="I37" i="43"/>
  <c r="H37" i="43"/>
  <c r="G37" i="43"/>
  <c r="F37" i="43"/>
  <c r="E37" i="43"/>
  <c r="D37" i="43"/>
  <c r="D31" i="43"/>
  <c r="O31" i="43"/>
  <c r="N31" i="43"/>
  <c r="M31" i="43"/>
  <c r="L31" i="43"/>
  <c r="K31" i="43"/>
  <c r="J31" i="43"/>
  <c r="I31" i="43"/>
  <c r="H31" i="43"/>
  <c r="G31" i="43"/>
  <c r="F31" i="43"/>
  <c r="E31" i="43"/>
  <c r="E24" i="43"/>
  <c r="D24" i="43"/>
  <c r="N24" i="43"/>
  <c r="M24" i="43"/>
  <c r="K24" i="43"/>
  <c r="J24" i="43"/>
  <c r="I24" i="43"/>
  <c r="G24" i="43"/>
  <c r="F24" i="43"/>
  <c r="O24" i="43"/>
  <c r="L24" i="43"/>
  <c r="H24" i="43"/>
  <c r="N19" i="43"/>
  <c r="M19" i="43"/>
  <c r="L19" i="43"/>
  <c r="K19" i="43"/>
  <c r="J19" i="43"/>
  <c r="I19" i="43"/>
  <c r="H19" i="43"/>
  <c r="G19" i="43"/>
  <c r="F19" i="43"/>
  <c r="E19" i="43"/>
  <c r="D19" i="43"/>
  <c r="O19" i="43"/>
  <c r="H15" i="43"/>
  <c r="G15" i="43"/>
  <c r="F15" i="43"/>
  <c r="E15" i="43"/>
  <c r="D15" i="43"/>
  <c r="O15" i="43"/>
  <c r="M15" i="43"/>
  <c r="L15" i="43"/>
  <c r="K15" i="43"/>
  <c r="J15" i="43"/>
  <c r="I15" i="43"/>
  <c r="N15" i="43"/>
  <c r="H16" i="43"/>
  <c r="G16" i="43"/>
  <c r="E16" i="43"/>
  <c r="D16" i="43"/>
  <c r="O16" i="43"/>
  <c r="F16" i="43"/>
  <c r="N16" i="43"/>
  <c r="J16" i="43"/>
  <c r="I16" i="43"/>
  <c r="M16" i="43"/>
  <c r="L16" i="43"/>
  <c r="K16" i="43"/>
  <c r="M6" i="43"/>
  <c r="L6" i="43"/>
  <c r="K6" i="43"/>
  <c r="J6" i="43"/>
  <c r="H6" i="43"/>
  <c r="D6" i="43"/>
  <c r="I6" i="43"/>
  <c r="G6" i="43"/>
  <c r="F6" i="43"/>
  <c r="E6" i="43"/>
  <c r="O6" i="43"/>
  <c r="N6" i="43"/>
  <c r="M8" i="43"/>
  <c r="L8" i="43"/>
  <c r="K8" i="43"/>
  <c r="J8" i="43"/>
  <c r="G8" i="43"/>
  <c r="F8" i="43"/>
  <c r="E8" i="43"/>
  <c r="O8" i="43"/>
  <c r="I8" i="43"/>
  <c r="H8" i="43"/>
  <c r="D8" i="43"/>
  <c r="N8" i="43"/>
  <c r="M9" i="43"/>
  <c r="L9" i="43"/>
  <c r="K9" i="43"/>
  <c r="J9" i="43"/>
  <c r="G9" i="43"/>
  <c r="O9" i="43"/>
  <c r="I9" i="43"/>
  <c r="H9" i="43"/>
  <c r="F9" i="43"/>
  <c r="E9" i="43"/>
  <c r="D9" i="43"/>
  <c r="N9" i="43"/>
  <c r="M10" i="43"/>
  <c r="L10" i="43"/>
  <c r="K10" i="43"/>
  <c r="J10" i="43"/>
  <c r="G10" i="43"/>
  <c r="F10" i="43"/>
  <c r="E10" i="43"/>
  <c r="D10" i="43"/>
  <c r="I10" i="43"/>
  <c r="H10" i="43"/>
  <c r="O10" i="43"/>
  <c r="N10" i="43"/>
  <c r="M93" i="34"/>
  <c r="J93" i="34"/>
  <c r="G93" i="34"/>
  <c r="C106" i="10" l="1"/>
  <c r="C37" i="10"/>
  <c r="C16" i="10"/>
  <c r="C106" i="9"/>
  <c r="C37" i="9"/>
  <c r="C30" i="9"/>
  <c r="B7" i="9" l="1"/>
  <c r="C111" i="4"/>
  <c r="C109" i="4"/>
  <c r="C108" i="4"/>
  <c r="C104" i="4"/>
  <c r="C102" i="4"/>
  <c r="C99" i="4"/>
  <c r="C103" i="4" s="1"/>
  <c r="C96" i="4"/>
  <c r="C95" i="4"/>
  <c r="C111" i="6"/>
  <c r="C109" i="6"/>
  <c r="C108" i="6"/>
  <c r="C104" i="6"/>
  <c r="C102" i="6"/>
  <c r="C99" i="6"/>
  <c r="C103" i="6" s="1"/>
  <c r="C96" i="6"/>
  <c r="C95" i="6"/>
  <c r="C111" i="5"/>
  <c r="C109" i="5"/>
  <c r="C108" i="5"/>
  <c r="C107" i="5"/>
  <c r="C104" i="5"/>
  <c r="C102" i="5"/>
  <c r="C99" i="5"/>
  <c r="C103" i="5" s="1"/>
  <c r="C96" i="5"/>
  <c r="C95" i="5"/>
  <c r="C111" i="10"/>
  <c r="C109" i="10"/>
  <c r="C108" i="10"/>
  <c r="C104" i="10"/>
  <c r="C102" i="10"/>
  <c r="C99" i="10"/>
  <c r="C103" i="10" s="1"/>
  <c r="C96" i="10"/>
  <c r="C95" i="10"/>
  <c r="C111" i="7"/>
  <c r="C109" i="7"/>
  <c r="C108" i="7"/>
  <c r="C107" i="7" s="1"/>
  <c r="C104" i="7"/>
  <c r="C102" i="7"/>
  <c r="C99" i="7"/>
  <c r="C103" i="7" s="1"/>
  <c r="C96" i="7"/>
  <c r="C95" i="7"/>
  <c r="C73" i="7"/>
  <c r="C75" i="7"/>
  <c r="C77" i="7"/>
  <c r="C78" i="7"/>
  <c r="C79" i="7"/>
  <c r="C81" i="7"/>
  <c r="C82" i="7"/>
  <c r="C83" i="7"/>
  <c r="C111" i="19"/>
  <c r="C109" i="19"/>
  <c r="C108" i="19"/>
  <c r="C107" i="19"/>
  <c r="C104" i="19"/>
  <c r="C102" i="19"/>
  <c r="C99" i="19"/>
  <c r="C103" i="19" s="1"/>
  <c r="C96" i="19"/>
  <c r="C95" i="19"/>
  <c r="C111" i="9"/>
  <c r="C109" i="9"/>
  <c r="C108" i="9"/>
  <c r="C107" i="9" s="1"/>
  <c r="C104" i="9"/>
  <c r="C102" i="9"/>
  <c r="C99" i="9"/>
  <c r="C103" i="9" s="1"/>
  <c r="C96" i="9"/>
  <c r="C95" i="9"/>
  <c r="C111" i="11"/>
  <c r="C109" i="11"/>
  <c r="C108" i="11"/>
  <c r="C107" i="11"/>
  <c r="C104" i="11"/>
  <c r="C102" i="11"/>
  <c r="C99" i="11"/>
  <c r="C103" i="11" s="1"/>
  <c r="C96" i="11"/>
  <c r="C95" i="11"/>
  <c r="C111" i="12"/>
  <c r="C109" i="12"/>
  <c r="C108" i="12"/>
  <c r="C107" i="12"/>
  <c r="C104" i="12"/>
  <c r="C102" i="12"/>
  <c r="C99" i="12"/>
  <c r="C103" i="12" s="1"/>
  <c r="C96" i="12"/>
  <c r="C95" i="12"/>
  <c r="C111" i="14"/>
  <c r="C109" i="14"/>
  <c r="C108" i="14"/>
  <c r="C104" i="14"/>
  <c r="C102" i="14"/>
  <c r="C99" i="14"/>
  <c r="C103" i="14" s="1"/>
  <c r="C96" i="14"/>
  <c r="C95" i="14"/>
  <c r="C111" i="17"/>
  <c r="C109" i="17"/>
  <c r="C108" i="17"/>
  <c r="C104" i="17"/>
  <c r="C102" i="17"/>
  <c r="C99" i="17"/>
  <c r="C103" i="17" s="1"/>
  <c r="C96" i="17"/>
  <c r="C95" i="17"/>
  <c r="C111" i="13"/>
  <c r="C109" i="13"/>
  <c r="C108" i="13"/>
  <c r="C107" i="13"/>
  <c r="C104" i="13"/>
  <c r="C102" i="13"/>
  <c r="C99" i="13"/>
  <c r="C103" i="13" s="1"/>
  <c r="C96" i="13"/>
  <c r="C97" i="13" s="1"/>
  <c r="C95" i="13"/>
  <c r="C111" i="18"/>
  <c r="C109" i="18"/>
  <c r="C108" i="18"/>
  <c r="C104" i="18"/>
  <c r="C102" i="18"/>
  <c r="C99" i="18"/>
  <c r="C103" i="18" s="1"/>
  <c r="C96" i="18"/>
  <c r="C95" i="18"/>
  <c r="C65" i="4"/>
  <c r="C61" i="4"/>
  <c r="C58" i="4"/>
  <c r="C55" i="4"/>
  <c r="C53" i="4"/>
  <c r="C57" i="4" s="1"/>
  <c r="C49" i="4"/>
  <c r="C51" i="4" s="1"/>
  <c r="C65" i="6"/>
  <c r="C61" i="6"/>
  <c r="C58" i="6"/>
  <c r="C55" i="6"/>
  <c r="C53" i="6"/>
  <c r="C57" i="6" s="1"/>
  <c r="C49" i="6"/>
  <c r="C51" i="6" s="1"/>
  <c r="C65" i="5"/>
  <c r="C61" i="5"/>
  <c r="C58" i="5"/>
  <c r="C55" i="5"/>
  <c r="C53" i="5"/>
  <c r="C57" i="5" s="1"/>
  <c r="C49" i="5"/>
  <c r="C51" i="5" s="1"/>
  <c r="C65" i="10"/>
  <c r="C61" i="10"/>
  <c r="C58" i="10"/>
  <c r="C55" i="10"/>
  <c r="C53" i="10"/>
  <c r="C57" i="10" s="1"/>
  <c r="C49" i="10"/>
  <c r="C51" i="10" s="1"/>
  <c r="C65" i="7"/>
  <c r="C61" i="7"/>
  <c r="C58" i="7"/>
  <c r="C55" i="7"/>
  <c r="C53" i="7"/>
  <c r="C57" i="7" s="1"/>
  <c r="C49" i="7"/>
  <c r="C51" i="7" s="1"/>
  <c r="C65" i="19"/>
  <c r="C61" i="19"/>
  <c r="C58" i="19"/>
  <c r="C55" i="19"/>
  <c r="C53" i="19"/>
  <c r="C57" i="19" s="1"/>
  <c r="C49" i="19"/>
  <c r="C51" i="19" s="1"/>
  <c r="C65" i="9"/>
  <c r="C61" i="9"/>
  <c r="C58" i="9"/>
  <c r="C55" i="9"/>
  <c r="C53" i="9"/>
  <c r="C57" i="9" s="1"/>
  <c r="C49" i="9"/>
  <c r="C51" i="9" s="1"/>
  <c r="C65" i="11"/>
  <c r="C61" i="11"/>
  <c r="C58" i="11"/>
  <c r="C53" i="11"/>
  <c r="C57" i="11" s="1"/>
  <c r="C49" i="11"/>
  <c r="C51" i="11" s="1"/>
  <c r="C65" i="12"/>
  <c r="C61" i="12"/>
  <c r="C58" i="12"/>
  <c r="C53" i="12"/>
  <c r="C57" i="12" s="1"/>
  <c r="C49" i="12"/>
  <c r="C51" i="12" s="1"/>
  <c r="C65" i="14"/>
  <c r="C61" i="14"/>
  <c r="C58" i="14"/>
  <c r="C55" i="14"/>
  <c r="C53" i="14"/>
  <c r="C57" i="14" s="1"/>
  <c r="C49" i="14"/>
  <c r="C51" i="14" s="1"/>
  <c r="C48" i="14" s="1"/>
  <c r="C67" i="14" s="1"/>
  <c r="C65" i="17"/>
  <c r="C61" i="17"/>
  <c r="C58" i="17"/>
  <c r="C55" i="17"/>
  <c r="C53" i="17"/>
  <c r="C57" i="17" s="1"/>
  <c r="C49" i="17"/>
  <c r="C51" i="17" s="1"/>
  <c r="C65" i="13"/>
  <c r="C61" i="13"/>
  <c r="C58" i="13"/>
  <c r="C55" i="13"/>
  <c r="C53" i="13"/>
  <c r="C57" i="13" s="1"/>
  <c r="C49" i="13"/>
  <c r="C51" i="13" s="1"/>
  <c r="C65" i="18"/>
  <c r="C61" i="18"/>
  <c r="C58" i="18"/>
  <c r="C55" i="18"/>
  <c r="C53" i="18"/>
  <c r="C57" i="18" s="1"/>
  <c r="C49" i="18"/>
  <c r="C51" i="18" s="1"/>
  <c r="C42" i="4"/>
  <c r="C40" i="4"/>
  <c r="C39" i="4"/>
  <c r="C35" i="4"/>
  <c r="C33" i="4"/>
  <c r="C30" i="4"/>
  <c r="C34" i="4" s="1"/>
  <c r="C27" i="4"/>
  <c r="C26" i="4"/>
  <c r="C42" i="6"/>
  <c r="C40" i="6"/>
  <c r="C39" i="6"/>
  <c r="C35" i="6"/>
  <c r="C33" i="6"/>
  <c r="C30" i="6"/>
  <c r="C34" i="6" s="1"/>
  <c r="C27" i="6"/>
  <c r="C26" i="6"/>
  <c r="C42" i="5"/>
  <c r="C40" i="5"/>
  <c r="C39" i="5"/>
  <c r="C35" i="5"/>
  <c r="C33" i="5"/>
  <c r="C30" i="5"/>
  <c r="C34" i="5" s="1"/>
  <c r="C27" i="5"/>
  <c r="C26" i="5"/>
  <c r="C42" i="10"/>
  <c r="C40" i="10"/>
  <c r="C39" i="10"/>
  <c r="C38" i="10" s="1"/>
  <c r="C33" i="10"/>
  <c r="C30" i="10"/>
  <c r="C34" i="10" s="1"/>
  <c r="C27" i="10"/>
  <c r="C26" i="10"/>
  <c r="C42" i="7"/>
  <c r="C88" i="7" s="1"/>
  <c r="C40" i="7"/>
  <c r="C86" i="7" s="1"/>
  <c r="C39" i="7"/>
  <c r="C38" i="7" s="1"/>
  <c r="C84" i="7" s="1"/>
  <c r="C35" i="7"/>
  <c r="C33" i="7"/>
  <c r="C30" i="7"/>
  <c r="C27" i="7"/>
  <c r="C26" i="7"/>
  <c r="C72" i="7" s="1"/>
  <c r="C74" i="7" s="1"/>
  <c r="C42" i="19"/>
  <c r="C40" i="19"/>
  <c r="C39" i="19"/>
  <c r="C35" i="19"/>
  <c r="C33" i="19"/>
  <c r="C30" i="19"/>
  <c r="C34" i="19" s="1"/>
  <c r="C27" i="19"/>
  <c r="C26" i="19"/>
  <c r="C42" i="9"/>
  <c r="C40" i="9"/>
  <c r="C39" i="9"/>
  <c r="C35" i="9"/>
  <c r="C33" i="9"/>
  <c r="C34" i="9"/>
  <c r="C27" i="9"/>
  <c r="C26" i="9"/>
  <c r="C42" i="11"/>
  <c r="C40" i="11"/>
  <c r="C39" i="11"/>
  <c r="C35" i="11"/>
  <c r="C33" i="11"/>
  <c r="C30" i="11"/>
  <c r="C27" i="11"/>
  <c r="C26" i="11"/>
  <c r="C42" i="12"/>
  <c r="C40" i="12"/>
  <c r="C39" i="12"/>
  <c r="C38" i="12" s="1"/>
  <c r="C35" i="12"/>
  <c r="C33" i="12"/>
  <c r="C30" i="12"/>
  <c r="C34" i="12" s="1"/>
  <c r="C27" i="12"/>
  <c r="C26" i="12"/>
  <c r="C42" i="14"/>
  <c r="C40" i="14"/>
  <c r="C39" i="14"/>
  <c r="C35" i="14"/>
  <c r="C33" i="14"/>
  <c r="C30" i="14"/>
  <c r="C27" i="14"/>
  <c r="C26" i="14"/>
  <c r="C42" i="17"/>
  <c r="C40" i="17"/>
  <c r="C39" i="17"/>
  <c r="C35" i="17"/>
  <c r="C33" i="17"/>
  <c r="C30" i="17"/>
  <c r="C34" i="17" s="1"/>
  <c r="C27" i="17"/>
  <c r="C26" i="17"/>
  <c r="C42" i="13"/>
  <c r="C40" i="13"/>
  <c r="C39" i="13"/>
  <c r="C38" i="13" s="1"/>
  <c r="C35" i="13"/>
  <c r="C33" i="13"/>
  <c r="C30" i="13"/>
  <c r="C34" i="13" s="1"/>
  <c r="C27" i="13"/>
  <c r="C26" i="13"/>
  <c r="C42" i="18"/>
  <c r="C40" i="18"/>
  <c r="C39" i="18"/>
  <c r="C35" i="18"/>
  <c r="C33" i="18"/>
  <c r="C30" i="18"/>
  <c r="C34" i="18" s="1"/>
  <c r="C27" i="18"/>
  <c r="C26" i="18"/>
  <c r="C21" i="4"/>
  <c r="C19" i="4"/>
  <c r="C18" i="4"/>
  <c r="C14" i="4"/>
  <c r="C12" i="4"/>
  <c r="C9" i="4"/>
  <c r="C13" i="4" s="1"/>
  <c r="C6" i="4"/>
  <c r="C5" i="4"/>
  <c r="C7" i="4" s="1"/>
  <c r="C21" i="6"/>
  <c r="C19" i="6"/>
  <c r="C18" i="6"/>
  <c r="C14" i="6"/>
  <c r="C12" i="6"/>
  <c r="C9" i="6"/>
  <c r="C13" i="6" s="1"/>
  <c r="C6" i="6"/>
  <c r="C5" i="6"/>
  <c r="C7" i="6" s="1"/>
  <c r="C21" i="5"/>
  <c r="C19" i="5"/>
  <c r="C18" i="5"/>
  <c r="C14" i="5"/>
  <c r="C12" i="5"/>
  <c r="C9" i="5"/>
  <c r="C13" i="5" s="1"/>
  <c r="C6" i="5"/>
  <c r="C5" i="5"/>
  <c r="C7" i="5" s="1"/>
  <c r="C21" i="10"/>
  <c r="C19" i="10"/>
  <c r="C18" i="10"/>
  <c r="C14" i="10"/>
  <c r="C12" i="10"/>
  <c r="C9" i="10"/>
  <c r="C13" i="10" s="1"/>
  <c r="C6" i="10"/>
  <c r="C5" i="10"/>
  <c r="C7" i="10" s="1"/>
  <c r="C21" i="7"/>
  <c r="C19" i="7"/>
  <c r="C18" i="7"/>
  <c r="C14" i="7"/>
  <c r="C12" i="7"/>
  <c r="C9" i="7"/>
  <c r="C13" i="7" s="1"/>
  <c r="C6" i="7"/>
  <c r="C5" i="7"/>
  <c r="C7" i="7" s="1"/>
  <c r="C21" i="19"/>
  <c r="C19" i="19"/>
  <c r="C18" i="19"/>
  <c r="C14" i="19"/>
  <c r="C12" i="19"/>
  <c r="C9" i="19"/>
  <c r="C13" i="19" s="1"/>
  <c r="C6" i="19"/>
  <c r="C5" i="19"/>
  <c r="C7" i="19" s="1"/>
  <c r="C21" i="9"/>
  <c r="C19" i="9"/>
  <c r="C18" i="9"/>
  <c r="C14" i="9"/>
  <c r="C12" i="9"/>
  <c r="C9" i="9"/>
  <c r="C13" i="9" s="1"/>
  <c r="C6" i="9"/>
  <c r="C5" i="9"/>
  <c r="C7" i="9" s="1"/>
  <c r="C21" i="11"/>
  <c r="C19" i="11"/>
  <c r="C18" i="11"/>
  <c r="C14" i="11"/>
  <c r="C12" i="11"/>
  <c r="C9" i="11"/>
  <c r="C13" i="11" s="1"/>
  <c r="C6" i="11"/>
  <c r="C5" i="11"/>
  <c r="C7" i="11" s="1"/>
  <c r="C21" i="12"/>
  <c r="C19" i="12"/>
  <c r="C18" i="12"/>
  <c r="C17" i="12"/>
  <c r="C14" i="12"/>
  <c r="C12" i="12"/>
  <c r="C9" i="12"/>
  <c r="C13" i="12" s="1"/>
  <c r="C6" i="12"/>
  <c r="C5" i="12"/>
  <c r="C7" i="12" s="1"/>
  <c r="C21" i="14"/>
  <c r="C19" i="14"/>
  <c r="C18" i="14"/>
  <c r="C14" i="14"/>
  <c r="C12" i="14"/>
  <c r="C9" i="14"/>
  <c r="C13" i="14" s="1"/>
  <c r="C6" i="14"/>
  <c r="C5" i="14"/>
  <c r="C7" i="14" s="1"/>
  <c r="C21" i="17"/>
  <c r="C19" i="17"/>
  <c r="C18" i="17"/>
  <c r="C14" i="17"/>
  <c r="C12" i="17"/>
  <c r="C9" i="17"/>
  <c r="C13" i="17" s="1"/>
  <c r="C6" i="17"/>
  <c r="C5" i="17"/>
  <c r="C7" i="17" s="1"/>
  <c r="C21" i="13"/>
  <c r="C19" i="13"/>
  <c r="C18" i="13"/>
  <c r="C14" i="13"/>
  <c r="C12" i="13"/>
  <c r="C9" i="13"/>
  <c r="C13" i="13" s="1"/>
  <c r="C6" i="13"/>
  <c r="C5" i="13"/>
  <c r="C7" i="13" s="1"/>
  <c r="C21" i="18"/>
  <c r="C19" i="18"/>
  <c r="C18" i="18"/>
  <c r="C14" i="18"/>
  <c r="C12" i="18"/>
  <c r="C9" i="18"/>
  <c r="C13" i="18" s="1"/>
  <c r="C6" i="18"/>
  <c r="C5" i="18"/>
  <c r="C7" i="18" s="1"/>
  <c r="C111" i="15"/>
  <c r="C109" i="15"/>
  <c r="C108" i="15"/>
  <c r="C99" i="15"/>
  <c r="C95" i="15"/>
  <c r="C65" i="15"/>
  <c r="C53" i="15"/>
  <c r="C49" i="15"/>
  <c r="C42" i="15"/>
  <c r="C40" i="15"/>
  <c r="C39" i="15"/>
  <c r="C30" i="15"/>
  <c r="C26" i="15"/>
  <c r="C21" i="15"/>
  <c r="C19" i="15"/>
  <c r="C18" i="15"/>
  <c r="C9" i="15"/>
  <c r="C5" i="15"/>
  <c r="C94" i="13" l="1"/>
  <c r="C28" i="13"/>
  <c r="C25" i="13" s="1"/>
  <c r="C97" i="11"/>
  <c r="C94" i="11" s="1"/>
  <c r="C34" i="11"/>
  <c r="C97" i="9"/>
  <c r="C94" i="9" s="1"/>
  <c r="C113" i="9" s="1"/>
  <c r="C48" i="7"/>
  <c r="C67" i="7" s="1"/>
  <c r="C107" i="10"/>
  <c r="C48" i="10"/>
  <c r="C67" i="10" s="1"/>
  <c r="C97" i="5"/>
  <c r="C94" i="5" s="1"/>
  <c r="C107" i="6"/>
  <c r="C38" i="4"/>
  <c r="C28" i="4"/>
  <c r="C25" i="4" s="1"/>
  <c r="C107" i="4"/>
  <c r="C97" i="4"/>
  <c r="C94" i="4" s="1"/>
  <c r="C48" i="4"/>
  <c r="C67" i="4" s="1"/>
  <c r="C4" i="4"/>
  <c r="C97" i="6"/>
  <c r="C94" i="6" s="1"/>
  <c r="C113" i="6" s="1"/>
  <c r="C38" i="6"/>
  <c r="C28" i="6"/>
  <c r="C25" i="6" s="1"/>
  <c r="C38" i="5"/>
  <c r="C28" i="5"/>
  <c r="C25" i="5" s="1"/>
  <c r="C97" i="10"/>
  <c r="C94" i="10" s="1"/>
  <c r="C28" i="10"/>
  <c r="C25" i="10" s="1"/>
  <c r="C97" i="7"/>
  <c r="C94" i="7" s="1"/>
  <c r="C76" i="7"/>
  <c r="C80" i="7" s="1"/>
  <c r="C71" i="7" s="1"/>
  <c r="C85" i="7"/>
  <c r="C34" i="7"/>
  <c r="C28" i="7"/>
  <c r="C25" i="7" s="1"/>
  <c r="C44" i="7" s="1"/>
  <c r="C4" i="7"/>
  <c r="C97" i="19"/>
  <c r="C94" i="19" s="1"/>
  <c r="C48" i="19"/>
  <c r="C67" i="19" s="1"/>
  <c r="C38" i="19"/>
  <c r="C28" i="19"/>
  <c r="C25" i="19" s="1"/>
  <c r="C44" i="19" s="1"/>
  <c r="C4" i="19"/>
  <c r="C48" i="9"/>
  <c r="C67" i="9" s="1"/>
  <c r="C38" i="9"/>
  <c r="C28" i="9"/>
  <c r="C25" i="9" s="1"/>
  <c r="C44" i="9" s="1"/>
  <c r="C4" i="9"/>
  <c r="C38" i="11"/>
  <c r="C28" i="11"/>
  <c r="C25" i="11" s="1"/>
  <c r="C4" i="11"/>
  <c r="C97" i="12"/>
  <c r="C94" i="12" s="1"/>
  <c r="C28" i="12"/>
  <c r="C25" i="12" s="1"/>
  <c r="C44" i="12" s="1"/>
  <c r="C4" i="12"/>
  <c r="C107" i="14"/>
  <c r="C97" i="14"/>
  <c r="C94" i="14" s="1"/>
  <c r="C38" i="14"/>
  <c r="C34" i="14"/>
  <c r="C28" i="14"/>
  <c r="C4" i="14"/>
  <c r="C107" i="17"/>
  <c r="C97" i="17"/>
  <c r="C94" i="17" s="1"/>
  <c r="C38" i="17"/>
  <c r="C28" i="17"/>
  <c r="C25" i="17" s="1"/>
  <c r="C44" i="17" s="1"/>
  <c r="C4" i="17"/>
  <c r="C48" i="13"/>
  <c r="C67" i="13" s="1"/>
  <c r="C44" i="13"/>
  <c r="C107" i="18"/>
  <c r="C97" i="18"/>
  <c r="C94" i="18" s="1"/>
  <c r="C38" i="18"/>
  <c r="C28" i="18"/>
  <c r="C25" i="18" s="1"/>
  <c r="C48" i="11"/>
  <c r="C67" i="11" s="1"/>
  <c r="C48" i="12"/>
  <c r="C67" i="12" s="1"/>
  <c r="C48" i="6"/>
  <c r="C67" i="6" s="1"/>
  <c r="C48" i="5"/>
  <c r="C67" i="5" s="1"/>
  <c r="C48" i="17"/>
  <c r="C67" i="17" s="1"/>
  <c r="C48" i="18"/>
  <c r="C67" i="18" s="1"/>
  <c r="C4" i="6"/>
  <c r="C4" i="5"/>
  <c r="C4" i="10"/>
  <c r="C4" i="13"/>
  <c r="C4" i="18"/>
  <c r="C44" i="18" l="1"/>
  <c r="C25" i="14"/>
  <c r="C44" i="14" s="1"/>
  <c r="C44" i="11"/>
  <c r="C44" i="5"/>
  <c r="C44" i="6"/>
  <c r="C113" i="4"/>
  <c r="C44" i="4"/>
  <c r="C113" i="5"/>
  <c r="C113" i="10"/>
  <c r="C113" i="7"/>
  <c r="C113" i="11"/>
  <c r="C113" i="12"/>
  <c r="C113" i="14"/>
  <c r="C113" i="17"/>
  <c r="C113" i="13"/>
  <c r="E42" i="18"/>
  <c r="F42" i="18"/>
  <c r="D42" i="18"/>
  <c r="E111" i="18"/>
  <c r="F111" i="18"/>
  <c r="D111" i="18"/>
  <c r="F21" i="33"/>
  <c r="E21" i="33"/>
  <c r="D21" i="33"/>
  <c r="E21" i="34"/>
  <c r="F21" i="34"/>
  <c r="D21" i="34"/>
  <c r="E42" i="15"/>
  <c r="F42" i="15"/>
  <c r="D42" i="15"/>
  <c r="E111" i="15"/>
  <c r="F111" i="15"/>
  <c r="D111" i="15"/>
  <c r="D42" i="13"/>
  <c r="E42" i="13"/>
  <c r="F42" i="13"/>
  <c r="D111" i="13"/>
  <c r="E111" i="13"/>
  <c r="F111" i="13"/>
  <c r="C113" i="18" l="1"/>
  <c r="B85" i="6"/>
  <c r="B86" i="6"/>
  <c r="B88" i="6"/>
  <c r="B17" i="15" l="1"/>
  <c r="C17" i="15" s="1"/>
  <c r="H19" i="34" l="1"/>
  <c r="H43" i="34" s="1"/>
  <c r="I19" i="34"/>
  <c r="G19" i="34"/>
  <c r="G43" i="34" s="1"/>
  <c r="H18" i="34"/>
  <c r="H42" i="34" s="1"/>
  <c r="I18" i="34"/>
  <c r="G18" i="34"/>
  <c r="G42" i="34" s="1"/>
  <c r="H19" i="33"/>
  <c r="I19" i="33"/>
  <c r="K19" i="33" s="1"/>
  <c r="G19" i="33"/>
  <c r="H18" i="33"/>
  <c r="I18" i="33"/>
  <c r="K18" i="33" s="1"/>
  <c r="G18" i="33"/>
  <c r="K18" i="34" l="1"/>
  <c r="K42" i="34" s="1"/>
  <c r="I42" i="34"/>
  <c r="L19" i="34"/>
  <c r="L43" i="34" s="1"/>
  <c r="I43" i="34"/>
  <c r="J19" i="33"/>
  <c r="J283" i="33" s="1"/>
  <c r="L19" i="33"/>
  <c r="L91" i="33" s="1"/>
  <c r="K42" i="33"/>
  <c r="K330" i="33"/>
  <c r="K186" i="33"/>
  <c r="K306" i="33"/>
  <c r="K162" i="33"/>
  <c r="K66" i="33"/>
  <c r="K282" i="33"/>
  <c r="K138" i="33"/>
  <c r="K210" i="33"/>
  <c r="K234" i="33"/>
  <c r="K258" i="33"/>
  <c r="K114" i="33"/>
  <c r="K90" i="33"/>
  <c r="K353" i="33"/>
  <c r="N18" i="33"/>
  <c r="M18" i="33"/>
  <c r="O18" i="33"/>
  <c r="N19" i="34"/>
  <c r="N43" i="34" s="1"/>
  <c r="M19" i="34"/>
  <c r="M43" i="34" s="1"/>
  <c r="H353" i="33"/>
  <c r="H330" i="33"/>
  <c r="H306" i="33"/>
  <c r="H282" i="33"/>
  <c r="H258" i="33"/>
  <c r="H234" i="33"/>
  <c r="H210" i="33"/>
  <c r="H186" i="33"/>
  <c r="H138" i="33"/>
  <c r="H162" i="33"/>
  <c r="H90" i="33"/>
  <c r="H114" i="33"/>
  <c r="H66" i="33"/>
  <c r="H42" i="33"/>
  <c r="J19" i="34"/>
  <c r="J43" i="34" s="1"/>
  <c r="K19" i="34"/>
  <c r="K43" i="34" s="1"/>
  <c r="G353" i="33"/>
  <c r="G330" i="33"/>
  <c r="G306" i="33"/>
  <c r="G282" i="33"/>
  <c r="G258" i="33"/>
  <c r="G234" i="33"/>
  <c r="G210" i="33"/>
  <c r="G186" i="33"/>
  <c r="G162" i="33"/>
  <c r="G138" i="33"/>
  <c r="G90" i="33"/>
  <c r="G114" i="33"/>
  <c r="G66" i="33"/>
  <c r="G42" i="33"/>
  <c r="J43" i="33"/>
  <c r="J354" i="33"/>
  <c r="J331" i="33"/>
  <c r="J307" i="33"/>
  <c r="J259" i="33"/>
  <c r="J235" i="33"/>
  <c r="J211" i="33"/>
  <c r="J187" i="33"/>
  <c r="J163" i="33"/>
  <c r="J139" i="33"/>
  <c r="J91" i="33"/>
  <c r="J115" i="33"/>
  <c r="J67" i="33"/>
  <c r="K235" i="33"/>
  <c r="K43" i="33"/>
  <c r="K354" i="33"/>
  <c r="K331" i="33"/>
  <c r="K307" i="33"/>
  <c r="K283" i="33"/>
  <c r="K259" i="33"/>
  <c r="K211" i="33"/>
  <c r="K187" i="33"/>
  <c r="K163" i="33"/>
  <c r="K139" i="33"/>
  <c r="K91" i="33"/>
  <c r="K67" i="33"/>
  <c r="K115" i="33"/>
  <c r="L331" i="33"/>
  <c r="L43" i="33"/>
  <c r="L354" i="33"/>
  <c r="L211" i="33"/>
  <c r="L307" i="33"/>
  <c r="L163" i="33"/>
  <c r="L187" i="33"/>
  <c r="L283" i="33"/>
  <c r="L139" i="33"/>
  <c r="J18" i="33"/>
  <c r="G354" i="33"/>
  <c r="G331" i="33"/>
  <c r="G307" i="33"/>
  <c r="G283" i="33"/>
  <c r="G259" i="33"/>
  <c r="G235" i="33"/>
  <c r="G211" i="33"/>
  <c r="G187" i="33"/>
  <c r="G163" i="33"/>
  <c r="G139" i="33"/>
  <c r="G91" i="33"/>
  <c r="G115" i="33"/>
  <c r="G67" i="33"/>
  <c r="G43" i="33"/>
  <c r="J18" i="34"/>
  <c r="J42" i="34" s="1"/>
  <c r="I353" i="33"/>
  <c r="I330" i="33"/>
  <c r="I306" i="33"/>
  <c r="I282" i="33"/>
  <c r="I258" i="33"/>
  <c r="I234" i="33"/>
  <c r="I210" i="33"/>
  <c r="I186" i="33"/>
  <c r="I162" i="33"/>
  <c r="I138" i="33"/>
  <c r="I90" i="33"/>
  <c r="I114" i="33"/>
  <c r="I66" i="33"/>
  <c r="I42" i="33"/>
  <c r="L18" i="33"/>
  <c r="I331" i="33"/>
  <c r="I307" i="33"/>
  <c r="I283" i="33"/>
  <c r="I259" i="33"/>
  <c r="I235" i="33"/>
  <c r="I187" i="33"/>
  <c r="I91" i="33"/>
  <c r="I43" i="33"/>
  <c r="I354" i="33"/>
  <c r="I211" i="33"/>
  <c r="I163" i="33"/>
  <c r="I139" i="33"/>
  <c r="I115" i="33"/>
  <c r="I67" i="33"/>
  <c r="L18" i="34"/>
  <c r="L42" i="34" s="1"/>
  <c r="H43" i="33"/>
  <c r="H354" i="33"/>
  <c r="H331" i="33"/>
  <c r="H307" i="33"/>
  <c r="H283" i="33"/>
  <c r="H259" i="33"/>
  <c r="H235" i="33"/>
  <c r="H211" i="33"/>
  <c r="H187" i="33"/>
  <c r="H163" i="33"/>
  <c r="H139" i="33"/>
  <c r="H91" i="33"/>
  <c r="H115" i="33"/>
  <c r="H67" i="33"/>
  <c r="H93" i="33"/>
  <c r="G93" i="33"/>
  <c r="I93" i="33"/>
  <c r="D97" i="33"/>
  <c r="G101" i="33"/>
  <c r="H101" i="33"/>
  <c r="I101" i="33"/>
  <c r="L101" i="33" s="1"/>
  <c r="K101" i="33"/>
  <c r="G102" i="33"/>
  <c r="H102" i="33"/>
  <c r="I102" i="33"/>
  <c r="J102" i="33" s="1"/>
  <c r="G104" i="33"/>
  <c r="H104" i="33"/>
  <c r="I104" i="33"/>
  <c r="J104" i="33"/>
  <c r="K104" i="33"/>
  <c r="L104" i="33"/>
  <c r="M104" i="33" s="1"/>
  <c r="O104" i="33"/>
  <c r="N18" i="34" l="1"/>
  <c r="N42" i="34" s="1"/>
  <c r="O18" i="34"/>
  <c r="O42" i="34" s="1"/>
  <c r="M18" i="34"/>
  <c r="M42" i="34" s="1"/>
  <c r="M19" i="33"/>
  <c r="M235" i="33" s="1"/>
  <c r="L235" i="33"/>
  <c r="L259" i="33"/>
  <c r="O19" i="34"/>
  <c r="O43" i="34" s="1"/>
  <c r="L67" i="33"/>
  <c r="L115" i="33"/>
  <c r="N19" i="33"/>
  <c r="O19" i="33"/>
  <c r="N42" i="33"/>
  <c r="N353" i="33"/>
  <c r="N210" i="33"/>
  <c r="N114" i="33"/>
  <c r="N330" i="33"/>
  <c r="N186" i="33"/>
  <c r="N90" i="33"/>
  <c r="N282" i="33"/>
  <c r="N138" i="33"/>
  <c r="N66" i="33"/>
  <c r="N306" i="33"/>
  <c r="N162" i="33"/>
  <c r="N234" i="33"/>
  <c r="N258" i="33"/>
  <c r="L42" i="33"/>
  <c r="L330" i="33"/>
  <c r="L186" i="33"/>
  <c r="L306" i="33"/>
  <c r="L162" i="33"/>
  <c r="L66" i="33"/>
  <c r="L282" i="33"/>
  <c r="L353" i="33"/>
  <c r="L210" i="33"/>
  <c r="L234" i="33"/>
  <c r="L258" i="33"/>
  <c r="L114" i="33"/>
  <c r="L90" i="33"/>
  <c r="L138" i="33"/>
  <c r="O234" i="33"/>
  <c r="O42" i="33"/>
  <c r="O353" i="33"/>
  <c r="O210" i="33"/>
  <c r="O114" i="33"/>
  <c r="O330" i="33"/>
  <c r="O186" i="33"/>
  <c r="O258" i="33"/>
  <c r="O282" i="33"/>
  <c r="O138" i="33"/>
  <c r="O306" i="33"/>
  <c r="O66" i="33"/>
  <c r="O162" i="33"/>
  <c r="O90" i="33"/>
  <c r="M42" i="33"/>
  <c r="M353" i="33"/>
  <c r="M210" i="33"/>
  <c r="M114" i="33"/>
  <c r="M330" i="33"/>
  <c r="M186" i="33"/>
  <c r="M306" i="33"/>
  <c r="M162" i="33"/>
  <c r="M66" i="33"/>
  <c r="M138" i="33"/>
  <c r="M282" i="33"/>
  <c r="M234" i="33"/>
  <c r="M258" i="33"/>
  <c r="M90" i="33"/>
  <c r="J353" i="33"/>
  <c r="J330" i="33"/>
  <c r="J306" i="33"/>
  <c r="J282" i="33"/>
  <c r="J258" i="33"/>
  <c r="J234" i="33"/>
  <c r="J210" i="33"/>
  <c r="J186" i="33"/>
  <c r="J162" i="33"/>
  <c r="J138" i="33"/>
  <c r="J90" i="33"/>
  <c r="J42" i="33"/>
  <c r="J66" i="33"/>
  <c r="J114" i="33"/>
  <c r="M283" i="33"/>
  <c r="M139" i="33"/>
  <c r="M259" i="33"/>
  <c r="M91" i="33"/>
  <c r="M331" i="33"/>
  <c r="M187" i="33"/>
  <c r="M354" i="33"/>
  <c r="M211" i="33"/>
  <c r="M307" i="33"/>
  <c r="M163" i="33"/>
  <c r="M67" i="33"/>
  <c r="M43" i="33"/>
  <c r="J101" i="33"/>
  <c r="N104" i="33"/>
  <c r="O101" i="33"/>
  <c r="N101" i="33"/>
  <c r="M101" i="33"/>
  <c r="P101" i="33" s="1"/>
  <c r="P104" i="33"/>
  <c r="L102" i="33"/>
  <c r="K102" i="33"/>
  <c r="O102" i="33"/>
  <c r="G3" i="69"/>
  <c r="G2" i="69"/>
  <c r="M115" i="33" l="1"/>
  <c r="O115" i="33"/>
  <c r="O331" i="33"/>
  <c r="O91" i="33"/>
  <c r="O43" i="33"/>
  <c r="O187" i="33"/>
  <c r="O67" i="33"/>
  <c r="O283" i="33"/>
  <c r="O259" i="33"/>
  <c r="O354" i="33"/>
  <c r="O307" i="33"/>
  <c r="O211" i="33"/>
  <c r="O163" i="33"/>
  <c r="O235" i="33"/>
  <c r="O139" i="33"/>
  <c r="N354" i="33"/>
  <c r="N307" i="33"/>
  <c r="N283" i="33"/>
  <c r="N259" i="33"/>
  <c r="N163" i="33"/>
  <c r="N331" i="33"/>
  <c r="N43" i="33"/>
  <c r="N67" i="33"/>
  <c r="N211" i="33"/>
  <c r="N235" i="33"/>
  <c r="N139" i="33"/>
  <c r="N91" i="33"/>
  <c r="N115" i="33"/>
  <c r="N187" i="33"/>
  <c r="N102" i="33"/>
  <c r="M102" i="33"/>
  <c r="P102" i="33" s="1"/>
  <c r="F5" i="34"/>
  <c r="E351" i="34"/>
  <c r="F351" i="34"/>
  <c r="E340" i="34"/>
  <c r="F340" i="34"/>
  <c r="D340" i="34"/>
  <c r="E328" i="34"/>
  <c r="F328" i="34"/>
  <c r="E317" i="34"/>
  <c r="F317" i="34"/>
  <c r="D317" i="34"/>
  <c r="E304" i="34"/>
  <c r="F304" i="34"/>
  <c r="E293" i="34"/>
  <c r="F293" i="34"/>
  <c r="D293" i="34"/>
  <c r="E280" i="34"/>
  <c r="F280" i="34"/>
  <c r="E269" i="34"/>
  <c r="F269" i="34"/>
  <c r="D269" i="34"/>
  <c r="E256" i="34"/>
  <c r="F256" i="34"/>
  <c r="E245" i="34"/>
  <c r="F245" i="34"/>
  <c r="D245" i="34"/>
  <c r="E232" i="34"/>
  <c r="F232" i="34"/>
  <c r="E221" i="34"/>
  <c r="F221" i="34"/>
  <c r="D221" i="34"/>
  <c r="E208" i="34"/>
  <c r="F208" i="34"/>
  <c r="F197" i="34"/>
  <c r="E197" i="34"/>
  <c r="D197" i="34"/>
  <c r="E184" i="34"/>
  <c r="F184" i="34"/>
  <c r="E173" i="34"/>
  <c r="F173" i="34"/>
  <c r="D173" i="34"/>
  <c r="E160" i="34"/>
  <c r="F160" i="34"/>
  <c r="E149" i="34"/>
  <c r="F149" i="34"/>
  <c r="D149" i="34"/>
  <c r="E136" i="34"/>
  <c r="F136" i="34"/>
  <c r="E125" i="34"/>
  <c r="F125" i="34"/>
  <c r="D125" i="34"/>
  <c r="E112" i="34"/>
  <c r="F112" i="34"/>
  <c r="E88" i="34"/>
  <c r="F88" i="34"/>
  <c r="E64" i="34"/>
  <c r="F64" i="34"/>
  <c r="E40" i="34"/>
  <c r="F40" i="34"/>
  <c r="E16" i="34"/>
  <c r="F16" i="34"/>
  <c r="E101" i="34"/>
  <c r="F101" i="34"/>
  <c r="D101" i="34"/>
  <c r="E77" i="34"/>
  <c r="F77" i="34"/>
  <c r="D77" i="34"/>
  <c r="E53" i="34"/>
  <c r="F53" i="34"/>
  <c r="D53" i="34"/>
  <c r="E29" i="34"/>
  <c r="F29" i="34"/>
  <c r="D29" i="34"/>
  <c r="E9" i="34"/>
  <c r="E5" i="34"/>
  <c r="D9" i="34"/>
  <c r="P9" i="34" s="1"/>
  <c r="Q9" i="34" s="1"/>
  <c r="D5" i="34"/>
  <c r="E363" i="34" l="1"/>
  <c r="D77" i="80"/>
  <c r="D75" i="80" s="1"/>
  <c r="E77" i="80"/>
  <c r="E75" i="80" s="1"/>
  <c r="F77" i="80"/>
  <c r="F75" i="80" s="1"/>
  <c r="G77" i="80"/>
  <c r="G75" i="80" s="1"/>
  <c r="H77" i="80"/>
  <c r="H75" i="80" s="1"/>
  <c r="I77" i="80"/>
  <c r="I75" i="80" s="1"/>
  <c r="J77" i="80"/>
  <c r="J75" i="80" s="1"/>
  <c r="K77" i="80"/>
  <c r="K75" i="80" s="1"/>
  <c r="L77" i="80"/>
  <c r="L75" i="80" s="1"/>
  <c r="M77" i="80"/>
  <c r="M75" i="80" s="1"/>
  <c r="N77" i="80"/>
  <c r="N75" i="80" s="1"/>
  <c r="C77" i="80"/>
  <c r="C75" i="80" s="1"/>
  <c r="D69" i="80" l="1"/>
  <c r="E69" i="80"/>
  <c r="G69" i="80"/>
  <c r="D71" i="80"/>
  <c r="E71" i="80"/>
  <c r="F71" i="80"/>
  <c r="F69" i="80" s="1"/>
  <c r="G71" i="80"/>
  <c r="H71" i="80"/>
  <c r="H69" i="80" s="1"/>
  <c r="I71" i="80"/>
  <c r="I69" i="80" s="1"/>
  <c r="J71" i="80"/>
  <c r="J69" i="80" s="1"/>
  <c r="K71" i="80"/>
  <c r="K69" i="80" s="1"/>
  <c r="L71" i="80"/>
  <c r="L69" i="80" s="1"/>
  <c r="M71" i="80"/>
  <c r="M69" i="80" s="1"/>
  <c r="N71" i="80"/>
  <c r="N69" i="80" s="1"/>
  <c r="C71" i="80"/>
  <c r="C69" i="80" s="1"/>
  <c r="D63" i="80" l="1"/>
  <c r="E63" i="80"/>
  <c r="F63" i="80"/>
  <c r="G63" i="80"/>
  <c r="H63" i="80"/>
  <c r="I63" i="80"/>
  <c r="J63" i="80"/>
  <c r="K63" i="80"/>
  <c r="L63" i="80"/>
  <c r="M63" i="80"/>
  <c r="N63" i="80"/>
  <c r="C63" i="80"/>
  <c r="D57" i="80" l="1"/>
  <c r="E57" i="80"/>
  <c r="F57" i="80"/>
  <c r="G57" i="80"/>
  <c r="H57" i="80"/>
  <c r="I57" i="80"/>
  <c r="J57" i="80"/>
  <c r="K57" i="80"/>
  <c r="L57" i="80"/>
  <c r="M57" i="80"/>
  <c r="N57" i="80"/>
  <c r="C57" i="80"/>
  <c r="K53" i="80" l="1"/>
  <c r="N53" i="80"/>
  <c r="D51" i="80"/>
  <c r="D53" i="80" s="1"/>
  <c r="E51" i="80"/>
  <c r="E53" i="80" s="1"/>
  <c r="F51" i="80"/>
  <c r="F53" i="80" s="1"/>
  <c r="G51" i="80"/>
  <c r="G53" i="80" s="1"/>
  <c r="H51" i="80"/>
  <c r="H53" i="80" s="1"/>
  <c r="I51" i="80"/>
  <c r="I53" i="80" s="1"/>
  <c r="J51" i="80"/>
  <c r="J53" i="80" s="1"/>
  <c r="K51" i="80"/>
  <c r="L51" i="80"/>
  <c r="L53" i="80" s="1"/>
  <c r="M51" i="80"/>
  <c r="M53" i="80" s="1"/>
  <c r="N51" i="80"/>
  <c r="C51" i="80"/>
  <c r="D45" i="80" l="1"/>
  <c r="D47" i="80" s="1"/>
  <c r="E45" i="80"/>
  <c r="E47" i="80" s="1"/>
  <c r="F45" i="80"/>
  <c r="F47" i="80" s="1"/>
  <c r="G45" i="80"/>
  <c r="G47" i="80" s="1"/>
  <c r="H45" i="80"/>
  <c r="H47" i="80" s="1"/>
  <c r="I45" i="80"/>
  <c r="I47" i="80" s="1"/>
  <c r="J45" i="80"/>
  <c r="J47" i="80" s="1"/>
  <c r="K45" i="80"/>
  <c r="K47" i="80" s="1"/>
  <c r="L45" i="80"/>
  <c r="L47" i="80" s="1"/>
  <c r="M45" i="80"/>
  <c r="M47" i="80" s="1"/>
  <c r="N45" i="80"/>
  <c r="N47" i="80" s="1"/>
  <c r="C45" i="80"/>
  <c r="L39" i="80" l="1"/>
  <c r="D41" i="80"/>
  <c r="D39" i="80" s="1"/>
  <c r="E41" i="80"/>
  <c r="E39" i="80" s="1"/>
  <c r="F41" i="80"/>
  <c r="F39" i="80" s="1"/>
  <c r="G41" i="80"/>
  <c r="G39" i="80" s="1"/>
  <c r="H41" i="80"/>
  <c r="H39" i="80" s="1"/>
  <c r="I41" i="80"/>
  <c r="I39" i="80" s="1"/>
  <c r="J41" i="80"/>
  <c r="J39" i="80" s="1"/>
  <c r="K41" i="80"/>
  <c r="K39" i="80" s="1"/>
  <c r="L41" i="80"/>
  <c r="M41" i="80"/>
  <c r="M39" i="80" s="1"/>
  <c r="N41" i="80"/>
  <c r="N39" i="80" s="1"/>
  <c r="C41" i="80"/>
  <c r="C39" i="80" s="1"/>
  <c r="D21" i="80" l="1"/>
  <c r="E21" i="80"/>
  <c r="F21" i="80"/>
  <c r="G21" i="80"/>
  <c r="H21" i="80"/>
  <c r="I21" i="80"/>
  <c r="J21" i="80"/>
  <c r="K21" i="80"/>
  <c r="L21" i="80"/>
  <c r="M21" i="80"/>
  <c r="N21" i="80"/>
  <c r="C21" i="80"/>
  <c r="K3" i="80" l="1"/>
  <c r="D5" i="80"/>
  <c r="D3" i="80" s="1"/>
  <c r="E5" i="80"/>
  <c r="E3" i="80" s="1"/>
  <c r="F5" i="80"/>
  <c r="F3" i="80" s="1"/>
  <c r="G5" i="80"/>
  <c r="G3" i="80" s="1"/>
  <c r="H5" i="80"/>
  <c r="H3" i="80" s="1"/>
  <c r="I5" i="80"/>
  <c r="I3" i="80" s="1"/>
  <c r="J5" i="80"/>
  <c r="J3" i="80" s="1"/>
  <c r="K5" i="80"/>
  <c r="L5" i="80"/>
  <c r="L3" i="80" s="1"/>
  <c r="M5" i="80"/>
  <c r="M3" i="80" s="1"/>
  <c r="N5" i="80"/>
  <c r="N3" i="80" s="1"/>
  <c r="C5" i="80"/>
  <c r="C3" i="80" l="1"/>
  <c r="I333" i="34"/>
  <c r="J333" i="34" s="1"/>
  <c r="H333" i="34"/>
  <c r="G333" i="34"/>
  <c r="I309" i="34"/>
  <c r="I42" i="18" s="1"/>
  <c r="H309" i="34"/>
  <c r="H42" i="18" s="1"/>
  <c r="G309" i="34"/>
  <c r="G42" i="18" s="1"/>
  <c r="I285" i="34"/>
  <c r="J285" i="34" s="1"/>
  <c r="H285" i="34"/>
  <c r="G285" i="34"/>
  <c r="I261" i="34"/>
  <c r="H261" i="34"/>
  <c r="H42" i="15" s="1"/>
  <c r="G261" i="34"/>
  <c r="G42" i="15" s="1"/>
  <c r="I237" i="34"/>
  <c r="J237" i="34" s="1"/>
  <c r="H237" i="34"/>
  <c r="G237" i="34"/>
  <c r="I213" i="34"/>
  <c r="H213" i="34"/>
  <c r="H42" i="13" s="1"/>
  <c r="G213" i="34"/>
  <c r="G42" i="13" s="1"/>
  <c r="I189" i="34"/>
  <c r="J189" i="34" s="1"/>
  <c r="H189" i="34"/>
  <c r="G189" i="34"/>
  <c r="I165" i="34"/>
  <c r="J165" i="34" s="1"/>
  <c r="H165" i="34"/>
  <c r="G165" i="34"/>
  <c r="I141" i="34"/>
  <c r="J141" i="34" s="1"/>
  <c r="H141" i="34"/>
  <c r="G141" i="34"/>
  <c r="I117" i="34"/>
  <c r="J117" i="34" s="1"/>
  <c r="H117" i="34"/>
  <c r="G117" i="34"/>
  <c r="I69" i="34"/>
  <c r="J69" i="34" s="1"/>
  <c r="H69" i="34"/>
  <c r="G69" i="34"/>
  <c r="I45" i="34"/>
  <c r="J45" i="34" s="1"/>
  <c r="H45" i="34"/>
  <c r="G45" i="34"/>
  <c r="I333" i="33"/>
  <c r="H333" i="33"/>
  <c r="G333" i="33"/>
  <c r="I309" i="33"/>
  <c r="I111" i="18" s="1"/>
  <c r="H309" i="33"/>
  <c r="H111" i="18" s="1"/>
  <c r="G309" i="33"/>
  <c r="G111" i="18" s="1"/>
  <c r="I285" i="33"/>
  <c r="H285" i="33"/>
  <c r="G285" i="33"/>
  <c r="I261" i="33"/>
  <c r="I111" i="15" s="1"/>
  <c r="H261" i="33"/>
  <c r="H111" i="15" s="1"/>
  <c r="G261" i="33"/>
  <c r="G111" i="15" s="1"/>
  <c r="I237" i="33"/>
  <c r="H237" i="33"/>
  <c r="G237" i="33"/>
  <c r="I213" i="33"/>
  <c r="I111" i="13" s="1"/>
  <c r="H213" i="33"/>
  <c r="H111" i="13" s="1"/>
  <c r="G213" i="33"/>
  <c r="G111" i="13" s="1"/>
  <c r="I189" i="33"/>
  <c r="H189" i="33"/>
  <c r="G189" i="33"/>
  <c r="I165" i="33"/>
  <c r="H165" i="33"/>
  <c r="G165" i="33"/>
  <c r="I141" i="33"/>
  <c r="H141" i="33"/>
  <c r="G141" i="33"/>
  <c r="I117" i="33"/>
  <c r="H117" i="33"/>
  <c r="G117" i="33"/>
  <c r="I69" i="33"/>
  <c r="H69" i="33"/>
  <c r="G69" i="33"/>
  <c r="I45" i="33"/>
  <c r="H45" i="33"/>
  <c r="G45" i="33"/>
  <c r="K309" i="34" l="1"/>
  <c r="K42" i="18" s="1"/>
  <c r="K261" i="34"/>
  <c r="K42" i="15" s="1"/>
  <c r="I42" i="15"/>
  <c r="K213" i="34"/>
  <c r="K42" i="13" s="1"/>
  <c r="I42" i="13"/>
  <c r="K285" i="34"/>
  <c r="K333" i="34"/>
  <c r="L333" i="34"/>
  <c r="L309" i="34"/>
  <c r="L42" i="18" s="1"/>
  <c r="J309" i="34"/>
  <c r="J42" i="18" s="1"/>
  <c r="L285" i="34"/>
  <c r="L261" i="34"/>
  <c r="L42" i="15" s="1"/>
  <c r="J261" i="34"/>
  <c r="J42" i="15" s="1"/>
  <c r="K237" i="34"/>
  <c r="L237" i="34"/>
  <c r="L213" i="34"/>
  <c r="L42" i="13" s="1"/>
  <c r="J213" i="34"/>
  <c r="J42" i="13" s="1"/>
  <c r="K189" i="34"/>
  <c r="L189" i="34"/>
  <c r="K165" i="34"/>
  <c r="L165" i="34"/>
  <c r="K141" i="34"/>
  <c r="L141" i="34"/>
  <c r="K117" i="34"/>
  <c r="L117" i="34"/>
  <c r="K69" i="34"/>
  <c r="L69" i="34"/>
  <c r="K45" i="34"/>
  <c r="L45" i="34"/>
  <c r="N333" i="34" l="1"/>
  <c r="M333" i="34"/>
  <c r="O333" i="34"/>
  <c r="O309" i="34"/>
  <c r="O42" i="18" s="1"/>
  <c r="N309" i="34"/>
  <c r="N42" i="18" s="1"/>
  <c r="M309" i="34"/>
  <c r="M42" i="18" s="1"/>
  <c r="N285" i="34"/>
  <c r="M285" i="34"/>
  <c r="O285" i="34"/>
  <c r="O261" i="34"/>
  <c r="O42" i="15" s="1"/>
  <c r="N261" i="34"/>
  <c r="N42" i="15" s="1"/>
  <c r="M261" i="34"/>
  <c r="M42" i="15" s="1"/>
  <c r="N237" i="34"/>
  <c r="M237" i="34"/>
  <c r="O237" i="34"/>
  <c r="O213" i="34"/>
  <c r="O42" i="13" s="1"/>
  <c r="N213" i="34"/>
  <c r="N42" i="13" s="1"/>
  <c r="M213" i="34"/>
  <c r="M42" i="13" s="1"/>
  <c r="N189" i="34"/>
  <c r="M189" i="34"/>
  <c r="O189" i="34"/>
  <c r="N165" i="34"/>
  <c r="M165" i="34"/>
  <c r="O165" i="34"/>
  <c r="N141" i="34"/>
  <c r="M141" i="34"/>
  <c r="O141" i="34"/>
  <c r="N117" i="34"/>
  <c r="M117" i="34"/>
  <c r="O117" i="34"/>
  <c r="N69" i="34"/>
  <c r="M69" i="34"/>
  <c r="O69" i="34"/>
  <c r="N45" i="34"/>
  <c r="M45" i="34"/>
  <c r="O45" i="34"/>
  <c r="C36" i="84"/>
  <c r="D36" i="84"/>
  <c r="E36" i="84"/>
  <c r="F36" i="84"/>
  <c r="G36" i="84"/>
  <c r="H36" i="84"/>
  <c r="I36" i="84"/>
  <c r="J36" i="84"/>
  <c r="K36" i="84"/>
  <c r="L36" i="84"/>
  <c r="M36" i="84"/>
  <c r="B36" i="84"/>
  <c r="C26" i="84"/>
  <c r="D26" i="84"/>
  <c r="E26" i="84"/>
  <c r="F26" i="84"/>
  <c r="G26" i="84"/>
  <c r="H26" i="84"/>
  <c r="I26" i="84"/>
  <c r="J26" i="84"/>
  <c r="K26" i="84"/>
  <c r="L26" i="84"/>
  <c r="M26" i="84"/>
  <c r="B26" i="84"/>
  <c r="H21" i="33" l="1"/>
  <c r="I21" i="33"/>
  <c r="G21" i="33"/>
  <c r="J93" i="33" l="1"/>
  <c r="L93" i="33"/>
  <c r="K93" i="33"/>
  <c r="J309" i="33"/>
  <c r="J111" i="18" s="1"/>
  <c r="K285" i="33"/>
  <c r="L261" i="33"/>
  <c r="L111" i="15" s="1"/>
  <c r="J213" i="33"/>
  <c r="J111" i="13" s="1"/>
  <c r="K189" i="33"/>
  <c r="L165" i="33"/>
  <c r="J117" i="33"/>
  <c r="K69" i="33"/>
  <c r="L45" i="33"/>
  <c r="K141" i="33"/>
  <c r="L117" i="33"/>
  <c r="J45" i="33"/>
  <c r="J333" i="33"/>
  <c r="J237" i="33"/>
  <c r="K213" i="33"/>
  <c r="K111" i="13" s="1"/>
  <c r="L189" i="33"/>
  <c r="J141" i="33"/>
  <c r="K117" i="33"/>
  <c r="L69" i="33"/>
  <c r="L333" i="33"/>
  <c r="J285" i="33"/>
  <c r="K261" i="33"/>
  <c r="K111" i="15" s="1"/>
  <c r="L237" i="33"/>
  <c r="J189" i="33"/>
  <c r="K165" i="33"/>
  <c r="L141" i="33"/>
  <c r="J69" i="33"/>
  <c r="K45" i="33"/>
  <c r="K333" i="33"/>
  <c r="L309" i="33"/>
  <c r="L111" i="18" s="1"/>
  <c r="J261" i="33"/>
  <c r="J111" i="15" s="1"/>
  <c r="K237" i="33"/>
  <c r="L213" i="33"/>
  <c r="L111" i="13" s="1"/>
  <c r="J165" i="33"/>
  <c r="K309" i="33"/>
  <c r="K111" i="18" s="1"/>
  <c r="L285" i="33"/>
  <c r="J21" i="33"/>
  <c r="L21" i="33"/>
  <c r="K21" i="33"/>
  <c r="I21" i="34"/>
  <c r="J21" i="34" s="1"/>
  <c r="H21" i="34"/>
  <c r="G21" i="34"/>
  <c r="G143" i="33"/>
  <c r="H143" i="33" s="1"/>
  <c r="I143" i="33" s="1"/>
  <c r="J143" i="33" s="1"/>
  <c r="K143" i="33" s="1"/>
  <c r="L143" i="33" s="1"/>
  <c r="M143" i="33" s="1"/>
  <c r="N143" i="33" s="1"/>
  <c r="O143" i="33" s="1"/>
  <c r="N93" i="33" l="1"/>
  <c r="M93" i="33"/>
  <c r="O93" i="33"/>
  <c r="P93" i="33" s="1"/>
  <c r="M333" i="33"/>
  <c r="N309" i="33"/>
  <c r="N111" i="18" s="1"/>
  <c r="O285" i="33"/>
  <c r="M237" i="33"/>
  <c r="N213" i="33"/>
  <c r="N111" i="13" s="1"/>
  <c r="O189" i="33"/>
  <c r="M141" i="33"/>
  <c r="N117" i="33"/>
  <c r="O69" i="33"/>
  <c r="M285" i="33"/>
  <c r="N261" i="33"/>
  <c r="N111" i="15" s="1"/>
  <c r="O237" i="33"/>
  <c r="M69" i="33"/>
  <c r="N45" i="33"/>
  <c r="N333" i="33"/>
  <c r="O309" i="33"/>
  <c r="O111" i="18" s="1"/>
  <c r="N237" i="33"/>
  <c r="M165" i="33"/>
  <c r="M45" i="33"/>
  <c r="M309" i="33"/>
  <c r="M111" i="18" s="1"/>
  <c r="N285" i="33"/>
  <c r="O261" i="33"/>
  <c r="O111" i="15" s="1"/>
  <c r="M213" i="33"/>
  <c r="M111" i="13" s="1"/>
  <c r="N189" i="33"/>
  <c r="O165" i="33"/>
  <c r="M117" i="33"/>
  <c r="N69" i="33"/>
  <c r="O45" i="33"/>
  <c r="M189" i="33"/>
  <c r="N165" i="33"/>
  <c r="O141" i="33"/>
  <c r="M261" i="33"/>
  <c r="M111" i="15" s="1"/>
  <c r="P111" i="15" s="1"/>
  <c r="O213" i="33"/>
  <c r="O111" i="13" s="1"/>
  <c r="N141" i="33"/>
  <c r="O117" i="33"/>
  <c r="O333" i="33"/>
  <c r="M21" i="33"/>
  <c r="N21" i="33"/>
  <c r="O21" i="33"/>
  <c r="K21" i="34"/>
  <c r="L21" i="34"/>
  <c r="E206" i="46"/>
  <c r="F206" i="46"/>
  <c r="G206" i="46"/>
  <c r="H206" i="46"/>
  <c r="I206" i="46"/>
  <c r="J206" i="46"/>
  <c r="K206" i="46"/>
  <c r="L206" i="46"/>
  <c r="M206" i="46"/>
  <c r="N206" i="46"/>
  <c r="O206" i="46"/>
  <c r="D206" i="46"/>
  <c r="E341" i="46"/>
  <c r="F341" i="46"/>
  <c r="G341" i="46"/>
  <c r="H341" i="46"/>
  <c r="I341" i="46"/>
  <c r="J341" i="46"/>
  <c r="K341" i="46"/>
  <c r="L341" i="46"/>
  <c r="M341" i="46"/>
  <c r="N341" i="46"/>
  <c r="O341" i="46"/>
  <c r="E342" i="46"/>
  <c r="F342" i="46"/>
  <c r="G342" i="46"/>
  <c r="H342" i="46"/>
  <c r="I342" i="46"/>
  <c r="J342" i="46"/>
  <c r="K342" i="46"/>
  <c r="L342" i="46"/>
  <c r="M342" i="46"/>
  <c r="N342" i="46"/>
  <c r="O342" i="46"/>
  <c r="E343" i="46"/>
  <c r="F343" i="46"/>
  <c r="G343" i="46"/>
  <c r="H343" i="46"/>
  <c r="I343" i="46"/>
  <c r="J343" i="46"/>
  <c r="K343" i="46"/>
  <c r="L343" i="46"/>
  <c r="M343" i="46"/>
  <c r="N343" i="46"/>
  <c r="O343" i="46"/>
  <c r="E344" i="46"/>
  <c r="F344" i="46"/>
  <c r="G344" i="46"/>
  <c r="H344" i="46"/>
  <c r="I344" i="46"/>
  <c r="J344" i="46"/>
  <c r="K344" i="46"/>
  <c r="L344" i="46"/>
  <c r="M344" i="46"/>
  <c r="N344" i="46"/>
  <c r="O344" i="46"/>
  <c r="E345" i="46"/>
  <c r="F345" i="46"/>
  <c r="G345" i="46"/>
  <c r="H345" i="46"/>
  <c r="I345" i="46"/>
  <c r="J345" i="46"/>
  <c r="K345" i="46"/>
  <c r="L345" i="46"/>
  <c r="M345" i="46"/>
  <c r="N345" i="46"/>
  <c r="O345" i="46"/>
  <c r="E346" i="46"/>
  <c r="F346" i="46"/>
  <c r="G346" i="46"/>
  <c r="H346" i="46"/>
  <c r="I346" i="46"/>
  <c r="J346" i="46"/>
  <c r="K346" i="46"/>
  <c r="L346" i="46"/>
  <c r="M346" i="46"/>
  <c r="N346" i="46"/>
  <c r="O346" i="46"/>
  <c r="E347" i="46"/>
  <c r="F347" i="46"/>
  <c r="G347" i="46"/>
  <c r="H347" i="46"/>
  <c r="I347" i="46"/>
  <c r="J347" i="46"/>
  <c r="K347" i="46"/>
  <c r="L347" i="46"/>
  <c r="M347" i="46"/>
  <c r="N347" i="46"/>
  <c r="O347" i="46"/>
  <c r="E348" i="46"/>
  <c r="F348" i="46"/>
  <c r="G348" i="46"/>
  <c r="H348" i="46"/>
  <c r="I348" i="46"/>
  <c r="J348" i="46"/>
  <c r="K348" i="46"/>
  <c r="L348" i="46"/>
  <c r="M348" i="46"/>
  <c r="N348" i="46"/>
  <c r="O348" i="46"/>
  <c r="E349" i="46"/>
  <c r="F349" i="46"/>
  <c r="G349" i="46"/>
  <c r="H349" i="46"/>
  <c r="I349" i="46"/>
  <c r="J349" i="46"/>
  <c r="K349" i="46"/>
  <c r="L349" i="46"/>
  <c r="M349" i="46"/>
  <c r="N349" i="46"/>
  <c r="O349" i="46"/>
  <c r="E350" i="46"/>
  <c r="F350" i="46"/>
  <c r="G350" i="46"/>
  <c r="H350" i="46"/>
  <c r="I350" i="46"/>
  <c r="J350" i="46"/>
  <c r="K350" i="46"/>
  <c r="L350" i="46"/>
  <c r="M350" i="46"/>
  <c r="N350" i="46"/>
  <c r="O350" i="46"/>
  <c r="E351" i="46"/>
  <c r="F351" i="46"/>
  <c r="G351" i="46"/>
  <c r="H351" i="46"/>
  <c r="I351" i="46"/>
  <c r="J351" i="46"/>
  <c r="K351" i="46"/>
  <c r="L351" i="46"/>
  <c r="M351" i="46"/>
  <c r="N351" i="46"/>
  <c r="O351" i="46"/>
  <c r="E352" i="46"/>
  <c r="F352" i="46"/>
  <c r="G352" i="46"/>
  <c r="H352" i="46"/>
  <c r="I352" i="46"/>
  <c r="J352" i="46"/>
  <c r="K352" i="46"/>
  <c r="L352" i="46"/>
  <c r="M352" i="46"/>
  <c r="N352" i="46"/>
  <c r="O352" i="46"/>
  <c r="E353" i="46"/>
  <c r="F353" i="46"/>
  <c r="G353" i="46"/>
  <c r="H353" i="46"/>
  <c r="I353" i="46"/>
  <c r="J353" i="46"/>
  <c r="K353" i="46"/>
  <c r="L353" i="46"/>
  <c r="M353" i="46"/>
  <c r="N353" i="46"/>
  <c r="O353" i="46"/>
  <c r="E354" i="46"/>
  <c r="F354" i="46"/>
  <c r="G354" i="46"/>
  <c r="H354" i="46"/>
  <c r="I354" i="46"/>
  <c r="J354" i="46"/>
  <c r="K354" i="46"/>
  <c r="L354" i="46"/>
  <c r="M354" i="46"/>
  <c r="N354" i="46"/>
  <c r="O354" i="46"/>
  <c r="D342" i="46"/>
  <c r="D343" i="46"/>
  <c r="D344" i="46"/>
  <c r="D345" i="46"/>
  <c r="D346" i="46"/>
  <c r="D347" i="46"/>
  <c r="D348" i="46"/>
  <c r="D349" i="46"/>
  <c r="D350" i="46"/>
  <c r="D351" i="46"/>
  <c r="D352" i="46"/>
  <c r="D353" i="46"/>
  <c r="D354" i="46"/>
  <c r="D341" i="46"/>
  <c r="E323" i="46"/>
  <c r="F323" i="46"/>
  <c r="G323" i="46"/>
  <c r="H323" i="46"/>
  <c r="I323" i="46"/>
  <c r="J323" i="46"/>
  <c r="K323" i="46"/>
  <c r="L323" i="46"/>
  <c r="M323" i="46"/>
  <c r="N323" i="46"/>
  <c r="O323" i="46"/>
  <c r="E324" i="46"/>
  <c r="F324" i="46"/>
  <c r="G324" i="46"/>
  <c r="H324" i="46"/>
  <c r="I324" i="46"/>
  <c r="J324" i="46"/>
  <c r="K324" i="46"/>
  <c r="L324" i="46"/>
  <c r="M324" i="46"/>
  <c r="N324" i="46"/>
  <c r="O324" i="46"/>
  <c r="E325" i="46"/>
  <c r="F325" i="46"/>
  <c r="G325" i="46"/>
  <c r="H325" i="46"/>
  <c r="I325" i="46"/>
  <c r="J325" i="46"/>
  <c r="K325" i="46"/>
  <c r="L325" i="46"/>
  <c r="M325" i="46"/>
  <c r="N325" i="46"/>
  <c r="O325" i="46"/>
  <c r="E326" i="46"/>
  <c r="F326" i="46"/>
  <c r="G326" i="46"/>
  <c r="H326" i="46"/>
  <c r="I326" i="46"/>
  <c r="J326" i="46"/>
  <c r="K326" i="46"/>
  <c r="L326" i="46"/>
  <c r="M326" i="46"/>
  <c r="N326" i="46"/>
  <c r="O326" i="46"/>
  <c r="E327" i="46"/>
  <c r="F327" i="46"/>
  <c r="G327" i="46"/>
  <c r="H327" i="46"/>
  <c r="I327" i="46"/>
  <c r="J327" i="46"/>
  <c r="K327" i="46"/>
  <c r="L327" i="46"/>
  <c r="M327" i="46"/>
  <c r="N327" i="46"/>
  <c r="O327" i="46"/>
  <c r="E328" i="46"/>
  <c r="F328" i="46"/>
  <c r="G328" i="46"/>
  <c r="H328" i="46"/>
  <c r="I328" i="46"/>
  <c r="J328" i="46"/>
  <c r="K328" i="46"/>
  <c r="L328" i="46"/>
  <c r="M328" i="46"/>
  <c r="N328" i="46"/>
  <c r="O328" i="46"/>
  <c r="E329" i="46"/>
  <c r="F329" i="46"/>
  <c r="G329" i="46"/>
  <c r="H329" i="46"/>
  <c r="I329" i="46"/>
  <c r="J329" i="46"/>
  <c r="K329" i="46"/>
  <c r="L329" i="46"/>
  <c r="M329" i="46"/>
  <c r="N329" i="46"/>
  <c r="O329" i="46"/>
  <c r="E330" i="46"/>
  <c r="F330" i="46"/>
  <c r="G330" i="46"/>
  <c r="H330" i="46"/>
  <c r="I330" i="46"/>
  <c r="J330" i="46"/>
  <c r="K330" i="46"/>
  <c r="L330" i="46"/>
  <c r="M330" i="46"/>
  <c r="N330" i="46"/>
  <c r="O330" i="46"/>
  <c r="E331" i="46"/>
  <c r="F331" i="46"/>
  <c r="G331" i="46"/>
  <c r="H331" i="46"/>
  <c r="I331" i="46"/>
  <c r="J331" i="46"/>
  <c r="K331" i="46"/>
  <c r="L331" i="46"/>
  <c r="M331" i="46"/>
  <c r="N331" i="46"/>
  <c r="O331" i="46"/>
  <c r="E332" i="46"/>
  <c r="F332" i="46"/>
  <c r="G332" i="46"/>
  <c r="H332" i="46"/>
  <c r="I332" i="46"/>
  <c r="J332" i="46"/>
  <c r="K332" i="46"/>
  <c r="L332" i="46"/>
  <c r="M332" i="46"/>
  <c r="N332" i="46"/>
  <c r="O332" i="46"/>
  <c r="E333" i="46"/>
  <c r="F333" i="46"/>
  <c r="G333" i="46"/>
  <c r="H333" i="46"/>
  <c r="I333" i="46"/>
  <c r="J333" i="46"/>
  <c r="K333" i="46"/>
  <c r="L333" i="46"/>
  <c r="M333" i="46"/>
  <c r="N333" i="46"/>
  <c r="O333" i="46"/>
  <c r="E334" i="46"/>
  <c r="F334" i="46"/>
  <c r="G334" i="46"/>
  <c r="H334" i="46"/>
  <c r="I334" i="46"/>
  <c r="J334" i="46"/>
  <c r="K334" i="46"/>
  <c r="L334" i="46"/>
  <c r="M334" i="46"/>
  <c r="N334" i="46"/>
  <c r="O334" i="46"/>
  <c r="E335" i="46"/>
  <c r="F335" i="46"/>
  <c r="G335" i="46"/>
  <c r="H335" i="46"/>
  <c r="I335" i="46"/>
  <c r="J335" i="46"/>
  <c r="K335" i="46"/>
  <c r="L335" i="46"/>
  <c r="M335" i="46"/>
  <c r="N335" i="46"/>
  <c r="O335" i="46"/>
  <c r="E336" i="46"/>
  <c r="F336" i="46"/>
  <c r="G336" i="46"/>
  <c r="H336" i="46"/>
  <c r="I336" i="46"/>
  <c r="J336" i="46"/>
  <c r="K336" i="46"/>
  <c r="L336" i="46"/>
  <c r="M336" i="46"/>
  <c r="N336" i="46"/>
  <c r="O336" i="46"/>
  <c r="D324" i="46"/>
  <c r="D325" i="46"/>
  <c r="D326" i="46"/>
  <c r="D327" i="46"/>
  <c r="D328" i="46"/>
  <c r="D329" i="46"/>
  <c r="D330" i="46"/>
  <c r="D331" i="46"/>
  <c r="D332" i="46"/>
  <c r="D333" i="46"/>
  <c r="D334" i="46"/>
  <c r="D335" i="46"/>
  <c r="D336" i="46"/>
  <c r="D323" i="46"/>
  <c r="E281" i="46"/>
  <c r="F281" i="46"/>
  <c r="G281" i="46"/>
  <c r="H281" i="46"/>
  <c r="I281" i="46"/>
  <c r="J281" i="46"/>
  <c r="K281" i="46"/>
  <c r="L281" i="46"/>
  <c r="M281" i="46"/>
  <c r="N281" i="46"/>
  <c r="O281" i="46"/>
  <c r="E282" i="46"/>
  <c r="F282" i="46"/>
  <c r="G282" i="46"/>
  <c r="H282" i="46"/>
  <c r="I282" i="46"/>
  <c r="J282" i="46"/>
  <c r="K282" i="46"/>
  <c r="L282" i="46"/>
  <c r="M282" i="46"/>
  <c r="N282" i="46"/>
  <c r="O282" i="46"/>
  <c r="E283" i="46"/>
  <c r="F283" i="46"/>
  <c r="G283" i="46"/>
  <c r="H283" i="46"/>
  <c r="I283" i="46"/>
  <c r="J283" i="46"/>
  <c r="K283" i="46"/>
  <c r="L283" i="46"/>
  <c r="M283" i="46"/>
  <c r="N283" i="46"/>
  <c r="O283" i="46"/>
  <c r="E284" i="46"/>
  <c r="F284" i="46"/>
  <c r="G284" i="46"/>
  <c r="H284" i="46"/>
  <c r="I284" i="46"/>
  <c r="J284" i="46"/>
  <c r="K284" i="46"/>
  <c r="L284" i="46"/>
  <c r="M284" i="46"/>
  <c r="N284" i="46"/>
  <c r="O284" i="46"/>
  <c r="E285" i="46"/>
  <c r="F285" i="46"/>
  <c r="G285" i="46"/>
  <c r="H285" i="46"/>
  <c r="I285" i="46"/>
  <c r="J285" i="46"/>
  <c r="K285" i="46"/>
  <c r="L285" i="46"/>
  <c r="M285" i="46"/>
  <c r="N285" i="46"/>
  <c r="O285" i="46"/>
  <c r="E286" i="46"/>
  <c r="F286" i="46"/>
  <c r="G286" i="46"/>
  <c r="H286" i="46"/>
  <c r="I286" i="46"/>
  <c r="J286" i="46"/>
  <c r="K286" i="46"/>
  <c r="L286" i="46"/>
  <c r="M286" i="46"/>
  <c r="N286" i="46"/>
  <c r="O286" i="46"/>
  <c r="D282" i="46"/>
  <c r="D283" i="46"/>
  <c r="D284" i="46"/>
  <c r="D285" i="46"/>
  <c r="D286" i="46"/>
  <c r="D265" i="46"/>
  <c r="E265" i="46"/>
  <c r="F265" i="46"/>
  <c r="G265" i="46"/>
  <c r="H265" i="46"/>
  <c r="I265" i="46"/>
  <c r="J265" i="46"/>
  <c r="K265" i="46"/>
  <c r="L265" i="46"/>
  <c r="M265" i="46"/>
  <c r="N265" i="46"/>
  <c r="O265" i="46"/>
  <c r="D266" i="46"/>
  <c r="E266" i="46"/>
  <c r="F266" i="46"/>
  <c r="G266" i="46"/>
  <c r="H266" i="46"/>
  <c r="I266" i="46"/>
  <c r="J266" i="46"/>
  <c r="K266" i="46"/>
  <c r="L266" i="46"/>
  <c r="M266" i="46"/>
  <c r="N266" i="46"/>
  <c r="O266" i="46"/>
  <c r="D267" i="46"/>
  <c r="E267" i="46"/>
  <c r="F267" i="46"/>
  <c r="G267" i="46"/>
  <c r="H267" i="46"/>
  <c r="I267" i="46"/>
  <c r="J267" i="46"/>
  <c r="K267" i="46"/>
  <c r="L267" i="46"/>
  <c r="M267" i="46"/>
  <c r="N267" i="46"/>
  <c r="O267" i="46"/>
  <c r="D268" i="46"/>
  <c r="E268" i="46"/>
  <c r="F268" i="46"/>
  <c r="G268" i="46"/>
  <c r="H268" i="46"/>
  <c r="I268" i="46"/>
  <c r="J268" i="46"/>
  <c r="K268" i="46"/>
  <c r="L268" i="46"/>
  <c r="M268" i="46"/>
  <c r="N268" i="46"/>
  <c r="O268" i="46"/>
  <c r="E264" i="46"/>
  <c r="F264" i="46"/>
  <c r="G264" i="46"/>
  <c r="H264" i="46"/>
  <c r="I264" i="46"/>
  <c r="J264" i="46"/>
  <c r="K264" i="46"/>
  <c r="L264" i="46"/>
  <c r="M264" i="46"/>
  <c r="N264" i="46"/>
  <c r="O264" i="46"/>
  <c r="D264" i="46"/>
  <c r="P327" i="46" l="1"/>
  <c r="P352" i="46"/>
  <c r="P342" i="46"/>
  <c r="P348" i="46"/>
  <c r="P344" i="46"/>
  <c r="P336" i="46"/>
  <c r="P334" i="46"/>
  <c r="P332" i="46"/>
  <c r="P328" i="46"/>
  <c r="N355" i="46"/>
  <c r="J355" i="46"/>
  <c r="F355" i="46"/>
  <c r="P325" i="46"/>
  <c r="P329" i="46"/>
  <c r="P326" i="46"/>
  <c r="N337" i="46"/>
  <c r="P330" i="46"/>
  <c r="P354" i="46"/>
  <c r="P350" i="46"/>
  <c r="P346" i="46"/>
  <c r="P353" i="46"/>
  <c r="P351" i="46"/>
  <c r="P349" i="46"/>
  <c r="P347" i="46"/>
  <c r="P345" i="46"/>
  <c r="M355" i="46"/>
  <c r="I355" i="46"/>
  <c r="P343" i="46"/>
  <c r="O355" i="46"/>
  <c r="K355" i="46"/>
  <c r="G355" i="46"/>
  <c r="P323" i="46"/>
  <c r="L337" i="46"/>
  <c r="H337" i="46"/>
  <c r="F337" i="46"/>
  <c r="L355" i="46"/>
  <c r="H355" i="46"/>
  <c r="P324" i="46"/>
  <c r="M337" i="46"/>
  <c r="I337" i="46"/>
  <c r="J337" i="46"/>
  <c r="P333" i="46"/>
  <c r="P335" i="46"/>
  <c r="K337" i="46"/>
  <c r="G337" i="46"/>
  <c r="P331" i="46"/>
  <c r="O337" i="46"/>
  <c r="E355" i="46"/>
  <c r="N21" i="34"/>
  <c r="M21" i="34"/>
  <c r="O21" i="34"/>
  <c r="D355" i="46"/>
  <c r="E337" i="46"/>
  <c r="D337" i="46"/>
  <c r="P341" i="46"/>
  <c r="P337" i="46" l="1"/>
  <c r="P355" i="46"/>
  <c r="O201" i="88"/>
  <c r="N181" i="88"/>
  <c r="M181" i="88"/>
  <c r="L181" i="88"/>
  <c r="K181" i="88"/>
  <c r="J181" i="88"/>
  <c r="I181" i="88"/>
  <c r="H181" i="88"/>
  <c r="G181" i="88"/>
  <c r="F181" i="88"/>
  <c r="E181" i="88"/>
  <c r="D181" i="88"/>
  <c r="C181" i="88"/>
  <c r="O180" i="88"/>
  <c r="O179" i="88"/>
  <c r="O178" i="88"/>
  <c r="O177" i="88"/>
  <c r="O176" i="88"/>
  <c r="O175" i="88"/>
  <c r="O174" i="88"/>
  <c r="O173" i="88"/>
  <c r="O172" i="88"/>
  <c r="O171" i="88"/>
  <c r="O170" i="88"/>
  <c r="O169" i="88"/>
  <c r="O168" i="88"/>
  <c r="O167" i="88"/>
  <c r="N160" i="88"/>
  <c r="O297" i="46" s="1"/>
  <c r="M160" i="88"/>
  <c r="N297" i="46" s="1"/>
  <c r="L160" i="88"/>
  <c r="M297" i="46" s="1"/>
  <c r="K160" i="88"/>
  <c r="L297" i="46" s="1"/>
  <c r="J160" i="88"/>
  <c r="K297" i="46" s="1"/>
  <c r="I160" i="88"/>
  <c r="J297" i="46" s="1"/>
  <c r="H160" i="88"/>
  <c r="I297" i="46" s="1"/>
  <c r="G160" i="88"/>
  <c r="H297" i="46" s="1"/>
  <c r="F160" i="88"/>
  <c r="G297" i="46" s="1"/>
  <c r="E160" i="88"/>
  <c r="F297" i="46" s="1"/>
  <c r="D160" i="88"/>
  <c r="E297" i="46" s="1"/>
  <c r="C160" i="88"/>
  <c r="D297" i="46" s="1"/>
  <c r="O159" i="88"/>
  <c r="O158" i="88"/>
  <c r="O157" i="88"/>
  <c r="O156" i="88"/>
  <c r="O155" i="88"/>
  <c r="O154" i="88"/>
  <c r="O153" i="88"/>
  <c r="O152" i="88"/>
  <c r="O151" i="88"/>
  <c r="O150" i="88"/>
  <c r="O149" i="88"/>
  <c r="O148" i="88"/>
  <c r="O147" i="88"/>
  <c r="O146" i="88"/>
  <c r="N140" i="88"/>
  <c r="O295" i="46" s="1"/>
  <c r="M140" i="88"/>
  <c r="N295" i="46" s="1"/>
  <c r="L140" i="88"/>
  <c r="M295" i="46" s="1"/>
  <c r="K140" i="88"/>
  <c r="L295" i="46" s="1"/>
  <c r="J140" i="88"/>
  <c r="K295" i="46" s="1"/>
  <c r="I140" i="88"/>
  <c r="J295" i="46" s="1"/>
  <c r="H140" i="88"/>
  <c r="I295" i="46" s="1"/>
  <c r="G140" i="88"/>
  <c r="H295" i="46" s="1"/>
  <c r="F140" i="88"/>
  <c r="G295" i="46" s="1"/>
  <c r="E140" i="88"/>
  <c r="F295" i="46" s="1"/>
  <c r="D140" i="88"/>
  <c r="E295" i="46" s="1"/>
  <c r="C140" i="88"/>
  <c r="D295" i="46" s="1"/>
  <c r="O139" i="88"/>
  <c r="O138" i="88"/>
  <c r="O137" i="88"/>
  <c r="O136" i="88"/>
  <c r="O135" i="88"/>
  <c r="O134" i="88"/>
  <c r="O133" i="88"/>
  <c r="O132" i="88"/>
  <c r="O131" i="88"/>
  <c r="O130" i="88"/>
  <c r="O129" i="88"/>
  <c r="O128" i="88"/>
  <c r="O127" i="88"/>
  <c r="O126" i="88"/>
  <c r="O125" i="88"/>
  <c r="N121" i="88"/>
  <c r="O303" i="46" s="1"/>
  <c r="M121" i="88"/>
  <c r="N303" i="46" s="1"/>
  <c r="L121" i="88"/>
  <c r="M303" i="46" s="1"/>
  <c r="K121" i="88"/>
  <c r="L303" i="46" s="1"/>
  <c r="J121" i="88"/>
  <c r="K303" i="46" s="1"/>
  <c r="I121" i="88"/>
  <c r="J303" i="46" s="1"/>
  <c r="H121" i="88"/>
  <c r="I303" i="46" s="1"/>
  <c r="G121" i="88"/>
  <c r="F121" i="88"/>
  <c r="G303" i="46" s="1"/>
  <c r="E121" i="88"/>
  <c r="F303" i="46" s="1"/>
  <c r="D121" i="88"/>
  <c r="E303" i="46" s="1"/>
  <c r="C121" i="88"/>
  <c r="D303" i="46" s="1"/>
  <c r="O120" i="88"/>
  <c r="O119" i="88"/>
  <c r="O118" i="88"/>
  <c r="O117" i="88"/>
  <c r="O116" i="88"/>
  <c r="O115" i="88"/>
  <c r="O114" i="88"/>
  <c r="O113" i="88"/>
  <c r="O112" i="88"/>
  <c r="O111" i="88"/>
  <c r="O110" i="88"/>
  <c r="O109" i="88"/>
  <c r="O108" i="88"/>
  <c r="O107" i="88"/>
  <c r="N100" i="88"/>
  <c r="O304" i="46" s="1"/>
  <c r="M100" i="88"/>
  <c r="N304" i="46" s="1"/>
  <c r="L100" i="88"/>
  <c r="M304" i="46" s="1"/>
  <c r="K100" i="88"/>
  <c r="L304" i="46" s="1"/>
  <c r="J100" i="88"/>
  <c r="K304" i="46" s="1"/>
  <c r="I100" i="88"/>
  <c r="J304" i="46" s="1"/>
  <c r="H100" i="88"/>
  <c r="I304" i="46" s="1"/>
  <c r="G100" i="88"/>
  <c r="H304" i="46" s="1"/>
  <c r="F100" i="88"/>
  <c r="G304" i="46" s="1"/>
  <c r="E100" i="88"/>
  <c r="F304" i="46" s="1"/>
  <c r="D100" i="88"/>
  <c r="E304" i="46" s="1"/>
  <c r="C100" i="88"/>
  <c r="D304" i="46" s="1"/>
  <c r="O99" i="88"/>
  <c r="O98" i="88"/>
  <c r="O97" i="88"/>
  <c r="O96" i="88"/>
  <c r="O95" i="88"/>
  <c r="O94" i="88"/>
  <c r="O93" i="88"/>
  <c r="O92" i="88"/>
  <c r="O91" i="88"/>
  <c r="O90" i="88"/>
  <c r="O89" i="88"/>
  <c r="O88" i="88"/>
  <c r="O87" i="88"/>
  <c r="O86" i="88"/>
  <c r="N80" i="88"/>
  <c r="O306" i="46" s="1"/>
  <c r="M80" i="88"/>
  <c r="N306" i="46" s="1"/>
  <c r="L80" i="88"/>
  <c r="M306" i="46" s="1"/>
  <c r="M315" i="46" s="1"/>
  <c r="K80" i="88"/>
  <c r="L306" i="46" s="1"/>
  <c r="J80" i="88"/>
  <c r="K306" i="46" s="1"/>
  <c r="I80" i="88"/>
  <c r="J306" i="46" s="1"/>
  <c r="H80" i="88"/>
  <c r="I306" i="46" s="1"/>
  <c r="I315" i="46" s="1"/>
  <c r="G80" i="88"/>
  <c r="H306" i="46" s="1"/>
  <c r="F80" i="88"/>
  <c r="G306" i="46" s="1"/>
  <c r="E80" i="88"/>
  <c r="F306" i="46" s="1"/>
  <c r="D80" i="88"/>
  <c r="E306" i="46" s="1"/>
  <c r="E315" i="46" s="1"/>
  <c r="C80" i="88"/>
  <c r="D306" i="46" s="1"/>
  <c r="O79" i="88"/>
  <c r="O78" i="88"/>
  <c r="O77" i="88"/>
  <c r="O76" i="88"/>
  <c r="O75" i="88"/>
  <c r="O74" i="88"/>
  <c r="O73" i="88"/>
  <c r="O72" i="88"/>
  <c r="O71" i="88"/>
  <c r="O70" i="88"/>
  <c r="O69" i="88"/>
  <c r="O68" i="88"/>
  <c r="O67" i="88"/>
  <c r="O66" i="88"/>
  <c r="N60" i="88"/>
  <c r="M60" i="88"/>
  <c r="L60" i="88"/>
  <c r="K60" i="88"/>
  <c r="J60" i="88"/>
  <c r="I60" i="88"/>
  <c r="H60" i="88"/>
  <c r="G60" i="88"/>
  <c r="F60" i="88"/>
  <c r="E60" i="88"/>
  <c r="D60" i="88"/>
  <c r="C60" i="88"/>
  <c r="O59" i="88"/>
  <c r="O58" i="88"/>
  <c r="O57" i="88"/>
  <c r="O56" i="88"/>
  <c r="O55" i="88"/>
  <c r="O54" i="88"/>
  <c r="O53" i="88"/>
  <c r="O52" i="88"/>
  <c r="O51" i="88"/>
  <c r="O50" i="88"/>
  <c r="O49" i="88"/>
  <c r="O48" i="88"/>
  <c r="O47" i="88"/>
  <c r="O46" i="88"/>
  <c r="N41" i="88"/>
  <c r="M41" i="88"/>
  <c r="L41" i="88"/>
  <c r="K41" i="88"/>
  <c r="J41" i="88"/>
  <c r="I41" i="88"/>
  <c r="H41" i="88"/>
  <c r="G41" i="88"/>
  <c r="F41" i="88"/>
  <c r="E41" i="88"/>
  <c r="D41" i="88"/>
  <c r="C41" i="88"/>
  <c r="O40" i="88"/>
  <c r="O39" i="88"/>
  <c r="O38" i="88"/>
  <c r="O37" i="88"/>
  <c r="O36" i="88"/>
  <c r="O35" i="88"/>
  <c r="O34" i="88"/>
  <c r="O33" i="88"/>
  <c r="O32" i="88"/>
  <c r="O31" i="88"/>
  <c r="O30" i="88"/>
  <c r="O29" i="88"/>
  <c r="O28" i="88"/>
  <c r="O27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O22" i="88"/>
  <c r="O21" i="88"/>
  <c r="O20" i="88"/>
  <c r="O19" i="88"/>
  <c r="O18" i="88"/>
  <c r="O17" i="88"/>
  <c r="O16" i="88"/>
  <c r="O15" i="88"/>
  <c r="O14" i="88"/>
  <c r="O13" i="88"/>
  <c r="O12" i="88"/>
  <c r="O11" i="88"/>
  <c r="O10" i="88"/>
  <c r="O9" i="88"/>
  <c r="P5" i="43"/>
  <c r="H303" i="46" l="1"/>
  <c r="P303" i="46" s="1"/>
  <c r="O121" i="88"/>
  <c r="E305" i="46"/>
  <c r="I305" i="46"/>
  <c r="I307" i="46" s="1"/>
  <c r="M305" i="46"/>
  <c r="M307" i="46" s="1"/>
  <c r="F305" i="46"/>
  <c r="F307" i="46" s="1"/>
  <c r="N313" i="46"/>
  <c r="K313" i="46"/>
  <c r="H305" i="46"/>
  <c r="H307" i="46" s="1"/>
  <c r="L305" i="46"/>
  <c r="L307" i="46" s="1"/>
  <c r="E313" i="46"/>
  <c r="I313" i="46"/>
  <c r="M313" i="46"/>
  <c r="P306" i="46"/>
  <c r="L192" i="88"/>
  <c r="I294" i="46"/>
  <c r="D305" i="46"/>
  <c r="M190" i="88"/>
  <c r="G294" i="46"/>
  <c r="G296" i="46" s="1"/>
  <c r="G298" i="46" s="1"/>
  <c r="K194" i="88"/>
  <c r="K294" i="46"/>
  <c r="K296" i="46" s="1"/>
  <c r="K298" i="46" s="1"/>
  <c r="N198" i="88"/>
  <c r="O198" i="88" s="1"/>
  <c r="O294" i="46"/>
  <c r="O296" i="46" s="1"/>
  <c r="O298" i="46" s="1"/>
  <c r="N188" i="88"/>
  <c r="E294" i="46"/>
  <c r="N196" i="88"/>
  <c r="M294" i="46"/>
  <c r="E307" i="46"/>
  <c r="O140" i="88"/>
  <c r="F313" i="46"/>
  <c r="J313" i="46"/>
  <c r="P297" i="46"/>
  <c r="D315" i="46"/>
  <c r="H315" i="46"/>
  <c r="L315" i="46"/>
  <c r="L189" i="88"/>
  <c r="F294" i="46"/>
  <c r="N193" i="88"/>
  <c r="J294" i="46"/>
  <c r="N197" i="88"/>
  <c r="N294" i="46"/>
  <c r="D313" i="46"/>
  <c r="P304" i="46"/>
  <c r="J305" i="46"/>
  <c r="J307" i="46" s="1"/>
  <c r="N305" i="46"/>
  <c r="N307" i="46" s="1"/>
  <c r="G313" i="46"/>
  <c r="O313" i="46"/>
  <c r="G315" i="46"/>
  <c r="K315" i="46"/>
  <c r="O315" i="46"/>
  <c r="G305" i="46"/>
  <c r="G307" i="46" s="1"/>
  <c r="K305" i="46"/>
  <c r="K307" i="46" s="1"/>
  <c r="O305" i="46"/>
  <c r="O307" i="46" s="1"/>
  <c r="P295" i="46"/>
  <c r="H313" i="46"/>
  <c r="L313" i="46"/>
  <c r="F315" i="46"/>
  <c r="J315" i="46"/>
  <c r="N315" i="46"/>
  <c r="K187" i="88"/>
  <c r="D294" i="46"/>
  <c r="M191" i="88"/>
  <c r="H294" i="46"/>
  <c r="K195" i="88"/>
  <c r="L294" i="46"/>
  <c r="M188" i="88"/>
  <c r="M192" i="88"/>
  <c r="H190" i="88"/>
  <c r="L194" i="88"/>
  <c r="E188" i="88"/>
  <c r="L190" i="88"/>
  <c r="M196" i="88"/>
  <c r="I188" i="88"/>
  <c r="I192" i="88"/>
  <c r="O160" i="88"/>
  <c r="O181" i="88"/>
  <c r="K188" i="88"/>
  <c r="J190" i="88"/>
  <c r="K192" i="88"/>
  <c r="N194" i="88"/>
  <c r="G188" i="88"/>
  <c r="F190" i="88"/>
  <c r="N190" i="88"/>
  <c r="J194" i="88"/>
  <c r="O100" i="88"/>
  <c r="O80" i="88"/>
  <c r="O41" i="88"/>
  <c r="O23" i="88"/>
  <c r="O60" i="88"/>
  <c r="D187" i="88"/>
  <c r="H187" i="88"/>
  <c r="L187" i="88"/>
  <c r="D188" i="88"/>
  <c r="H188" i="88"/>
  <c r="L188" i="88"/>
  <c r="E189" i="88"/>
  <c r="I189" i="88"/>
  <c r="M189" i="88"/>
  <c r="G190" i="88"/>
  <c r="K190" i="88"/>
  <c r="J191" i="88"/>
  <c r="N191" i="88"/>
  <c r="J192" i="88"/>
  <c r="N192" i="88"/>
  <c r="K193" i="88"/>
  <c r="M194" i="88"/>
  <c r="L195" i="88"/>
  <c r="L196" i="88"/>
  <c r="O196" i="88" s="1"/>
  <c r="M197" i="88"/>
  <c r="E187" i="88"/>
  <c r="I187" i="88"/>
  <c r="M187" i="88"/>
  <c r="F189" i="88"/>
  <c r="J189" i="88"/>
  <c r="N189" i="88"/>
  <c r="G191" i="88"/>
  <c r="K191" i="88"/>
  <c r="L193" i="88"/>
  <c r="M195" i="88"/>
  <c r="F187" i="88"/>
  <c r="J187" i="88"/>
  <c r="N187" i="88"/>
  <c r="F188" i="88"/>
  <c r="J188" i="88"/>
  <c r="G189" i="88"/>
  <c r="K189" i="88"/>
  <c r="I190" i="88"/>
  <c r="H191" i="88"/>
  <c r="L191" i="88"/>
  <c r="H192" i="88"/>
  <c r="I193" i="88"/>
  <c r="M193" i="88"/>
  <c r="N195" i="88"/>
  <c r="C187" i="88"/>
  <c r="G187" i="88"/>
  <c r="H189" i="88"/>
  <c r="I191" i="88"/>
  <c r="J193" i="88"/>
  <c r="K312" i="46" l="1"/>
  <c r="K314" i="46"/>
  <c r="K316" i="46" s="1"/>
  <c r="O197" i="88"/>
  <c r="O312" i="46"/>
  <c r="O314" i="46" s="1"/>
  <c r="G312" i="46"/>
  <c r="F312" i="46"/>
  <c r="F314" i="46" s="1"/>
  <c r="F316" i="46" s="1"/>
  <c r="F296" i="46"/>
  <c r="F298" i="46" s="1"/>
  <c r="M312" i="46"/>
  <c r="M314" i="46" s="1"/>
  <c r="M316" i="46" s="1"/>
  <c r="M296" i="46"/>
  <c r="M298" i="46" s="1"/>
  <c r="D307" i="46"/>
  <c r="P305" i="46"/>
  <c r="P307" i="46" s="1"/>
  <c r="L312" i="46"/>
  <c r="L314" i="46" s="1"/>
  <c r="L316" i="46" s="1"/>
  <c r="L296" i="46"/>
  <c r="L298" i="46" s="1"/>
  <c r="D312" i="46"/>
  <c r="D296" i="46"/>
  <c r="I296" i="46"/>
  <c r="I298" i="46" s="1"/>
  <c r="I312" i="46"/>
  <c r="I314" i="46" s="1"/>
  <c r="I316" i="46" s="1"/>
  <c r="N312" i="46"/>
  <c r="N314" i="46" s="1"/>
  <c r="N316" i="46" s="1"/>
  <c r="N296" i="46"/>
  <c r="N298" i="46" s="1"/>
  <c r="P315" i="46"/>
  <c r="O316" i="46"/>
  <c r="G314" i="46"/>
  <c r="G316" i="46" s="1"/>
  <c r="J312" i="46"/>
  <c r="J314" i="46" s="1"/>
  <c r="J316" i="46" s="1"/>
  <c r="J296" i="46"/>
  <c r="J298" i="46" s="1"/>
  <c r="P294" i="46"/>
  <c r="E312" i="46"/>
  <c r="E314" i="46" s="1"/>
  <c r="E316" i="46" s="1"/>
  <c r="E296" i="46"/>
  <c r="E298" i="46" s="1"/>
  <c r="O192" i="88"/>
  <c r="K199" i="88"/>
  <c r="K202" i="88" s="1"/>
  <c r="E199" i="88"/>
  <c r="E202" i="88" s="1"/>
  <c r="O194" i="88"/>
  <c r="H312" i="46"/>
  <c r="H314" i="46" s="1"/>
  <c r="H316" i="46" s="1"/>
  <c r="H296" i="46"/>
  <c r="H298" i="46" s="1"/>
  <c r="P313" i="46"/>
  <c r="F199" i="88"/>
  <c r="F202" i="88" s="1"/>
  <c r="N199" i="88"/>
  <c r="N202" i="88" s="1"/>
  <c r="D199" i="88"/>
  <c r="D202" i="88" s="1"/>
  <c r="O190" i="88"/>
  <c r="O195" i="88"/>
  <c r="J199" i="88"/>
  <c r="J202" i="88" s="1"/>
  <c r="O188" i="88"/>
  <c r="M199" i="88"/>
  <c r="M202" i="88" s="1"/>
  <c r="O191" i="88"/>
  <c r="O189" i="88"/>
  <c r="L199" i="88"/>
  <c r="L202" i="88" s="1"/>
  <c r="G199" i="88"/>
  <c r="G202" i="88" s="1"/>
  <c r="O193" i="88"/>
  <c r="I199" i="88"/>
  <c r="I202" i="88" s="1"/>
  <c r="H199" i="88"/>
  <c r="H202" i="88" s="1"/>
  <c r="O187" i="88"/>
  <c r="C199" i="88"/>
  <c r="C202" i="88" s="1"/>
  <c r="D298" i="46" l="1"/>
  <c r="P296" i="46"/>
  <c r="P298" i="46" s="1"/>
  <c r="P312" i="46"/>
  <c r="D314" i="46"/>
  <c r="O185" i="88"/>
  <c r="O199" i="88" s="1"/>
  <c r="O202" i="88" s="1"/>
  <c r="D316" i="46" l="1"/>
  <c r="P314" i="46"/>
  <c r="P316" i="46" s="1"/>
  <c r="E141" i="28" l="1"/>
  <c r="F141" i="28"/>
  <c r="G141" i="28"/>
  <c r="H141" i="28"/>
  <c r="I141" i="28"/>
  <c r="J141" i="28"/>
  <c r="K141" i="28"/>
  <c r="L141" i="28"/>
  <c r="M141" i="28"/>
  <c r="N141" i="28"/>
  <c r="O141" i="28"/>
  <c r="E142" i="28"/>
  <c r="F142" i="28"/>
  <c r="G142" i="28"/>
  <c r="H142" i="28"/>
  <c r="I142" i="28"/>
  <c r="J142" i="28"/>
  <c r="K142" i="28"/>
  <c r="L142" i="28"/>
  <c r="M142" i="28"/>
  <c r="N142" i="28"/>
  <c r="O142" i="28"/>
  <c r="E143" i="28"/>
  <c r="F143" i="28"/>
  <c r="G143" i="28"/>
  <c r="H143" i="28"/>
  <c r="I143" i="28"/>
  <c r="J143" i="28"/>
  <c r="K143" i="28"/>
  <c r="L143" i="28"/>
  <c r="M143" i="28"/>
  <c r="N143" i="28"/>
  <c r="O143" i="28"/>
  <c r="E144" i="28"/>
  <c r="F144" i="28"/>
  <c r="G144" i="28"/>
  <c r="H144" i="28"/>
  <c r="I144" i="28"/>
  <c r="J144" i="28"/>
  <c r="K144" i="28"/>
  <c r="L144" i="28"/>
  <c r="M144" i="28"/>
  <c r="N144" i="28"/>
  <c r="O144" i="28"/>
  <c r="E145" i="28"/>
  <c r="F145" i="28"/>
  <c r="G145" i="28"/>
  <c r="H145" i="28"/>
  <c r="I145" i="28"/>
  <c r="J145" i="28"/>
  <c r="K145" i="28"/>
  <c r="L145" i="28"/>
  <c r="M145" i="28"/>
  <c r="N145" i="28"/>
  <c r="O145" i="28"/>
  <c r="E146" i="28"/>
  <c r="F146" i="28"/>
  <c r="G146" i="28"/>
  <c r="H146" i="28"/>
  <c r="I146" i="28"/>
  <c r="J146" i="28"/>
  <c r="K146" i="28"/>
  <c r="L146" i="28"/>
  <c r="M146" i="28"/>
  <c r="N146" i="28"/>
  <c r="O146" i="28"/>
  <c r="E147" i="28"/>
  <c r="F147" i="28"/>
  <c r="G147" i="28"/>
  <c r="H147" i="28"/>
  <c r="I147" i="28"/>
  <c r="J147" i="28"/>
  <c r="K147" i="28"/>
  <c r="L147" i="28"/>
  <c r="M147" i="28"/>
  <c r="N147" i="28"/>
  <c r="O147" i="28"/>
  <c r="E148" i="28"/>
  <c r="F148" i="28"/>
  <c r="G148" i="28"/>
  <c r="H148" i="28"/>
  <c r="I148" i="28"/>
  <c r="J148" i="28"/>
  <c r="K148" i="28"/>
  <c r="L148" i="28"/>
  <c r="M148" i="28"/>
  <c r="N148" i="28"/>
  <c r="O148" i="28"/>
  <c r="E149" i="28"/>
  <c r="F149" i="28"/>
  <c r="G149" i="28"/>
  <c r="H149" i="28"/>
  <c r="I149" i="28"/>
  <c r="J149" i="28"/>
  <c r="K149" i="28"/>
  <c r="L149" i="28"/>
  <c r="M149" i="28"/>
  <c r="N149" i="28"/>
  <c r="O149" i="28"/>
  <c r="E150" i="28"/>
  <c r="F150" i="28"/>
  <c r="G150" i="28"/>
  <c r="H150" i="28"/>
  <c r="I150" i="28"/>
  <c r="J150" i="28"/>
  <c r="K150" i="28"/>
  <c r="L150" i="28"/>
  <c r="M150" i="28"/>
  <c r="N150" i="28"/>
  <c r="O150" i="28"/>
  <c r="E151" i="28"/>
  <c r="F151" i="28"/>
  <c r="G151" i="28"/>
  <c r="H151" i="28"/>
  <c r="I151" i="28"/>
  <c r="J151" i="28"/>
  <c r="K151" i="28"/>
  <c r="L151" i="28"/>
  <c r="M151" i="28"/>
  <c r="N151" i="28"/>
  <c r="O151" i="28"/>
  <c r="E152" i="28"/>
  <c r="F152" i="28"/>
  <c r="G152" i="28"/>
  <c r="H152" i="28"/>
  <c r="I152" i="28"/>
  <c r="J152" i="28"/>
  <c r="K152" i="28"/>
  <c r="L152" i="28"/>
  <c r="M152" i="28"/>
  <c r="N152" i="28"/>
  <c r="O152" i="28"/>
  <c r="E153" i="28"/>
  <c r="F153" i="28"/>
  <c r="G153" i="28"/>
  <c r="H153" i="28"/>
  <c r="I153" i="28"/>
  <c r="J153" i="28"/>
  <c r="K153" i="28"/>
  <c r="L153" i="28"/>
  <c r="M153" i="28"/>
  <c r="N153" i="28"/>
  <c r="O153" i="28"/>
  <c r="E154" i="28"/>
  <c r="F154" i="28"/>
  <c r="G154" i="28"/>
  <c r="H154" i="28"/>
  <c r="I154" i="28"/>
  <c r="J154" i="28"/>
  <c r="K154" i="28"/>
  <c r="L154" i="28"/>
  <c r="M154" i="28"/>
  <c r="N154" i="28"/>
  <c r="O154" i="28"/>
  <c r="E155" i="28"/>
  <c r="F155" i="28"/>
  <c r="G155" i="28"/>
  <c r="H155" i="28"/>
  <c r="I155" i="28"/>
  <c r="J155" i="28"/>
  <c r="K155" i="28"/>
  <c r="L155" i="28"/>
  <c r="M155" i="28"/>
  <c r="N155" i="28"/>
  <c r="O155" i="28"/>
  <c r="E156" i="28"/>
  <c r="F156" i="28"/>
  <c r="G156" i="28"/>
  <c r="H156" i="28"/>
  <c r="I156" i="28"/>
  <c r="J156" i="28"/>
  <c r="K156" i="28"/>
  <c r="L156" i="28"/>
  <c r="M156" i="28"/>
  <c r="N156" i="28"/>
  <c r="O156" i="28"/>
  <c r="E157" i="28"/>
  <c r="F157" i="28"/>
  <c r="G157" i="28"/>
  <c r="H157" i="28"/>
  <c r="I157" i="28"/>
  <c r="J157" i="28"/>
  <c r="K157" i="28"/>
  <c r="L157" i="28"/>
  <c r="M157" i="28"/>
  <c r="N157" i="28"/>
  <c r="O157" i="28"/>
  <c r="E158" i="28"/>
  <c r="F158" i="28"/>
  <c r="G158" i="28"/>
  <c r="H158" i="28"/>
  <c r="I158" i="28"/>
  <c r="J158" i="28"/>
  <c r="K158" i="28"/>
  <c r="L158" i="28"/>
  <c r="M158" i="28"/>
  <c r="N158" i="28"/>
  <c r="O158" i="28"/>
  <c r="E159" i="28"/>
  <c r="F159" i="28"/>
  <c r="G159" i="28"/>
  <c r="H159" i="28"/>
  <c r="I159" i="28"/>
  <c r="J159" i="28"/>
  <c r="K159" i="28"/>
  <c r="L159" i="28"/>
  <c r="M159" i="28"/>
  <c r="N159" i="28"/>
  <c r="O159" i="28"/>
  <c r="E160" i="28"/>
  <c r="F160" i="28"/>
  <c r="G160" i="28"/>
  <c r="H160" i="28"/>
  <c r="I160" i="28"/>
  <c r="J160" i="28"/>
  <c r="K160" i="28"/>
  <c r="L160" i="28"/>
  <c r="M160" i="28"/>
  <c r="N160" i="28"/>
  <c r="O160" i="28"/>
  <c r="E161" i="28"/>
  <c r="F161" i="28"/>
  <c r="G161" i="28"/>
  <c r="H161" i="28"/>
  <c r="I161" i="28"/>
  <c r="J161" i="28"/>
  <c r="K161" i="28"/>
  <c r="L161" i="28"/>
  <c r="M161" i="28"/>
  <c r="N161" i="28"/>
  <c r="O161" i="28"/>
  <c r="E162" i="28"/>
  <c r="F162" i="28"/>
  <c r="G162" i="28"/>
  <c r="H162" i="28"/>
  <c r="I162" i="28"/>
  <c r="J162" i="28"/>
  <c r="K162" i="28"/>
  <c r="L162" i="28"/>
  <c r="M162" i="28"/>
  <c r="N162" i="28"/>
  <c r="O162" i="28"/>
  <c r="E163" i="28"/>
  <c r="F163" i="28"/>
  <c r="G163" i="28"/>
  <c r="H163" i="28"/>
  <c r="I163" i="28"/>
  <c r="J163" i="28"/>
  <c r="K163" i="28"/>
  <c r="L163" i="28"/>
  <c r="M163" i="28"/>
  <c r="N163" i="28"/>
  <c r="O163" i="28"/>
  <c r="E164" i="28"/>
  <c r="F164" i="28"/>
  <c r="G164" i="28"/>
  <c r="H164" i="28"/>
  <c r="I164" i="28"/>
  <c r="J164" i="28"/>
  <c r="K164" i="28"/>
  <c r="L164" i="28"/>
  <c r="M164" i="28"/>
  <c r="N164" i="28"/>
  <c r="O164" i="28"/>
  <c r="E165" i="28"/>
  <c r="F165" i="28"/>
  <c r="G165" i="28"/>
  <c r="H165" i="28"/>
  <c r="I165" i="28"/>
  <c r="J165" i="28"/>
  <c r="K165" i="28"/>
  <c r="L165" i="28"/>
  <c r="M165" i="28"/>
  <c r="N165" i="28"/>
  <c r="O165" i="28"/>
  <c r="E166" i="28"/>
  <c r="F166" i="28"/>
  <c r="G166" i="28"/>
  <c r="H166" i="28"/>
  <c r="I166" i="28"/>
  <c r="J166" i="28"/>
  <c r="K166" i="28"/>
  <c r="L166" i="28"/>
  <c r="M166" i="28"/>
  <c r="N166" i="28"/>
  <c r="O166" i="28"/>
  <c r="E168" i="28"/>
  <c r="F168" i="28"/>
  <c r="G168" i="28"/>
  <c r="H168" i="28"/>
  <c r="I168" i="28"/>
  <c r="J168" i="28"/>
  <c r="K168" i="28"/>
  <c r="L168" i="28"/>
  <c r="M168" i="28"/>
  <c r="N168" i="28"/>
  <c r="O168" i="28"/>
  <c r="E169" i="28"/>
  <c r="F169" i="28"/>
  <c r="G169" i="28"/>
  <c r="H169" i="28"/>
  <c r="I169" i="28"/>
  <c r="J169" i="28"/>
  <c r="K169" i="28"/>
  <c r="L169" i="28"/>
  <c r="M169" i="28"/>
  <c r="N169" i="28"/>
  <c r="O169" i="28"/>
  <c r="E170" i="28"/>
  <c r="F170" i="28"/>
  <c r="G170" i="28"/>
  <c r="H170" i="28"/>
  <c r="I170" i="28"/>
  <c r="J170" i="28"/>
  <c r="K170" i="28"/>
  <c r="L170" i="28"/>
  <c r="M170" i="28"/>
  <c r="N170" i="28"/>
  <c r="O170" i="28"/>
  <c r="E171" i="28"/>
  <c r="F171" i="28"/>
  <c r="G171" i="28"/>
  <c r="H171" i="28"/>
  <c r="I171" i="28"/>
  <c r="J171" i="28"/>
  <c r="K171" i="28"/>
  <c r="L171" i="28"/>
  <c r="M171" i="28"/>
  <c r="N171" i="28"/>
  <c r="O171" i="28"/>
  <c r="E172" i="28"/>
  <c r="F172" i="28"/>
  <c r="G172" i="28"/>
  <c r="H172" i="28"/>
  <c r="I172" i="28"/>
  <c r="J172" i="28"/>
  <c r="K172" i="28"/>
  <c r="L172" i="28"/>
  <c r="M172" i="28"/>
  <c r="N172" i="28"/>
  <c r="O172" i="28"/>
  <c r="E173" i="28"/>
  <c r="F173" i="28"/>
  <c r="G173" i="28"/>
  <c r="H173" i="28"/>
  <c r="I173" i="28"/>
  <c r="J173" i="28"/>
  <c r="K173" i="28"/>
  <c r="L173" i="28"/>
  <c r="M173" i="28"/>
  <c r="N173" i="28"/>
  <c r="O173" i="28"/>
  <c r="D142" i="28"/>
  <c r="D143" i="28"/>
  <c r="D144" i="28"/>
  <c r="D145" i="28"/>
  <c r="D146" i="28"/>
  <c r="D147" i="28"/>
  <c r="D148" i="28"/>
  <c r="D149" i="28"/>
  <c r="P149" i="28" s="1"/>
  <c r="D150" i="28"/>
  <c r="D151" i="28"/>
  <c r="D152" i="28"/>
  <c r="D153" i="28"/>
  <c r="P153" i="28" s="1"/>
  <c r="D154" i="28"/>
  <c r="D155" i="28"/>
  <c r="D156" i="28"/>
  <c r="D157" i="28"/>
  <c r="P157" i="28" s="1"/>
  <c r="D158" i="28"/>
  <c r="D159" i="28"/>
  <c r="D160" i="28"/>
  <c r="D161" i="28"/>
  <c r="P161" i="28" s="1"/>
  <c r="D162" i="28"/>
  <c r="D163" i="28"/>
  <c r="D164" i="28"/>
  <c r="D165" i="28"/>
  <c r="D166" i="28"/>
  <c r="D168" i="28"/>
  <c r="D169" i="28"/>
  <c r="P169" i="28" s="1"/>
  <c r="D170" i="28"/>
  <c r="D171" i="28"/>
  <c r="D172" i="28"/>
  <c r="D173" i="28"/>
  <c r="D141" i="28"/>
  <c r="B142" i="28"/>
  <c r="B143" i="28"/>
  <c r="C143" i="28" s="1"/>
  <c r="B144" i="28"/>
  <c r="C144" i="28" s="1"/>
  <c r="B145" i="28"/>
  <c r="C145" i="28" s="1"/>
  <c r="B146" i="28"/>
  <c r="C146" i="28" s="1"/>
  <c r="B147" i="28"/>
  <c r="B148" i="28"/>
  <c r="B149" i="28"/>
  <c r="B150" i="28"/>
  <c r="B151" i="28"/>
  <c r="C151" i="28" s="1"/>
  <c r="B152" i="28"/>
  <c r="C152" i="28" s="1"/>
  <c r="B153" i="28"/>
  <c r="C153" i="28" s="1"/>
  <c r="B154" i="28"/>
  <c r="C154" i="28" s="1"/>
  <c r="B155" i="28"/>
  <c r="C155" i="28" s="1"/>
  <c r="B156" i="28"/>
  <c r="C156" i="28" s="1"/>
  <c r="B157" i="28"/>
  <c r="C157" i="28" s="1"/>
  <c r="B158" i="28"/>
  <c r="C158" i="28" s="1"/>
  <c r="B159" i="28"/>
  <c r="C159" i="28" s="1"/>
  <c r="B160" i="28"/>
  <c r="C160" i="28" s="1"/>
  <c r="B161" i="28"/>
  <c r="C161" i="28" s="1"/>
  <c r="B162" i="28"/>
  <c r="C162" i="28" s="1"/>
  <c r="B163" i="28"/>
  <c r="C163" i="28" s="1"/>
  <c r="B164" i="28"/>
  <c r="C164" i="28" s="1"/>
  <c r="B165" i="28"/>
  <c r="C165" i="28" s="1"/>
  <c r="B166" i="28"/>
  <c r="C166" i="28" s="1"/>
  <c r="B167" i="28"/>
  <c r="C167" i="28" s="1"/>
  <c r="B168" i="28"/>
  <c r="C168" i="28" s="1"/>
  <c r="B169" i="28"/>
  <c r="C169" i="28" s="1"/>
  <c r="B170" i="28"/>
  <c r="C170" i="28" s="1"/>
  <c r="B171" i="28"/>
  <c r="C171" i="28" s="1"/>
  <c r="B172" i="28"/>
  <c r="C172" i="28" s="1"/>
  <c r="B173" i="28"/>
  <c r="C173" i="28" s="1"/>
  <c r="B141" i="28"/>
  <c r="C141" i="28" s="1"/>
  <c r="P165" i="28" l="1"/>
  <c r="P145" i="28"/>
  <c r="B140" i="28"/>
  <c r="C140" i="28" s="1"/>
  <c r="C142" i="28"/>
  <c r="P173" i="28"/>
  <c r="P159" i="28"/>
  <c r="P155" i="28"/>
  <c r="P151" i="28"/>
  <c r="P147" i="28"/>
  <c r="P143" i="28"/>
  <c r="P172" i="28"/>
  <c r="P168" i="28"/>
  <c r="P160" i="28"/>
  <c r="P156" i="28"/>
  <c r="P152" i="28"/>
  <c r="P148" i="28"/>
  <c r="P144" i="28"/>
  <c r="P171" i="28"/>
  <c r="P163" i="28"/>
  <c r="P141" i="28"/>
  <c r="P170" i="28"/>
  <c r="P166" i="28"/>
  <c r="P162" i="28"/>
  <c r="P158" i="28"/>
  <c r="P154" i="28"/>
  <c r="P150" i="28"/>
  <c r="P146" i="28"/>
  <c r="P142" i="28"/>
  <c r="P164" i="28"/>
  <c r="C4" i="43" l="1"/>
  <c r="O4" i="43" l="1"/>
  <c r="O167" i="28"/>
  <c r="O140" i="28" s="1"/>
  <c r="M4" i="43"/>
  <c r="M167" i="28"/>
  <c r="M140" i="28" s="1"/>
  <c r="L4" i="43"/>
  <c r="L167" i="28"/>
  <c r="L140" i="28" s="1"/>
  <c r="N4" i="43"/>
  <c r="N167" i="28"/>
  <c r="N140" i="28" s="1"/>
  <c r="H4" i="43"/>
  <c r="H167" i="28"/>
  <c r="H140" i="28" s="1"/>
  <c r="J4" i="43"/>
  <c r="J167" i="28"/>
  <c r="J140" i="28" s="1"/>
  <c r="K4" i="43"/>
  <c r="K167" i="28"/>
  <c r="K140" i="28" s="1"/>
  <c r="F4" i="43"/>
  <c r="F167" i="28"/>
  <c r="F140" i="28" s="1"/>
  <c r="I4" i="43"/>
  <c r="I167" i="28"/>
  <c r="I140" i="28" s="1"/>
  <c r="G4" i="43"/>
  <c r="G167" i="28"/>
  <c r="G140" i="28" s="1"/>
  <c r="D4" i="43"/>
  <c r="D167" i="28"/>
  <c r="E4" i="43"/>
  <c r="E167" i="28"/>
  <c r="E140" i="28" s="1"/>
  <c r="P4" i="43" l="1"/>
  <c r="P167" i="28"/>
  <c r="P140" i="28" s="1"/>
  <c r="D140" i="28"/>
  <c r="C30" i="26"/>
  <c r="C18" i="68" l="1"/>
  <c r="D18" i="34" l="1"/>
  <c r="D42" i="34" s="1"/>
  <c r="D281" i="46" l="1"/>
  <c r="E263" i="46"/>
  <c r="F263" i="46"/>
  <c r="G263" i="46"/>
  <c r="H263" i="46"/>
  <c r="I263" i="46"/>
  <c r="J263" i="46"/>
  <c r="K263" i="46"/>
  <c r="L263" i="46"/>
  <c r="M263" i="46"/>
  <c r="N263" i="46"/>
  <c r="O263" i="46"/>
  <c r="D263" i="46"/>
  <c r="Q30" i="68" l="1"/>
  <c r="D9" i="36" l="1"/>
  <c r="N181" i="73" l="1"/>
  <c r="M181" i="73"/>
  <c r="L181" i="73"/>
  <c r="K181" i="73"/>
  <c r="J181" i="73"/>
  <c r="I181" i="73"/>
  <c r="H181" i="73"/>
  <c r="G181" i="73"/>
  <c r="F181" i="73"/>
  <c r="E181" i="73"/>
  <c r="D181" i="73"/>
  <c r="C181" i="73"/>
  <c r="O180" i="73"/>
  <c r="O179" i="73"/>
  <c r="O178" i="73"/>
  <c r="O177" i="73"/>
  <c r="O176" i="73"/>
  <c r="O175" i="73"/>
  <c r="O174" i="73"/>
  <c r="O173" i="73"/>
  <c r="O172" i="73"/>
  <c r="O171" i="73"/>
  <c r="O170" i="73"/>
  <c r="O169" i="73"/>
  <c r="O168" i="73"/>
  <c r="O167" i="73"/>
  <c r="N160" i="73"/>
  <c r="M160" i="73"/>
  <c r="L160" i="73"/>
  <c r="K160" i="73"/>
  <c r="J160" i="73"/>
  <c r="I160" i="73"/>
  <c r="H160" i="73"/>
  <c r="G160" i="73"/>
  <c r="F160" i="73"/>
  <c r="E160" i="73"/>
  <c r="D160" i="73"/>
  <c r="C160" i="73"/>
  <c r="O159" i="73"/>
  <c r="O158" i="73"/>
  <c r="O157" i="73"/>
  <c r="O156" i="73"/>
  <c r="O155" i="73"/>
  <c r="O154" i="73"/>
  <c r="O153" i="73"/>
  <c r="O152" i="73"/>
  <c r="O151" i="73"/>
  <c r="O150" i="73"/>
  <c r="O149" i="73"/>
  <c r="O148" i="73"/>
  <c r="O147" i="73"/>
  <c r="O146" i="73"/>
  <c r="N140" i="73"/>
  <c r="M140" i="73"/>
  <c r="L140" i="73"/>
  <c r="K140" i="73"/>
  <c r="J140" i="73"/>
  <c r="I140" i="73"/>
  <c r="H140" i="73"/>
  <c r="G140" i="73"/>
  <c r="F140" i="73"/>
  <c r="E140" i="73"/>
  <c r="D140" i="73"/>
  <c r="C140" i="73"/>
  <c r="O139" i="73"/>
  <c r="O138" i="73"/>
  <c r="O137" i="73"/>
  <c r="O136" i="73"/>
  <c r="O135" i="73"/>
  <c r="O134" i="73"/>
  <c r="O133" i="73"/>
  <c r="O132" i="73"/>
  <c r="O131" i="73"/>
  <c r="O130" i="73"/>
  <c r="O129" i="73"/>
  <c r="O128" i="73"/>
  <c r="O127" i="73"/>
  <c r="O126" i="73"/>
  <c r="O125" i="73"/>
  <c r="N121" i="73"/>
  <c r="M121" i="73"/>
  <c r="L121" i="73"/>
  <c r="K121" i="73"/>
  <c r="J121" i="73"/>
  <c r="I121" i="73"/>
  <c r="H121" i="73"/>
  <c r="G121" i="73"/>
  <c r="F121" i="73"/>
  <c r="E121" i="73"/>
  <c r="D121" i="73"/>
  <c r="C121" i="73"/>
  <c r="O120" i="73"/>
  <c r="O119" i="73"/>
  <c r="O118" i="73"/>
  <c r="O117" i="73"/>
  <c r="O116" i="73"/>
  <c r="O115" i="73"/>
  <c r="O114" i="73"/>
  <c r="O113" i="73"/>
  <c r="O112" i="73"/>
  <c r="O111" i="73"/>
  <c r="O110" i="73"/>
  <c r="O109" i="73"/>
  <c r="O108" i="73"/>
  <c r="O107" i="73"/>
  <c r="N100" i="73"/>
  <c r="M100" i="73"/>
  <c r="L100" i="73"/>
  <c r="K100" i="73"/>
  <c r="J100" i="73"/>
  <c r="I100" i="73"/>
  <c r="H100" i="73"/>
  <c r="G100" i="73"/>
  <c r="F100" i="73"/>
  <c r="E100" i="73"/>
  <c r="D100" i="73"/>
  <c r="C100" i="73"/>
  <c r="O99" i="73"/>
  <c r="O98" i="73"/>
  <c r="O97" i="73"/>
  <c r="O96" i="73"/>
  <c r="O95" i="73"/>
  <c r="O94" i="73"/>
  <c r="O93" i="73"/>
  <c r="O92" i="73"/>
  <c r="O91" i="73"/>
  <c r="O90" i="73"/>
  <c r="O89" i="73"/>
  <c r="O88" i="73"/>
  <c r="O87" i="73"/>
  <c r="O86" i="73"/>
  <c r="N80" i="73"/>
  <c r="M80" i="73"/>
  <c r="L80" i="73"/>
  <c r="K80" i="73"/>
  <c r="J80" i="73"/>
  <c r="I80" i="73"/>
  <c r="H80" i="73"/>
  <c r="G80" i="73"/>
  <c r="F80" i="73"/>
  <c r="E80" i="73"/>
  <c r="D80" i="73"/>
  <c r="C80" i="73"/>
  <c r="O79" i="73"/>
  <c r="O78" i="73"/>
  <c r="O77" i="73"/>
  <c r="O76" i="73"/>
  <c r="O75" i="73"/>
  <c r="O74" i="73"/>
  <c r="O73" i="73"/>
  <c r="O72" i="73"/>
  <c r="O71" i="73"/>
  <c r="O70" i="73"/>
  <c r="O69" i="73"/>
  <c r="O68" i="73"/>
  <c r="O67" i="73"/>
  <c r="O66" i="73"/>
  <c r="N41" i="73"/>
  <c r="M41" i="73"/>
  <c r="L41" i="73"/>
  <c r="K41" i="73"/>
  <c r="J41" i="73"/>
  <c r="I41" i="73"/>
  <c r="H41" i="73"/>
  <c r="G41" i="73"/>
  <c r="F41" i="73"/>
  <c r="E41" i="73"/>
  <c r="D41" i="73"/>
  <c r="C41" i="73"/>
  <c r="O40" i="73"/>
  <c r="O39" i="73"/>
  <c r="O38" i="73"/>
  <c r="O37" i="73"/>
  <c r="O36" i="73"/>
  <c r="O35" i="73"/>
  <c r="O34" i="73"/>
  <c r="O33" i="73"/>
  <c r="O32" i="73"/>
  <c r="O31" i="73"/>
  <c r="O30" i="73"/>
  <c r="O29" i="73"/>
  <c r="O28" i="73"/>
  <c r="O27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O22" i="73"/>
  <c r="O21" i="73"/>
  <c r="O20" i="73"/>
  <c r="O19" i="73"/>
  <c r="O18" i="73"/>
  <c r="O17" i="73"/>
  <c r="O16" i="73"/>
  <c r="O15" i="73"/>
  <c r="O14" i="73"/>
  <c r="O13" i="73"/>
  <c r="O12" i="73"/>
  <c r="O11" i="73"/>
  <c r="O10" i="73"/>
  <c r="O9" i="73"/>
  <c r="O181" i="73" l="1"/>
  <c r="O100" i="73"/>
  <c r="O140" i="73"/>
  <c r="O121" i="73"/>
  <c r="O80" i="73"/>
  <c r="O160" i="73"/>
  <c r="O23" i="73"/>
  <c r="O41" i="73"/>
  <c r="C5" i="36" l="1"/>
  <c r="C9" i="26"/>
  <c r="D8" i="70" l="1"/>
  <c r="E8" i="70"/>
  <c r="F8" i="70"/>
  <c r="G8" i="70"/>
  <c r="H8" i="70"/>
  <c r="I8" i="70"/>
  <c r="J8" i="70"/>
  <c r="K8" i="70"/>
  <c r="L8" i="70"/>
  <c r="M8" i="70"/>
  <c r="N8" i="70"/>
  <c r="C8" i="70"/>
  <c r="D52" i="70" l="1"/>
  <c r="E52" i="70"/>
  <c r="F52" i="70"/>
  <c r="G52" i="70"/>
  <c r="H52" i="70"/>
  <c r="I52" i="70"/>
  <c r="J52" i="70"/>
  <c r="K52" i="70"/>
  <c r="L52" i="70"/>
  <c r="M52" i="70"/>
  <c r="N52" i="70"/>
  <c r="C52" i="70"/>
  <c r="I178" i="34" l="1"/>
  <c r="J178" i="34" s="1"/>
  <c r="H178" i="34"/>
  <c r="G178" i="34"/>
  <c r="F179" i="34"/>
  <c r="E179" i="34"/>
  <c r="D179" i="34"/>
  <c r="K178" i="34" l="1"/>
  <c r="I179" i="34"/>
  <c r="G179" i="34"/>
  <c r="H179" i="34"/>
  <c r="L178" i="34"/>
  <c r="N178" i="34" l="1"/>
  <c r="M178" i="34"/>
  <c r="O178" i="34"/>
  <c r="J179" i="34"/>
  <c r="L179" i="34"/>
  <c r="K179" i="34"/>
  <c r="O179" i="34" l="1"/>
  <c r="N179" i="34"/>
  <c r="M179" i="34"/>
  <c r="E323" i="34" l="1"/>
  <c r="F323" i="34"/>
  <c r="E299" i="34"/>
  <c r="F299" i="34"/>
  <c r="E275" i="34"/>
  <c r="F275" i="34"/>
  <c r="E251" i="34"/>
  <c r="F251" i="34"/>
  <c r="E227" i="34"/>
  <c r="F227" i="34"/>
  <c r="E203" i="34"/>
  <c r="F203" i="34"/>
  <c r="E155" i="34"/>
  <c r="F155" i="34"/>
  <c r="E131" i="34"/>
  <c r="F131" i="34"/>
  <c r="E107" i="34"/>
  <c r="F107" i="34"/>
  <c r="E83" i="34"/>
  <c r="F83" i="34"/>
  <c r="F59" i="34"/>
  <c r="E59" i="34"/>
  <c r="E35" i="34"/>
  <c r="F35" i="34"/>
  <c r="E11" i="34"/>
  <c r="F11" i="34"/>
  <c r="D18" i="33"/>
  <c r="D19" i="33"/>
  <c r="D307" i="33" l="1"/>
  <c r="D163" i="33"/>
  <c r="D67" i="33"/>
  <c r="D283" i="33"/>
  <c r="D139" i="33"/>
  <c r="D43" i="33"/>
  <c r="D259" i="33"/>
  <c r="D115" i="33"/>
  <c r="D331" i="33"/>
  <c r="D91" i="33"/>
  <c r="D187" i="33"/>
  <c r="D354" i="33"/>
  <c r="D211" i="33"/>
  <c r="D235" i="33"/>
  <c r="D330" i="33"/>
  <c r="D186" i="33"/>
  <c r="D306" i="33"/>
  <c r="D162" i="33"/>
  <c r="D66" i="33"/>
  <c r="D282" i="33"/>
  <c r="D138" i="33"/>
  <c r="D234" i="33"/>
  <c r="D258" i="33"/>
  <c r="D114" i="33"/>
  <c r="D90" i="33"/>
  <c r="D353" i="33"/>
  <c r="D210" i="33"/>
  <c r="D42" i="33"/>
  <c r="C53" i="80"/>
  <c r="D89" i="80" l="1"/>
  <c r="D87" i="80" s="1"/>
  <c r="E89" i="80"/>
  <c r="E87" i="80" s="1"/>
  <c r="F89" i="80"/>
  <c r="F87" i="80" s="1"/>
  <c r="G89" i="80"/>
  <c r="G87" i="80" s="1"/>
  <c r="H89" i="80"/>
  <c r="H87" i="80" s="1"/>
  <c r="I89" i="80"/>
  <c r="I87" i="80" s="1"/>
  <c r="J89" i="80"/>
  <c r="J87" i="80" s="1"/>
  <c r="K89" i="80"/>
  <c r="K87" i="80" s="1"/>
  <c r="L89" i="80"/>
  <c r="L87" i="80" s="1"/>
  <c r="M89" i="80"/>
  <c r="M87" i="80" s="1"/>
  <c r="N89" i="80"/>
  <c r="N87" i="80" s="1"/>
  <c r="D81" i="80"/>
  <c r="D83" i="80" s="1"/>
  <c r="E81" i="80"/>
  <c r="E83" i="80" s="1"/>
  <c r="F81" i="80"/>
  <c r="F83" i="80" s="1"/>
  <c r="G81" i="80"/>
  <c r="G83" i="80" s="1"/>
  <c r="H81" i="80"/>
  <c r="H83" i="80" s="1"/>
  <c r="I81" i="80"/>
  <c r="I83" i="80" s="1"/>
  <c r="J81" i="80"/>
  <c r="J83" i="80" s="1"/>
  <c r="K81" i="80"/>
  <c r="K83" i="80" s="1"/>
  <c r="L81" i="80"/>
  <c r="L83" i="80" s="1"/>
  <c r="M81" i="80"/>
  <c r="M83" i="80" s="1"/>
  <c r="N81" i="80"/>
  <c r="N83" i="80" s="1"/>
  <c r="D65" i="80"/>
  <c r="E65" i="80"/>
  <c r="F65" i="80"/>
  <c r="H65" i="80"/>
  <c r="J65" i="80"/>
  <c r="K65" i="80"/>
  <c r="L65" i="80"/>
  <c r="M65" i="80"/>
  <c r="N65" i="80"/>
  <c r="G65" i="80"/>
  <c r="I65" i="80"/>
  <c r="D59" i="80"/>
  <c r="F59" i="80"/>
  <c r="H59" i="80"/>
  <c r="J59" i="80"/>
  <c r="L59" i="80"/>
  <c r="N59" i="80"/>
  <c r="E59" i="80"/>
  <c r="G59" i="80"/>
  <c r="I59" i="80"/>
  <c r="K59" i="80"/>
  <c r="M59" i="80"/>
  <c r="O58" i="80"/>
  <c r="O60" i="80"/>
  <c r="O61" i="80"/>
  <c r="N35" i="80"/>
  <c r="N33" i="80" s="1"/>
  <c r="D35" i="80"/>
  <c r="D33" i="80" s="1"/>
  <c r="E35" i="80"/>
  <c r="E33" i="80" s="1"/>
  <c r="F35" i="80"/>
  <c r="F33" i="80" s="1"/>
  <c r="G35" i="80"/>
  <c r="G33" i="80" s="1"/>
  <c r="H35" i="80"/>
  <c r="H33" i="80" s="1"/>
  <c r="I35" i="80"/>
  <c r="I33" i="80" s="1"/>
  <c r="J35" i="80"/>
  <c r="J33" i="80" s="1"/>
  <c r="K35" i="80"/>
  <c r="K33" i="80" s="1"/>
  <c r="L35" i="80"/>
  <c r="L33" i="80" s="1"/>
  <c r="M35" i="80"/>
  <c r="M33" i="80" s="1"/>
  <c r="D23" i="80"/>
  <c r="E23" i="80"/>
  <c r="F23" i="80"/>
  <c r="G23" i="80"/>
  <c r="H23" i="80"/>
  <c r="J23" i="80"/>
  <c r="K23" i="80"/>
  <c r="L23" i="80"/>
  <c r="M23" i="80"/>
  <c r="N23" i="80"/>
  <c r="I23" i="80"/>
  <c r="D15" i="80"/>
  <c r="D17" i="80" s="1"/>
  <c r="E15" i="80"/>
  <c r="E17" i="80" s="1"/>
  <c r="F15" i="80"/>
  <c r="F17" i="80" s="1"/>
  <c r="G15" i="80"/>
  <c r="G17" i="80" s="1"/>
  <c r="H15" i="80"/>
  <c r="H17" i="80" s="1"/>
  <c r="I15" i="80"/>
  <c r="J15" i="80"/>
  <c r="J17" i="80" s="1"/>
  <c r="K15" i="80"/>
  <c r="K17" i="80" s="1"/>
  <c r="L15" i="80"/>
  <c r="L17" i="80" s="1"/>
  <c r="M15" i="80"/>
  <c r="N15" i="80"/>
  <c r="N17" i="80" s="1"/>
  <c r="I17" i="80"/>
  <c r="M17" i="80"/>
  <c r="D9" i="80"/>
  <c r="D11" i="80" s="1"/>
  <c r="E9" i="80"/>
  <c r="F9" i="80"/>
  <c r="F11" i="80" s="1"/>
  <c r="G9" i="80"/>
  <c r="G11" i="80" s="1"/>
  <c r="H9" i="80"/>
  <c r="H11" i="80" s="1"/>
  <c r="I9" i="80"/>
  <c r="J9" i="80"/>
  <c r="J11" i="80" s="1"/>
  <c r="K9" i="80"/>
  <c r="K11" i="80" s="1"/>
  <c r="L9" i="80"/>
  <c r="L11" i="80" s="1"/>
  <c r="M9" i="80"/>
  <c r="M11" i="80" s="1"/>
  <c r="N9" i="80"/>
  <c r="N11" i="80" s="1"/>
  <c r="E11" i="80"/>
  <c r="I11" i="80"/>
  <c r="E94" i="80" l="1"/>
  <c r="I94" i="80"/>
  <c r="N94" i="80"/>
  <c r="K94" i="80" l="1"/>
  <c r="D94" i="80"/>
  <c r="M94" i="80"/>
  <c r="H94" i="80"/>
  <c r="J94" i="80"/>
  <c r="L94" i="80"/>
  <c r="G94" i="80"/>
  <c r="F94" i="80"/>
  <c r="P286" i="46"/>
  <c r="D9" i="29" l="1"/>
  <c r="S9" i="29"/>
  <c r="C157" i="46" l="1"/>
  <c r="O18" i="9" l="1"/>
  <c r="N18" i="9"/>
  <c r="M18" i="9"/>
  <c r="L18" i="9"/>
  <c r="K18" i="9"/>
  <c r="J18" i="9"/>
  <c r="I18" i="9"/>
  <c r="H18" i="9"/>
  <c r="G18" i="9"/>
  <c r="F18" i="9"/>
  <c r="E18" i="9"/>
  <c r="O18" i="4"/>
  <c r="N18" i="4"/>
  <c r="M18" i="4"/>
  <c r="L18" i="4"/>
  <c r="K18" i="4"/>
  <c r="J18" i="4"/>
  <c r="I18" i="4"/>
  <c r="H18" i="4"/>
  <c r="G18" i="4"/>
  <c r="F18" i="4"/>
  <c r="E18" i="4"/>
  <c r="D19" i="5" l="1"/>
  <c r="K19" i="9" l="1"/>
  <c r="D19" i="9"/>
  <c r="H19" i="9"/>
  <c r="L19" i="9"/>
  <c r="E19" i="9"/>
  <c r="M19" i="9"/>
  <c r="I19" i="9"/>
  <c r="F19" i="9"/>
  <c r="J19" i="9"/>
  <c r="N19" i="9"/>
  <c r="G19" i="9"/>
  <c r="O19" i="9"/>
  <c r="F19" i="4"/>
  <c r="G19" i="4"/>
  <c r="E19" i="4"/>
  <c r="D19" i="4"/>
  <c r="H19" i="4"/>
  <c r="D11" i="26"/>
  <c r="E11" i="26"/>
  <c r="F11" i="26"/>
  <c r="G11" i="26"/>
  <c r="H11" i="26"/>
  <c r="I11" i="26"/>
  <c r="J11" i="26"/>
  <c r="K11" i="26"/>
  <c r="L11" i="26"/>
  <c r="M11" i="26"/>
  <c r="N11" i="26"/>
  <c r="O11" i="26"/>
  <c r="I19" i="4" l="1"/>
  <c r="J19" i="4" l="1"/>
  <c r="C5" i="70"/>
  <c r="D5" i="70"/>
  <c r="K19" i="4" l="1"/>
  <c r="L19" i="4" l="1"/>
  <c r="F6" i="84"/>
  <c r="E6" i="84"/>
  <c r="M37" i="84"/>
  <c r="D351" i="34"/>
  <c r="F350" i="34"/>
  <c r="E350" i="34"/>
  <c r="D350" i="34"/>
  <c r="F346" i="34"/>
  <c r="E346" i="34"/>
  <c r="D346" i="34"/>
  <c r="D328" i="34"/>
  <c r="F327" i="34"/>
  <c r="E327" i="34"/>
  <c r="D327" i="34"/>
  <c r="D323" i="34"/>
  <c r="D304" i="34"/>
  <c r="F303" i="34"/>
  <c r="E303" i="34"/>
  <c r="D303" i="34"/>
  <c r="D299" i="34"/>
  <c r="D280" i="34"/>
  <c r="F279" i="34"/>
  <c r="E279" i="34"/>
  <c r="D279" i="34"/>
  <c r="D275" i="34"/>
  <c r="D256" i="34"/>
  <c r="F255" i="34"/>
  <c r="E255" i="34"/>
  <c r="D255" i="34"/>
  <c r="D251" i="34"/>
  <c r="D232" i="34"/>
  <c r="F231" i="34"/>
  <c r="E231" i="34"/>
  <c r="D231" i="34"/>
  <c r="D227" i="34"/>
  <c r="D208" i="34"/>
  <c r="F207" i="34"/>
  <c r="E207" i="34"/>
  <c r="D207" i="34"/>
  <c r="D203" i="34"/>
  <c r="D160" i="34"/>
  <c r="F159" i="34"/>
  <c r="E159" i="34"/>
  <c r="D159" i="34"/>
  <c r="D155" i="34"/>
  <c r="D136" i="34"/>
  <c r="F135" i="34"/>
  <c r="E135" i="34"/>
  <c r="D135" i="34"/>
  <c r="D131" i="34"/>
  <c r="D112" i="34"/>
  <c r="F111" i="34"/>
  <c r="E111" i="34"/>
  <c r="D111" i="34"/>
  <c r="D107" i="34"/>
  <c r="D88" i="34"/>
  <c r="F87" i="34"/>
  <c r="E87" i="34"/>
  <c r="D87" i="34"/>
  <c r="D83" i="34"/>
  <c r="D64" i="34"/>
  <c r="F63" i="34"/>
  <c r="E63" i="34"/>
  <c r="D63" i="34"/>
  <c r="D59" i="34"/>
  <c r="D40" i="34"/>
  <c r="F39" i="34"/>
  <c r="E39" i="34"/>
  <c r="D39" i="34"/>
  <c r="D35" i="34"/>
  <c r="F275" i="33"/>
  <c r="E275" i="33"/>
  <c r="D275" i="33"/>
  <c r="F251" i="33"/>
  <c r="E251" i="33"/>
  <c r="D251" i="33"/>
  <c r="D11" i="34"/>
  <c r="M19" i="4" l="1"/>
  <c r="C106" i="36"/>
  <c r="C60" i="36"/>
  <c r="C37" i="36"/>
  <c r="C16" i="36"/>
  <c r="C9" i="36"/>
  <c r="O19" i="4" l="1"/>
  <c r="N19" i="4"/>
  <c r="C99" i="25"/>
  <c r="C95" i="25"/>
  <c r="C53" i="25"/>
  <c r="C49" i="25"/>
  <c r="C32" i="25"/>
  <c r="C31" i="25"/>
  <c r="C30" i="25"/>
  <c r="C26" i="25"/>
  <c r="C95" i="29" l="1"/>
  <c r="C98" i="29"/>
  <c r="C49" i="29"/>
  <c r="C29" i="29"/>
  <c r="C26" i="29"/>
  <c r="C8" i="29"/>
  <c r="C9" i="29"/>
  <c r="C5" i="29"/>
  <c r="C9" i="25"/>
  <c r="O11" i="4" l="1"/>
  <c r="N11" i="4"/>
  <c r="M11" i="4"/>
  <c r="L11" i="4"/>
  <c r="K11" i="4"/>
  <c r="J11" i="4"/>
  <c r="I11" i="4"/>
  <c r="H11" i="4"/>
  <c r="G11" i="4"/>
  <c r="F11" i="4"/>
  <c r="E11" i="4"/>
  <c r="O9" i="4"/>
  <c r="N9" i="4"/>
  <c r="M9" i="4"/>
  <c r="L9" i="4"/>
  <c r="K9" i="4"/>
  <c r="J9" i="4"/>
  <c r="I9" i="4"/>
  <c r="H9" i="4"/>
  <c r="G9" i="4"/>
  <c r="F9" i="4"/>
  <c r="E9" i="4"/>
  <c r="D9" i="4"/>
  <c r="O11" i="6"/>
  <c r="N11" i="6"/>
  <c r="M11" i="6"/>
  <c r="L11" i="6"/>
  <c r="K11" i="6"/>
  <c r="J11" i="6"/>
  <c r="I11" i="6"/>
  <c r="H11" i="6"/>
  <c r="G11" i="6"/>
  <c r="F11" i="6"/>
  <c r="E11" i="6"/>
  <c r="O10" i="6"/>
  <c r="N10" i="6"/>
  <c r="M10" i="6"/>
  <c r="L10" i="6"/>
  <c r="K10" i="6"/>
  <c r="J10" i="6"/>
  <c r="I10" i="6"/>
  <c r="H10" i="6"/>
  <c r="G10" i="6"/>
  <c r="F10" i="6"/>
  <c r="E10" i="6"/>
  <c r="O9" i="6"/>
  <c r="N9" i="6"/>
  <c r="M9" i="6"/>
  <c r="L9" i="6"/>
  <c r="K9" i="6"/>
  <c r="J9" i="6"/>
  <c r="I9" i="6"/>
  <c r="H9" i="6"/>
  <c r="G9" i="6"/>
  <c r="F9" i="6"/>
  <c r="E9" i="6"/>
  <c r="D11" i="6"/>
  <c r="O5" i="6"/>
  <c r="N5" i="6"/>
  <c r="M5" i="6"/>
  <c r="L5" i="6"/>
  <c r="K5" i="6"/>
  <c r="J5" i="6"/>
  <c r="I5" i="6"/>
  <c r="H5" i="6"/>
  <c r="G5" i="6"/>
  <c r="F5" i="6"/>
  <c r="E5" i="6"/>
  <c r="D10" i="6"/>
  <c r="O11" i="5"/>
  <c r="N11" i="5"/>
  <c r="M11" i="5"/>
  <c r="L11" i="5"/>
  <c r="K11" i="5"/>
  <c r="J11" i="5"/>
  <c r="I11" i="5"/>
  <c r="H11" i="5"/>
  <c r="G11" i="5"/>
  <c r="F11" i="5"/>
  <c r="E11" i="5"/>
  <c r="O10" i="5"/>
  <c r="N10" i="5"/>
  <c r="M10" i="5"/>
  <c r="L10" i="5"/>
  <c r="K10" i="5"/>
  <c r="J10" i="5"/>
  <c r="I10" i="5"/>
  <c r="H10" i="5"/>
  <c r="G10" i="5"/>
  <c r="F10" i="5"/>
  <c r="E10" i="5"/>
  <c r="O9" i="5"/>
  <c r="N9" i="5"/>
  <c r="M9" i="5"/>
  <c r="L9" i="5"/>
  <c r="K9" i="5"/>
  <c r="J9" i="5"/>
  <c r="I9" i="5"/>
  <c r="H9" i="5"/>
  <c r="G9" i="5"/>
  <c r="F9" i="5"/>
  <c r="E9" i="5"/>
  <c r="O5" i="5"/>
  <c r="N5" i="5"/>
  <c r="M5" i="5"/>
  <c r="L5" i="5"/>
  <c r="K5" i="5"/>
  <c r="J5" i="5"/>
  <c r="I5" i="5"/>
  <c r="H5" i="5"/>
  <c r="G5" i="5"/>
  <c r="F5" i="5"/>
  <c r="E5" i="5"/>
  <c r="D11" i="5"/>
  <c r="D10" i="5"/>
  <c r="O11" i="11"/>
  <c r="N11" i="11"/>
  <c r="M11" i="11"/>
  <c r="L11" i="11"/>
  <c r="K11" i="11"/>
  <c r="J11" i="11"/>
  <c r="I11" i="11"/>
  <c r="H11" i="11"/>
  <c r="G11" i="11"/>
  <c r="F11" i="11"/>
  <c r="E11" i="11"/>
  <c r="O10" i="11"/>
  <c r="N10" i="11"/>
  <c r="M10" i="11"/>
  <c r="L10" i="11"/>
  <c r="K10" i="11"/>
  <c r="J10" i="11"/>
  <c r="I10" i="11"/>
  <c r="H10" i="11"/>
  <c r="G10" i="11"/>
  <c r="F10" i="11"/>
  <c r="E10" i="11"/>
  <c r="O9" i="11"/>
  <c r="N9" i="11"/>
  <c r="M9" i="11"/>
  <c r="L9" i="11"/>
  <c r="K9" i="11"/>
  <c r="J9" i="11"/>
  <c r="I9" i="11"/>
  <c r="H9" i="11"/>
  <c r="G9" i="11"/>
  <c r="F9" i="11"/>
  <c r="E9" i="11"/>
  <c r="D11" i="11"/>
  <c r="O5" i="11"/>
  <c r="N5" i="11"/>
  <c r="M5" i="11"/>
  <c r="L5" i="11"/>
  <c r="K5" i="11"/>
  <c r="J5" i="11"/>
  <c r="I5" i="11"/>
  <c r="H5" i="11"/>
  <c r="G5" i="11"/>
  <c r="F5" i="11"/>
  <c r="E5" i="11"/>
  <c r="D10" i="11"/>
  <c r="O11" i="9"/>
  <c r="N11" i="9"/>
  <c r="M11" i="9"/>
  <c r="L11" i="9"/>
  <c r="K11" i="9"/>
  <c r="J11" i="9"/>
  <c r="I11" i="9"/>
  <c r="H11" i="9"/>
  <c r="G11" i="9"/>
  <c r="F11" i="9"/>
  <c r="E11" i="9"/>
  <c r="O10" i="9"/>
  <c r="N10" i="9"/>
  <c r="M10" i="9"/>
  <c r="L10" i="9"/>
  <c r="K10" i="9"/>
  <c r="J10" i="9"/>
  <c r="I10" i="9"/>
  <c r="H10" i="9"/>
  <c r="G10" i="9"/>
  <c r="F10" i="9"/>
  <c r="E10" i="9"/>
  <c r="O9" i="9"/>
  <c r="N9" i="9"/>
  <c r="M9" i="9"/>
  <c r="L9" i="9"/>
  <c r="K9" i="9"/>
  <c r="J9" i="9"/>
  <c r="I9" i="9"/>
  <c r="H9" i="9"/>
  <c r="G9" i="9"/>
  <c r="F9" i="9"/>
  <c r="E9" i="9"/>
  <c r="O5" i="9"/>
  <c r="N5" i="9"/>
  <c r="M5" i="9"/>
  <c r="L5" i="9"/>
  <c r="K5" i="9"/>
  <c r="J5" i="9"/>
  <c r="I5" i="9"/>
  <c r="H5" i="9"/>
  <c r="G5" i="9"/>
  <c r="F5" i="9"/>
  <c r="E5" i="9"/>
  <c r="D10" i="9"/>
  <c r="B7" i="4"/>
  <c r="P10" i="9" l="1"/>
  <c r="Q10" i="9" s="1"/>
  <c r="C75" i="19"/>
  <c r="O11" i="36" l="1"/>
  <c r="N11" i="36"/>
  <c r="M11" i="36"/>
  <c r="L11" i="36"/>
  <c r="K11" i="36"/>
  <c r="J11" i="36"/>
  <c r="I11" i="36"/>
  <c r="H11" i="36"/>
  <c r="G11" i="36"/>
  <c r="F11" i="36"/>
  <c r="E11" i="36"/>
  <c r="O9" i="36"/>
  <c r="N9" i="36"/>
  <c r="M9" i="36"/>
  <c r="L9" i="36"/>
  <c r="K9" i="36"/>
  <c r="J9" i="36"/>
  <c r="I9" i="36"/>
  <c r="H9" i="36"/>
  <c r="G9" i="36"/>
  <c r="F9" i="36"/>
  <c r="E9" i="36"/>
  <c r="D11" i="36"/>
  <c r="D9" i="25"/>
  <c r="E9" i="25"/>
  <c r="G6" i="84" l="1"/>
  <c r="H6" i="84"/>
  <c r="I6" i="84"/>
  <c r="J6" i="84"/>
  <c r="K6" i="84"/>
  <c r="L6" i="84"/>
  <c r="M6" i="84"/>
  <c r="G9" i="29" l="1"/>
  <c r="H9" i="29" l="1"/>
  <c r="I9" i="29"/>
  <c r="J9" i="29"/>
  <c r="K9" i="29"/>
  <c r="D18" i="9" l="1"/>
  <c r="D18" i="4"/>
  <c r="R17" i="68"/>
  <c r="C5" i="25" l="1"/>
  <c r="C11" i="25"/>
  <c r="P214" i="46" l="1"/>
  <c r="O46" i="73" l="1"/>
  <c r="N45" i="70" l="1"/>
  <c r="M45" i="70"/>
  <c r="L45" i="70"/>
  <c r="K45" i="70"/>
  <c r="J45" i="70"/>
  <c r="I45" i="70"/>
  <c r="H45" i="70"/>
  <c r="G45" i="70"/>
  <c r="F45" i="70"/>
  <c r="E45" i="70"/>
  <c r="D45" i="70"/>
  <c r="C45" i="70"/>
  <c r="N48" i="70"/>
  <c r="M48" i="70"/>
  <c r="L48" i="70"/>
  <c r="K48" i="70"/>
  <c r="J48" i="70"/>
  <c r="I48" i="70"/>
  <c r="H48" i="70"/>
  <c r="G48" i="70"/>
  <c r="F48" i="70"/>
  <c r="E48" i="70"/>
  <c r="D48" i="70"/>
  <c r="C48" i="70"/>
  <c r="D44" i="68" l="1"/>
  <c r="E44" i="68" s="1"/>
  <c r="Q40" i="68"/>
  <c r="Q44" i="68" l="1"/>
  <c r="E9" i="29"/>
  <c r="F9" i="29"/>
  <c r="O5" i="36" l="1"/>
  <c r="N5" i="36"/>
  <c r="M5" i="36"/>
  <c r="L5" i="36"/>
  <c r="K5" i="36"/>
  <c r="J5" i="36"/>
  <c r="I5" i="36"/>
  <c r="H5" i="36"/>
  <c r="G5" i="36"/>
  <c r="F5" i="36"/>
  <c r="E5" i="36"/>
  <c r="D5" i="36"/>
  <c r="E9" i="14"/>
  <c r="F9" i="14"/>
  <c r="G9" i="14"/>
  <c r="H9" i="14"/>
  <c r="I9" i="14"/>
  <c r="J9" i="14"/>
  <c r="K9" i="14"/>
  <c r="L9" i="14"/>
  <c r="M9" i="14"/>
  <c r="N9" i="14"/>
  <c r="O9" i="14"/>
  <c r="E9" i="18"/>
  <c r="F9" i="18"/>
  <c r="G9" i="18"/>
  <c r="H9" i="18"/>
  <c r="I9" i="18"/>
  <c r="J9" i="18"/>
  <c r="K9" i="18"/>
  <c r="L9" i="18"/>
  <c r="M9" i="18"/>
  <c r="N9" i="18"/>
  <c r="O9" i="18"/>
  <c r="E9" i="17"/>
  <c r="F9" i="17"/>
  <c r="G9" i="17"/>
  <c r="H9" i="17"/>
  <c r="I9" i="17"/>
  <c r="J9" i="17"/>
  <c r="K9" i="17"/>
  <c r="L9" i="17"/>
  <c r="M9" i="17"/>
  <c r="N9" i="17"/>
  <c r="O9" i="17"/>
  <c r="E9" i="13"/>
  <c r="F9" i="13"/>
  <c r="G9" i="13"/>
  <c r="H9" i="13"/>
  <c r="I9" i="13"/>
  <c r="J9" i="13"/>
  <c r="K9" i="13"/>
  <c r="L9" i="13"/>
  <c r="M9" i="13"/>
  <c r="N9" i="13"/>
  <c r="O9" i="13"/>
  <c r="P9" i="4"/>
  <c r="AB14" i="84" l="1"/>
  <c r="AB44" i="84" l="1"/>
  <c r="AB43" i="84"/>
  <c r="AB45" i="84"/>
  <c r="AB46" i="84"/>
  <c r="AB47" i="84"/>
  <c r="C30" i="27" l="1"/>
  <c r="C99" i="27"/>
  <c r="C9" i="63"/>
  <c r="P25" i="39" l="1"/>
  <c r="P26" i="39"/>
  <c r="P27" i="39"/>
  <c r="P28" i="39"/>
  <c r="P29" i="39"/>
  <c r="P30" i="39"/>
  <c r="P31" i="39"/>
  <c r="P32" i="39"/>
  <c r="P33" i="39"/>
  <c r="P34" i="39"/>
  <c r="P35" i="39"/>
  <c r="P36" i="39"/>
  <c r="P37" i="39"/>
  <c r="P38" i="39"/>
  <c r="C109" i="36"/>
  <c r="C40" i="36"/>
  <c r="C19" i="36"/>
  <c r="C99" i="29" l="1"/>
  <c r="C53" i="29"/>
  <c r="C30" i="29"/>
  <c r="C101" i="36"/>
  <c r="C55" i="36"/>
  <c r="C32" i="36"/>
  <c r="C11" i="36"/>
  <c r="C99" i="36"/>
  <c r="C53" i="36"/>
  <c r="C30" i="36"/>
  <c r="C55" i="15" l="1"/>
  <c r="X82" i="84" l="1"/>
  <c r="Y82" i="84"/>
  <c r="Z82" i="84"/>
  <c r="AA82" i="84"/>
  <c r="Q77" i="84"/>
  <c r="R77" i="84"/>
  <c r="S77" i="84"/>
  <c r="T77" i="84"/>
  <c r="U77" i="84"/>
  <c r="V77" i="84"/>
  <c r="W77" i="84"/>
  <c r="X77" i="84"/>
  <c r="Y77" i="84"/>
  <c r="Z77" i="84"/>
  <c r="AA77" i="84"/>
  <c r="P77" i="84"/>
  <c r="Q72" i="84"/>
  <c r="R72" i="84"/>
  <c r="S72" i="84"/>
  <c r="T72" i="84"/>
  <c r="U72" i="84"/>
  <c r="V72" i="84"/>
  <c r="W72" i="84"/>
  <c r="X72" i="84"/>
  <c r="Y72" i="84"/>
  <c r="Z72" i="84"/>
  <c r="AA72" i="84"/>
  <c r="P72" i="84"/>
  <c r="B17" i="5"/>
  <c r="C17" i="5" s="1"/>
  <c r="O8" i="5"/>
  <c r="N8" i="5"/>
  <c r="M8" i="5"/>
  <c r="L8" i="5"/>
  <c r="K8" i="5"/>
  <c r="J8" i="5"/>
  <c r="I8" i="5"/>
  <c r="H8" i="5"/>
  <c r="G8" i="5"/>
  <c r="F8" i="5"/>
  <c r="E8" i="5"/>
  <c r="D8" i="5"/>
  <c r="Q179" i="15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B17" i="10"/>
  <c r="C17" i="10" s="1"/>
  <c r="Q179" i="18"/>
  <c r="Q179" i="17"/>
  <c r="Q179" i="14"/>
  <c r="Q179" i="13"/>
  <c r="Q179" i="12"/>
  <c r="Q179" i="11"/>
  <c r="Q179" i="9"/>
  <c r="Q179" i="19"/>
  <c r="Q179" i="7"/>
  <c r="Q179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79" i="5"/>
  <c r="Q179" i="6"/>
  <c r="C140" i="15"/>
  <c r="C184" i="15" s="1"/>
  <c r="B140" i="15"/>
  <c r="B184" i="15" s="1"/>
  <c r="C107" i="15"/>
  <c r="B107" i="15"/>
  <c r="B106" i="15"/>
  <c r="C104" i="15"/>
  <c r="B105" i="15"/>
  <c r="B102" i="15"/>
  <c r="B103" i="15" s="1"/>
  <c r="B96" i="15"/>
  <c r="B97" i="15" s="1"/>
  <c r="C86" i="15"/>
  <c r="C132" i="15" s="1"/>
  <c r="B86" i="15"/>
  <c r="B132" i="15" s="1"/>
  <c r="C85" i="15"/>
  <c r="C131" i="15" s="1"/>
  <c r="B85" i="15"/>
  <c r="B131" i="15" s="1"/>
  <c r="C83" i="15"/>
  <c r="C129" i="15" s="1"/>
  <c r="C78" i="15"/>
  <c r="C124" i="15" s="1"/>
  <c r="B78" i="15"/>
  <c r="B124" i="15" s="1"/>
  <c r="C77" i="15"/>
  <c r="C123" i="15" s="1"/>
  <c r="B77" i="15"/>
  <c r="B123" i="15" s="1"/>
  <c r="C76" i="15"/>
  <c r="C122" i="15" s="1"/>
  <c r="B76" i="15"/>
  <c r="B122" i="15" s="1"/>
  <c r="C75" i="15"/>
  <c r="C121" i="15" s="1"/>
  <c r="B75" i="15"/>
  <c r="B121" i="15" s="1"/>
  <c r="C72" i="15"/>
  <c r="C118" i="15" s="1"/>
  <c r="B72" i="15"/>
  <c r="C61" i="15"/>
  <c r="B61" i="15"/>
  <c r="C58" i="15"/>
  <c r="B58" i="15"/>
  <c r="C57" i="15"/>
  <c r="B57" i="15"/>
  <c r="C51" i="15"/>
  <c r="B51" i="15"/>
  <c r="C88" i="15"/>
  <c r="C134" i="15" s="1"/>
  <c r="B88" i="15"/>
  <c r="B134" i="15" s="1"/>
  <c r="C38" i="15"/>
  <c r="C84" i="15" s="1"/>
  <c r="B38" i="15"/>
  <c r="B84" i="15" s="1"/>
  <c r="B37" i="15"/>
  <c r="B83" i="15" s="1"/>
  <c r="B129" i="15" s="1"/>
  <c r="C82" i="15"/>
  <c r="C128" i="15" s="1"/>
  <c r="B36" i="15"/>
  <c r="B82" i="15" s="1"/>
  <c r="B128" i="15" s="1"/>
  <c r="B33" i="15"/>
  <c r="B34" i="15" s="1"/>
  <c r="B27" i="15"/>
  <c r="B28" i="15" s="1"/>
  <c r="C14" i="15"/>
  <c r="B14" i="15"/>
  <c r="B13" i="15"/>
  <c r="C12" i="15"/>
  <c r="C33" i="15" s="1"/>
  <c r="C7" i="15"/>
  <c r="B7" i="15"/>
  <c r="C6" i="15"/>
  <c r="C96" i="15" s="1"/>
  <c r="C97" i="15" s="1"/>
  <c r="C140" i="18"/>
  <c r="C184" i="18" s="1"/>
  <c r="B140" i="18"/>
  <c r="B184" i="18" s="1"/>
  <c r="B107" i="18"/>
  <c r="B106" i="18"/>
  <c r="B105" i="18"/>
  <c r="B104" i="18"/>
  <c r="B102" i="18"/>
  <c r="B103" i="18" s="1"/>
  <c r="B96" i="18"/>
  <c r="B97" i="18" s="1"/>
  <c r="C86" i="18"/>
  <c r="C132" i="18" s="1"/>
  <c r="B86" i="18"/>
  <c r="B132" i="18" s="1"/>
  <c r="C85" i="18"/>
  <c r="C131" i="18" s="1"/>
  <c r="B85" i="18"/>
  <c r="B131" i="18" s="1"/>
  <c r="C83" i="18"/>
  <c r="C129" i="18" s="1"/>
  <c r="C78" i="18"/>
  <c r="C124" i="18" s="1"/>
  <c r="B78" i="18"/>
  <c r="B124" i="18" s="1"/>
  <c r="C77" i="18"/>
  <c r="C123" i="18" s="1"/>
  <c r="B77" i="18"/>
  <c r="B123" i="18" s="1"/>
  <c r="C76" i="18"/>
  <c r="C122" i="18" s="1"/>
  <c r="B76" i="18"/>
  <c r="C75" i="18"/>
  <c r="C121" i="18" s="1"/>
  <c r="B75" i="18"/>
  <c r="B121" i="18" s="1"/>
  <c r="C72" i="18"/>
  <c r="C118" i="18" s="1"/>
  <c r="B72" i="18"/>
  <c r="B61" i="18"/>
  <c r="B58" i="18"/>
  <c r="B57" i="18"/>
  <c r="C178" i="18"/>
  <c r="B51" i="18"/>
  <c r="C88" i="18"/>
  <c r="C134" i="18" s="1"/>
  <c r="B88" i="18"/>
  <c r="B134" i="18" s="1"/>
  <c r="C84" i="18"/>
  <c r="B38" i="18"/>
  <c r="B84" i="18" s="1"/>
  <c r="B37" i="18"/>
  <c r="B83" i="18" s="1"/>
  <c r="B129" i="18" s="1"/>
  <c r="C82" i="18"/>
  <c r="C128" i="18" s="1"/>
  <c r="B36" i="18"/>
  <c r="B82" i="18" s="1"/>
  <c r="B128" i="18" s="1"/>
  <c r="B33" i="18"/>
  <c r="B79" i="18" s="1"/>
  <c r="B125" i="18" s="1"/>
  <c r="B27" i="18"/>
  <c r="B73" i="18" s="1"/>
  <c r="B119" i="18" s="1"/>
  <c r="B17" i="18"/>
  <c r="C17" i="18" s="1"/>
  <c r="B14" i="18"/>
  <c r="B13" i="18"/>
  <c r="B7" i="18"/>
  <c r="C140" i="17"/>
  <c r="C184" i="17" s="1"/>
  <c r="B140" i="17"/>
  <c r="B184" i="17" s="1"/>
  <c r="B107" i="17"/>
  <c r="B106" i="17"/>
  <c r="B105" i="17"/>
  <c r="B104" i="17"/>
  <c r="B102" i="17"/>
  <c r="B103" i="17" s="1"/>
  <c r="B96" i="17"/>
  <c r="B97" i="17" s="1"/>
  <c r="C86" i="17"/>
  <c r="C132" i="17" s="1"/>
  <c r="B86" i="17"/>
  <c r="B132" i="17" s="1"/>
  <c r="C85" i="17"/>
  <c r="C131" i="17" s="1"/>
  <c r="B85" i="17"/>
  <c r="B131" i="17" s="1"/>
  <c r="C83" i="17"/>
  <c r="C129" i="17" s="1"/>
  <c r="C78" i="17"/>
  <c r="C124" i="17" s="1"/>
  <c r="B78" i="17"/>
  <c r="B124" i="17" s="1"/>
  <c r="C77" i="17"/>
  <c r="C123" i="17" s="1"/>
  <c r="B77" i="17"/>
  <c r="B123" i="17" s="1"/>
  <c r="C76" i="17"/>
  <c r="C122" i="17" s="1"/>
  <c r="B76" i="17"/>
  <c r="C75" i="17"/>
  <c r="C121" i="17" s="1"/>
  <c r="B75" i="17"/>
  <c r="B121" i="17" s="1"/>
  <c r="C72" i="17"/>
  <c r="C118" i="17" s="1"/>
  <c r="B72" i="17"/>
  <c r="B61" i="17"/>
  <c r="B58" i="17"/>
  <c r="B57" i="17"/>
  <c r="B51" i="17"/>
  <c r="C88" i="17"/>
  <c r="C134" i="17" s="1"/>
  <c r="B88" i="17"/>
  <c r="B134" i="17" s="1"/>
  <c r="C84" i="17"/>
  <c r="B38" i="17"/>
  <c r="B84" i="17" s="1"/>
  <c r="B37" i="17"/>
  <c r="B83" i="17" s="1"/>
  <c r="B129" i="17" s="1"/>
  <c r="C82" i="17"/>
  <c r="C128" i="17" s="1"/>
  <c r="B36" i="17"/>
  <c r="B35" i="17" s="1"/>
  <c r="B81" i="17" s="1"/>
  <c r="B127" i="17" s="1"/>
  <c r="B33" i="17"/>
  <c r="B79" i="17" s="1"/>
  <c r="B125" i="17" s="1"/>
  <c r="B27" i="17"/>
  <c r="B73" i="17" s="1"/>
  <c r="B119" i="17" s="1"/>
  <c r="B17" i="17"/>
  <c r="C17" i="17" s="1"/>
  <c r="B14" i="17"/>
  <c r="B13" i="17"/>
  <c r="B7" i="17"/>
  <c r="C140" i="14"/>
  <c r="C184" i="14" s="1"/>
  <c r="B140" i="14"/>
  <c r="B184" i="14" s="1"/>
  <c r="B107" i="14"/>
  <c r="B106" i="14"/>
  <c r="B105" i="14"/>
  <c r="B104" i="14" s="1"/>
  <c r="B102" i="14"/>
  <c r="B103" i="14" s="1"/>
  <c r="B96" i="14"/>
  <c r="B97" i="14" s="1"/>
  <c r="C86" i="14"/>
  <c r="C132" i="14" s="1"/>
  <c r="B86" i="14"/>
  <c r="B132" i="14" s="1"/>
  <c r="C85" i="14"/>
  <c r="C131" i="14" s="1"/>
  <c r="B85" i="14"/>
  <c r="B131" i="14" s="1"/>
  <c r="C83" i="14"/>
  <c r="C129" i="14" s="1"/>
  <c r="C78" i="14"/>
  <c r="C124" i="14" s="1"/>
  <c r="B78" i="14"/>
  <c r="B124" i="14" s="1"/>
  <c r="C77" i="14"/>
  <c r="C123" i="14" s="1"/>
  <c r="B77" i="14"/>
  <c r="B123" i="14" s="1"/>
  <c r="C76" i="14"/>
  <c r="C122" i="14" s="1"/>
  <c r="B76" i="14"/>
  <c r="C75" i="14"/>
  <c r="C121" i="14" s="1"/>
  <c r="B75" i="14"/>
  <c r="B121" i="14" s="1"/>
  <c r="C72" i="14"/>
  <c r="C118" i="14" s="1"/>
  <c r="B72" i="14"/>
  <c r="B61" i="14"/>
  <c r="B58" i="14"/>
  <c r="B57" i="14"/>
  <c r="B51" i="14"/>
  <c r="C88" i="14"/>
  <c r="B88" i="14"/>
  <c r="B134" i="14" s="1"/>
  <c r="C84" i="14"/>
  <c r="B38" i="14"/>
  <c r="B37" i="14"/>
  <c r="B83" i="14" s="1"/>
  <c r="B129" i="14" s="1"/>
  <c r="C81" i="14"/>
  <c r="B36" i="14"/>
  <c r="B82" i="14" s="1"/>
  <c r="B128" i="14" s="1"/>
  <c r="B33" i="14"/>
  <c r="B34" i="14" s="1"/>
  <c r="B27" i="14"/>
  <c r="B28" i="14" s="1"/>
  <c r="B17" i="14"/>
  <c r="C17" i="14" s="1"/>
  <c r="B14" i="14"/>
  <c r="B13" i="14"/>
  <c r="B7" i="14"/>
  <c r="C140" i="13"/>
  <c r="C184" i="13" s="1"/>
  <c r="B140" i="13"/>
  <c r="B184" i="13" s="1"/>
  <c r="B107" i="13"/>
  <c r="B106" i="13"/>
  <c r="B105" i="13"/>
  <c r="B104" i="13" s="1"/>
  <c r="B102" i="13"/>
  <c r="B103" i="13" s="1"/>
  <c r="B97" i="13"/>
  <c r="B96" i="13"/>
  <c r="C86" i="13"/>
  <c r="C132" i="13" s="1"/>
  <c r="B86" i="13"/>
  <c r="B132" i="13" s="1"/>
  <c r="C85" i="13"/>
  <c r="C131" i="13" s="1"/>
  <c r="B85" i="13"/>
  <c r="B131" i="13" s="1"/>
  <c r="C83" i="13"/>
  <c r="C129" i="13" s="1"/>
  <c r="C78" i="13"/>
  <c r="C124" i="13" s="1"/>
  <c r="B78" i="13"/>
  <c r="B124" i="13" s="1"/>
  <c r="C77" i="13"/>
  <c r="C123" i="13" s="1"/>
  <c r="B77" i="13"/>
  <c r="B123" i="13" s="1"/>
  <c r="C76" i="13"/>
  <c r="C122" i="13" s="1"/>
  <c r="B76" i="13"/>
  <c r="C75" i="13"/>
  <c r="C121" i="13" s="1"/>
  <c r="B75" i="13"/>
  <c r="B121" i="13" s="1"/>
  <c r="C72" i="13"/>
  <c r="C118" i="13" s="1"/>
  <c r="B72" i="13"/>
  <c r="B61" i="13"/>
  <c r="B58" i="13"/>
  <c r="B57" i="13"/>
  <c r="B51" i="13"/>
  <c r="C88" i="13"/>
  <c r="B88" i="13"/>
  <c r="B134" i="13" s="1"/>
  <c r="C84" i="13"/>
  <c r="B38" i="13"/>
  <c r="B84" i="13" s="1"/>
  <c r="B37" i="13"/>
  <c r="B83" i="13" s="1"/>
  <c r="B129" i="13" s="1"/>
  <c r="C81" i="13"/>
  <c r="B36" i="13"/>
  <c r="B82" i="13" s="1"/>
  <c r="B128" i="13" s="1"/>
  <c r="B33" i="13"/>
  <c r="B79" i="13" s="1"/>
  <c r="B125" i="13" s="1"/>
  <c r="B27" i="13"/>
  <c r="B73" i="13" s="1"/>
  <c r="B119" i="13" s="1"/>
  <c r="B17" i="13"/>
  <c r="C17" i="13" s="1"/>
  <c r="B14" i="13"/>
  <c r="B13" i="13"/>
  <c r="B7" i="13"/>
  <c r="C140" i="12"/>
  <c r="C184" i="12" s="1"/>
  <c r="B140" i="12"/>
  <c r="B184" i="12" s="1"/>
  <c r="B107" i="12"/>
  <c r="B106" i="12"/>
  <c r="B105" i="12"/>
  <c r="B104" i="12" s="1"/>
  <c r="B102" i="12"/>
  <c r="B103" i="12" s="1"/>
  <c r="B96" i="12"/>
  <c r="B97" i="12" s="1"/>
  <c r="C86" i="12"/>
  <c r="C132" i="12" s="1"/>
  <c r="B86" i="12"/>
  <c r="B132" i="12" s="1"/>
  <c r="C85" i="12"/>
  <c r="C131" i="12" s="1"/>
  <c r="C130" i="12" s="1"/>
  <c r="B85" i="12"/>
  <c r="B131" i="12" s="1"/>
  <c r="B130" i="12" s="1"/>
  <c r="C83" i="12"/>
  <c r="C129" i="12" s="1"/>
  <c r="C78" i="12"/>
  <c r="C124" i="12" s="1"/>
  <c r="B78" i="12"/>
  <c r="B124" i="12" s="1"/>
  <c r="C77" i="12"/>
  <c r="C123" i="12" s="1"/>
  <c r="B77" i="12"/>
  <c r="B123" i="12" s="1"/>
  <c r="C76" i="12"/>
  <c r="C122" i="12" s="1"/>
  <c r="B76" i="12"/>
  <c r="C75" i="12"/>
  <c r="C121" i="12" s="1"/>
  <c r="B75" i="12"/>
  <c r="B121" i="12" s="1"/>
  <c r="C72" i="12"/>
  <c r="C118" i="12" s="1"/>
  <c r="B72" i="12"/>
  <c r="B61" i="12"/>
  <c r="B58" i="12"/>
  <c r="B57" i="12"/>
  <c r="B51" i="12"/>
  <c r="B48" i="12" s="1"/>
  <c r="B67" i="12" s="1"/>
  <c r="B178" i="12" s="1"/>
  <c r="C178" i="12"/>
  <c r="C84" i="12"/>
  <c r="B38" i="12"/>
  <c r="B84" i="12" s="1"/>
  <c r="B37" i="12"/>
  <c r="B83" i="12" s="1"/>
  <c r="B129" i="12" s="1"/>
  <c r="C82" i="12"/>
  <c r="C128" i="12" s="1"/>
  <c r="B36" i="12"/>
  <c r="B82" i="12" s="1"/>
  <c r="B128" i="12" s="1"/>
  <c r="B33" i="12"/>
  <c r="B79" i="12" s="1"/>
  <c r="B125" i="12" s="1"/>
  <c r="B27" i="12"/>
  <c r="B73" i="12" s="1"/>
  <c r="B119" i="12" s="1"/>
  <c r="B17" i="12"/>
  <c r="B14" i="12"/>
  <c r="B13" i="12"/>
  <c r="B7" i="12"/>
  <c r="B4" i="12" s="1"/>
  <c r="C140" i="11"/>
  <c r="C184" i="11" s="1"/>
  <c r="B140" i="11"/>
  <c r="B184" i="11" s="1"/>
  <c r="B107" i="11"/>
  <c r="B104" i="11"/>
  <c r="B105" i="11"/>
  <c r="B102" i="11"/>
  <c r="B103" i="11" s="1"/>
  <c r="B96" i="11"/>
  <c r="B97" i="11" s="1"/>
  <c r="C86" i="11"/>
  <c r="C132" i="11" s="1"/>
  <c r="B86" i="11"/>
  <c r="B132" i="11" s="1"/>
  <c r="C85" i="11"/>
  <c r="C131" i="11" s="1"/>
  <c r="B85" i="11"/>
  <c r="B131" i="11" s="1"/>
  <c r="C83" i="11"/>
  <c r="C129" i="11" s="1"/>
  <c r="C78" i="11"/>
  <c r="C124" i="11" s="1"/>
  <c r="B78" i="11"/>
  <c r="B124" i="11" s="1"/>
  <c r="C77" i="11"/>
  <c r="C123" i="11" s="1"/>
  <c r="B77" i="11"/>
  <c r="B123" i="11" s="1"/>
  <c r="C76" i="11"/>
  <c r="C122" i="11" s="1"/>
  <c r="B76" i="11"/>
  <c r="C75" i="11"/>
  <c r="C121" i="11" s="1"/>
  <c r="B75" i="11"/>
  <c r="B121" i="11" s="1"/>
  <c r="C72" i="11"/>
  <c r="C118" i="11" s="1"/>
  <c r="B72" i="11"/>
  <c r="B118" i="11" s="1"/>
  <c r="B61" i="11"/>
  <c r="B58" i="11"/>
  <c r="B57" i="11"/>
  <c r="C178" i="11"/>
  <c r="B51" i="11"/>
  <c r="C88" i="11"/>
  <c r="C134" i="11" s="1"/>
  <c r="B88" i="11"/>
  <c r="B134" i="11" s="1"/>
  <c r="C84" i="11"/>
  <c r="B38" i="11"/>
  <c r="B84" i="11" s="1"/>
  <c r="B83" i="11"/>
  <c r="B129" i="11" s="1"/>
  <c r="C82" i="11"/>
  <c r="C128" i="11" s="1"/>
  <c r="B36" i="11"/>
  <c r="B82" i="11" s="1"/>
  <c r="B128" i="11" s="1"/>
  <c r="B33" i="11"/>
  <c r="B79" i="11" s="1"/>
  <c r="B125" i="11" s="1"/>
  <c r="B27" i="11"/>
  <c r="B73" i="11" s="1"/>
  <c r="B119" i="11" s="1"/>
  <c r="B17" i="11"/>
  <c r="C17" i="11" s="1"/>
  <c r="B14" i="11"/>
  <c r="B13" i="11"/>
  <c r="B7" i="11"/>
  <c r="C140" i="9"/>
  <c r="C184" i="9" s="1"/>
  <c r="B140" i="9"/>
  <c r="B184" i="9" s="1"/>
  <c r="B107" i="9"/>
  <c r="B105" i="9"/>
  <c r="B102" i="9"/>
  <c r="B103" i="9" s="1"/>
  <c r="B96" i="9"/>
  <c r="B97" i="9" s="1"/>
  <c r="C86" i="9"/>
  <c r="C132" i="9" s="1"/>
  <c r="B86" i="9"/>
  <c r="B132" i="9" s="1"/>
  <c r="C85" i="9"/>
  <c r="C131" i="9" s="1"/>
  <c r="B85" i="9"/>
  <c r="B131" i="9" s="1"/>
  <c r="C83" i="9"/>
  <c r="C129" i="9" s="1"/>
  <c r="C78" i="9"/>
  <c r="C124" i="9" s="1"/>
  <c r="B78" i="9"/>
  <c r="B124" i="9" s="1"/>
  <c r="C77" i="9"/>
  <c r="C123" i="9" s="1"/>
  <c r="B77" i="9"/>
  <c r="B123" i="9" s="1"/>
  <c r="C76" i="9"/>
  <c r="C122" i="9" s="1"/>
  <c r="B76" i="9"/>
  <c r="B122" i="9" s="1"/>
  <c r="C75" i="9"/>
  <c r="C121" i="9" s="1"/>
  <c r="B75" i="9"/>
  <c r="B121" i="9" s="1"/>
  <c r="C72" i="9"/>
  <c r="C118" i="9" s="1"/>
  <c r="B72" i="9"/>
  <c r="B118" i="9" s="1"/>
  <c r="B61" i="9"/>
  <c r="B58" i="9"/>
  <c r="B57" i="9"/>
  <c r="B51" i="9"/>
  <c r="C88" i="9"/>
  <c r="C134" i="9" s="1"/>
  <c r="B88" i="9"/>
  <c r="B38" i="9"/>
  <c r="B83" i="9"/>
  <c r="C82" i="9"/>
  <c r="C128" i="9" s="1"/>
  <c r="B36" i="9"/>
  <c r="B82" i="9" s="1"/>
  <c r="B128" i="9" s="1"/>
  <c r="B33" i="9"/>
  <c r="B34" i="9" s="1"/>
  <c r="B27" i="9"/>
  <c r="B28" i="9" s="1"/>
  <c r="B17" i="9"/>
  <c r="C17" i="9" s="1"/>
  <c r="B14" i="9"/>
  <c r="B13" i="9"/>
  <c r="C140" i="19"/>
  <c r="C184" i="19" s="1"/>
  <c r="B140" i="19"/>
  <c r="B184" i="19" s="1"/>
  <c r="B107" i="19"/>
  <c r="B106" i="19"/>
  <c r="B105" i="19"/>
  <c r="B102" i="19"/>
  <c r="B103" i="19" s="1"/>
  <c r="B96" i="19"/>
  <c r="B97" i="19" s="1"/>
  <c r="C86" i="19"/>
  <c r="C132" i="19" s="1"/>
  <c r="B86" i="19"/>
  <c r="B132" i="19" s="1"/>
  <c r="C85" i="19"/>
  <c r="C131" i="19" s="1"/>
  <c r="B85" i="19"/>
  <c r="B131" i="19" s="1"/>
  <c r="C78" i="19"/>
  <c r="C124" i="19" s="1"/>
  <c r="B78" i="19"/>
  <c r="B124" i="19" s="1"/>
  <c r="C77" i="19"/>
  <c r="C123" i="19" s="1"/>
  <c r="B77" i="19"/>
  <c r="B123" i="19" s="1"/>
  <c r="C76" i="19"/>
  <c r="C122" i="19" s="1"/>
  <c r="B76" i="19"/>
  <c r="B122" i="19" s="1"/>
  <c r="C121" i="19"/>
  <c r="B75" i="19"/>
  <c r="B121" i="19" s="1"/>
  <c r="C72" i="19"/>
  <c r="C118" i="19" s="1"/>
  <c r="B72" i="19"/>
  <c r="B61" i="19"/>
  <c r="B58" i="19"/>
  <c r="B57" i="19"/>
  <c r="B51" i="19"/>
  <c r="C88" i="19"/>
  <c r="C134" i="19" s="1"/>
  <c r="B88" i="19"/>
  <c r="B134" i="19" s="1"/>
  <c r="C84" i="19"/>
  <c r="B38" i="19"/>
  <c r="B84" i="19" s="1"/>
  <c r="B37" i="19"/>
  <c r="B36" i="19"/>
  <c r="C82" i="19" s="1"/>
  <c r="C128" i="19" s="1"/>
  <c r="B33" i="19"/>
  <c r="B79" i="19" s="1"/>
  <c r="B125" i="19" s="1"/>
  <c r="B27" i="19"/>
  <c r="B17" i="19"/>
  <c r="C17" i="19" s="1"/>
  <c r="B14" i="19"/>
  <c r="B13" i="19"/>
  <c r="B7" i="19"/>
  <c r="C140" i="7"/>
  <c r="C184" i="7" s="1"/>
  <c r="B140" i="7"/>
  <c r="B184" i="7" s="1"/>
  <c r="B107" i="7"/>
  <c r="B106" i="7"/>
  <c r="B105" i="7"/>
  <c r="B102" i="7"/>
  <c r="B103" i="7" s="1"/>
  <c r="B96" i="7"/>
  <c r="B97" i="7" s="1"/>
  <c r="C132" i="7"/>
  <c r="B86" i="7"/>
  <c r="B132" i="7" s="1"/>
  <c r="C131" i="7"/>
  <c r="B85" i="7"/>
  <c r="B131" i="7" s="1"/>
  <c r="C129" i="7"/>
  <c r="C124" i="7"/>
  <c r="B78" i="7"/>
  <c r="B124" i="7" s="1"/>
  <c r="C123" i="7"/>
  <c r="B77" i="7"/>
  <c r="B123" i="7" s="1"/>
  <c r="C122" i="7"/>
  <c r="B76" i="7"/>
  <c r="C121" i="7"/>
  <c r="B75" i="7"/>
  <c r="B121" i="7" s="1"/>
  <c r="C118" i="7"/>
  <c r="B72" i="7"/>
  <c r="B61" i="7"/>
  <c r="B58" i="7"/>
  <c r="B57" i="7"/>
  <c r="B51" i="7"/>
  <c r="B38" i="7"/>
  <c r="B84" i="7" s="1"/>
  <c r="B37" i="7"/>
  <c r="B83" i="7" s="1"/>
  <c r="B129" i="7" s="1"/>
  <c r="C128" i="7"/>
  <c r="B36" i="7"/>
  <c r="B82" i="7" s="1"/>
  <c r="B128" i="7" s="1"/>
  <c r="B35" i="7"/>
  <c r="B81" i="7" s="1"/>
  <c r="B33" i="7"/>
  <c r="B79" i="7" s="1"/>
  <c r="B125" i="7" s="1"/>
  <c r="B27" i="7"/>
  <c r="B73" i="7" s="1"/>
  <c r="B119" i="7" s="1"/>
  <c r="B17" i="7"/>
  <c r="C17" i="7" s="1"/>
  <c r="B14" i="7"/>
  <c r="B13" i="7"/>
  <c r="B7" i="7"/>
  <c r="C140" i="10"/>
  <c r="C184" i="10" s="1"/>
  <c r="B140" i="10"/>
  <c r="B184" i="10" s="1"/>
  <c r="B107" i="10"/>
  <c r="B105" i="10"/>
  <c r="B102" i="10"/>
  <c r="B103" i="10" s="1"/>
  <c r="B96" i="10"/>
  <c r="B97" i="10" s="1"/>
  <c r="C86" i="10"/>
  <c r="C132" i="10" s="1"/>
  <c r="B86" i="10"/>
  <c r="B132" i="10" s="1"/>
  <c r="C85" i="10"/>
  <c r="C131" i="10" s="1"/>
  <c r="B85" i="10"/>
  <c r="B131" i="10" s="1"/>
  <c r="C78" i="10"/>
  <c r="C124" i="10" s="1"/>
  <c r="B78" i="10"/>
  <c r="B124" i="10" s="1"/>
  <c r="C77" i="10"/>
  <c r="C123" i="10" s="1"/>
  <c r="B77" i="10"/>
  <c r="B123" i="10" s="1"/>
  <c r="C76" i="10"/>
  <c r="C122" i="10" s="1"/>
  <c r="B76" i="10"/>
  <c r="B122" i="10" s="1"/>
  <c r="C75" i="10"/>
  <c r="C121" i="10" s="1"/>
  <c r="B75" i="10"/>
  <c r="B121" i="10" s="1"/>
  <c r="C72" i="10"/>
  <c r="C118" i="10" s="1"/>
  <c r="B72" i="10"/>
  <c r="B118" i="10" s="1"/>
  <c r="B61" i="10"/>
  <c r="B58" i="10"/>
  <c r="B57" i="10"/>
  <c r="B51" i="10"/>
  <c r="C88" i="10"/>
  <c r="B38" i="10"/>
  <c r="B84" i="10" s="1"/>
  <c r="B36" i="10"/>
  <c r="C82" i="10" s="1"/>
  <c r="C128" i="10" s="1"/>
  <c r="B35" i="10"/>
  <c r="B33" i="10"/>
  <c r="B34" i="10" s="1"/>
  <c r="B27" i="10"/>
  <c r="B28" i="10" s="1"/>
  <c r="B14" i="10"/>
  <c r="B13" i="10"/>
  <c r="B7" i="10"/>
  <c r="C140" i="5"/>
  <c r="C184" i="5" s="1"/>
  <c r="B140" i="5"/>
  <c r="B184" i="5" s="1"/>
  <c r="B107" i="5"/>
  <c r="B106" i="5"/>
  <c r="B104" i="5" s="1"/>
  <c r="B105" i="5"/>
  <c r="B102" i="5"/>
  <c r="B103" i="5" s="1"/>
  <c r="B96" i="5"/>
  <c r="B97" i="5" s="1"/>
  <c r="C86" i="5"/>
  <c r="C132" i="5" s="1"/>
  <c r="B86" i="5"/>
  <c r="B132" i="5" s="1"/>
  <c r="C85" i="5"/>
  <c r="C131" i="5" s="1"/>
  <c r="B85" i="5"/>
  <c r="B131" i="5" s="1"/>
  <c r="C83" i="5"/>
  <c r="C129" i="5" s="1"/>
  <c r="C78" i="5"/>
  <c r="C124" i="5" s="1"/>
  <c r="B78" i="5"/>
  <c r="B124" i="5" s="1"/>
  <c r="C77" i="5"/>
  <c r="C123" i="5" s="1"/>
  <c r="B77" i="5"/>
  <c r="B123" i="5" s="1"/>
  <c r="C76" i="5"/>
  <c r="C122" i="5" s="1"/>
  <c r="B76" i="5"/>
  <c r="C75" i="5"/>
  <c r="C121" i="5" s="1"/>
  <c r="B75" i="5"/>
  <c r="B121" i="5" s="1"/>
  <c r="C72" i="5"/>
  <c r="C118" i="5" s="1"/>
  <c r="B72" i="5"/>
  <c r="B61" i="5"/>
  <c r="B58" i="5"/>
  <c r="B57" i="5"/>
  <c r="B51" i="5"/>
  <c r="C88" i="5"/>
  <c r="B88" i="5"/>
  <c r="B134" i="5" s="1"/>
  <c r="C84" i="5"/>
  <c r="B38" i="5"/>
  <c r="B84" i="5" s="1"/>
  <c r="B37" i="5"/>
  <c r="B83" i="5" s="1"/>
  <c r="B129" i="5" s="1"/>
  <c r="C81" i="5"/>
  <c r="C127" i="5" s="1"/>
  <c r="B36" i="5"/>
  <c r="B82" i="5" s="1"/>
  <c r="B128" i="5" s="1"/>
  <c r="B33" i="5"/>
  <c r="B79" i="5" s="1"/>
  <c r="B125" i="5" s="1"/>
  <c r="B27" i="5"/>
  <c r="B73" i="5" s="1"/>
  <c r="B119" i="5" s="1"/>
  <c r="B14" i="5"/>
  <c r="B13" i="5"/>
  <c r="C140" i="6"/>
  <c r="C184" i="6" s="1"/>
  <c r="B140" i="6"/>
  <c r="B184" i="6" s="1"/>
  <c r="B107" i="6"/>
  <c r="B105" i="6"/>
  <c r="B102" i="6"/>
  <c r="B103" i="6" s="1"/>
  <c r="B96" i="6"/>
  <c r="B97" i="6" s="1"/>
  <c r="C86" i="6"/>
  <c r="C132" i="6" s="1"/>
  <c r="B132" i="6"/>
  <c r="C85" i="6"/>
  <c r="C131" i="6" s="1"/>
  <c r="B131" i="6"/>
  <c r="C83" i="6"/>
  <c r="C129" i="6" s="1"/>
  <c r="C78" i="6"/>
  <c r="C124" i="6" s="1"/>
  <c r="B78" i="6"/>
  <c r="B124" i="6" s="1"/>
  <c r="C77" i="6"/>
  <c r="C123" i="6" s="1"/>
  <c r="B77" i="6"/>
  <c r="B123" i="6" s="1"/>
  <c r="C76" i="6"/>
  <c r="C122" i="6" s="1"/>
  <c r="C126" i="6" s="1"/>
  <c r="B76" i="6"/>
  <c r="B122" i="6" s="1"/>
  <c r="C75" i="6"/>
  <c r="C121" i="6" s="1"/>
  <c r="B75" i="6"/>
  <c r="B121" i="6" s="1"/>
  <c r="C72" i="6"/>
  <c r="C118" i="6" s="1"/>
  <c r="B72" i="6"/>
  <c r="B118" i="6" s="1"/>
  <c r="B61" i="6"/>
  <c r="B58" i="6"/>
  <c r="B57" i="6"/>
  <c r="B51" i="6"/>
  <c r="C88" i="6"/>
  <c r="C134" i="6" s="1"/>
  <c r="B134" i="6"/>
  <c r="C84" i="6"/>
  <c r="B38" i="6"/>
  <c r="B84" i="6" s="1"/>
  <c r="B83" i="6"/>
  <c r="B129" i="6" s="1"/>
  <c r="B36" i="6"/>
  <c r="B82" i="6" s="1"/>
  <c r="B128" i="6" s="1"/>
  <c r="B33" i="6"/>
  <c r="B34" i="6" s="1"/>
  <c r="B27" i="6"/>
  <c r="B28" i="6" s="1"/>
  <c r="B17" i="6"/>
  <c r="C17" i="6" s="1"/>
  <c r="B14" i="6"/>
  <c r="B13" i="6"/>
  <c r="B7" i="6"/>
  <c r="G327" i="33"/>
  <c r="H327" i="33"/>
  <c r="I327" i="33"/>
  <c r="J327" i="33" s="1"/>
  <c r="G328" i="33"/>
  <c r="H328" i="33"/>
  <c r="I328" i="33"/>
  <c r="J328" i="33" s="1"/>
  <c r="H299" i="34"/>
  <c r="B84" i="14" l="1"/>
  <c r="B88" i="7"/>
  <c r="B134" i="7" s="1"/>
  <c r="C134" i="7"/>
  <c r="B48" i="19"/>
  <c r="B67" i="19" s="1"/>
  <c r="B178" i="19" s="1"/>
  <c r="B4" i="19"/>
  <c r="B129" i="9"/>
  <c r="B104" i="9"/>
  <c r="B94" i="12"/>
  <c r="B113" i="12" s="1"/>
  <c r="B181" i="12" s="1"/>
  <c r="B88" i="12"/>
  <c r="B134" i="12" s="1"/>
  <c r="C88" i="12"/>
  <c r="C134" i="12" s="1"/>
  <c r="B25" i="14"/>
  <c r="B44" i="14" s="1"/>
  <c r="B177" i="14" s="1"/>
  <c r="C81" i="11"/>
  <c r="C127" i="11" s="1"/>
  <c r="B48" i="7"/>
  <c r="B67" i="7" s="1"/>
  <c r="B178" i="7" s="1"/>
  <c r="B35" i="12"/>
  <c r="B81" i="12" s="1"/>
  <c r="B127" i="12" s="1"/>
  <c r="C79" i="18"/>
  <c r="C125" i="18" s="1"/>
  <c r="C126" i="18" s="1"/>
  <c r="B104" i="7"/>
  <c r="B127" i="7" s="1"/>
  <c r="B104" i="15"/>
  <c r="C73" i="6"/>
  <c r="B104" i="19"/>
  <c r="C127" i="14"/>
  <c r="B73" i="14"/>
  <c r="B119" i="14" s="1"/>
  <c r="C79" i="17"/>
  <c r="C125" i="17" s="1"/>
  <c r="C126" i="17" s="1"/>
  <c r="C73" i="10"/>
  <c r="C74" i="10" s="1"/>
  <c r="C73" i="14"/>
  <c r="C119" i="14" s="1"/>
  <c r="C120" i="14" s="1"/>
  <c r="C134" i="5"/>
  <c r="C134" i="10"/>
  <c r="B134" i="10"/>
  <c r="B134" i="9"/>
  <c r="C134" i="14"/>
  <c r="C134" i="13"/>
  <c r="B79" i="10"/>
  <c r="B125" i="10" s="1"/>
  <c r="C79" i="19"/>
  <c r="C125" i="19" s="1"/>
  <c r="C126" i="19" s="1"/>
  <c r="B35" i="9"/>
  <c r="B81" i="9" s="1"/>
  <c r="B127" i="9" s="1"/>
  <c r="B35" i="13"/>
  <c r="B81" i="13" s="1"/>
  <c r="B127" i="13" s="1"/>
  <c r="B79" i="14"/>
  <c r="B125" i="14" s="1"/>
  <c r="B82" i="17"/>
  <c r="B128" i="17" s="1"/>
  <c r="B35" i="18"/>
  <c r="B81" i="18" s="1"/>
  <c r="B127" i="18" s="1"/>
  <c r="B73" i="6"/>
  <c r="B119" i="6" s="1"/>
  <c r="B82" i="10"/>
  <c r="B128" i="10" s="1"/>
  <c r="B83" i="19"/>
  <c r="B129" i="19" s="1"/>
  <c r="C83" i="19"/>
  <c r="C129" i="19" s="1"/>
  <c r="B82" i="19"/>
  <c r="B128" i="19" s="1"/>
  <c r="C81" i="9"/>
  <c r="C127" i="9" s="1"/>
  <c r="C81" i="12"/>
  <c r="C127" i="12" s="1"/>
  <c r="B35" i="14"/>
  <c r="B81" i="14" s="1"/>
  <c r="B127" i="14" s="1"/>
  <c r="B74" i="14"/>
  <c r="C81" i="18"/>
  <c r="C127" i="18" s="1"/>
  <c r="B35" i="15"/>
  <c r="B79" i="6"/>
  <c r="B125" i="6" s="1"/>
  <c r="C127" i="7"/>
  <c r="B80" i="7"/>
  <c r="B35" i="19"/>
  <c r="B81" i="19" s="1"/>
  <c r="B127" i="19" s="1"/>
  <c r="B80" i="14"/>
  <c r="C81" i="17"/>
  <c r="C127" i="17" s="1"/>
  <c r="B120" i="6"/>
  <c r="B35" i="5"/>
  <c r="B81" i="5" s="1"/>
  <c r="B127" i="5" s="1"/>
  <c r="B73" i="10"/>
  <c r="B119" i="10" s="1"/>
  <c r="B120" i="10" s="1"/>
  <c r="B73" i="19"/>
  <c r="B119" i="19" s="1"/>
  <c r="B79" i="9"/>
  <c r="B125" i="9" s="1"/>
  <c r="B81" i="10"/>
  <c r="B83" i="10"/>
  <c r="B129" i="10" s="1"/>
  <c r="B104" i="10"/>
  <c r="C130" i="5"/>
  <c r="B130" i="7"/>
  <c r="B48" i="11"/>
  <c r="B67" i="11" s="1"/>
  <c r="B178" i="11" s="1"/>
  <c r="C178" i="17"/>
  <c r="B79" i="15"/>
  <c r="B125" i="15" s="1"/>
  <c r="B81" i="15"/>
  <c r="B127" i="15" s="1"/>
  <c r="C27" i="15"/>
  <c r="B73" i="15"/>
  <c r="B119" i="15" s="1"/>
  <c r="C84" i="9"/>
  <c r="B84" i="9"/>
  <c r="C130" i="19"/>
  <c r="B130" i="10"/>
  <c r="C130" i="10"/>
  <c r="B130" i="5"/>
  <c r="B48" i="18"/>
  <c r="B67" i="18" s="1"/>
  <c r="B178" i="18" s="1"/>
  <c r="C178" i="13"/>
  <c r="B4" i="14"/>
  <c r="C178" i="14"/>
  <c r="C73" i="9"/>
  <c r="B73" i="9"/>
  <c r="B119" i="9" s="1"/>
  <c r="B120" i="9" s="1"/>
  <c r="C178" i="19"/>
  <c r="C81" i="19"/>
  <c r="C127" i="19" s="1"/>
  <c r="B4" i="7"/>
  <c r="C130" i="7"/>
  <c r="C178" i="7"/>
  <c r="B48" i="10"/>
  <c r="B67" i="10" s="1"/>
  <c r="B178" i="10" s="1"/>
  <c r="B25" i="10"/>
  <c r="B44" i="10" s="1"/>
  <c r="B177" i="10" s="1"/>
  <c r="C84" i="10"/>
  <c r="C178" i="10"/>
  <c r="B4" i="10"/>
  <c r="C178" i="5"/>
  <c r="C81" i="6"/>
  <c r="C127" i="6" s="1"/>
  <c r="B25" i="6"/>
  <c r="B35" i="6"/>
  <c r="B104" i="6"/>
  <c r="C130" i="15"/>
  <c r="B130" i="15"/>
  <c r="C130" i="18"/>
  <c r="C130" i="13"/>
  <c r="B130" i="13"/>
  <c r="C130" i="17"/>
  <c r="C130" i="14"/>
  <c r="B130" i="14"/>
  <c r="C130" i="11"/>
  <c r="C130" i="9"/>
  <c r="B130" i="9"/>
  <c r="C130" i="6"/>
  <c r="I299" i="34"/>
  <c r="J299" i="34" s="1"/>
  <c r="G299" i="34"/>
  <c r="B126" i="6"/>
  <c r="B4" i="15"/>
  <c r="C178" i="6"/>
  <c r="C178" i="9"/>
  <c r="C48" i="15"/>
  <c r="C67" i="15" s="1"/>
  <c r="C178" i="15" s="1"/>
  <c r="B94" i="15"/>
  <c r="B113" i="15" s="1"/>
  <c r="B181" i="15" s="1"/>
  <c r="B48" i="15"/>
  <c r="B67" i="15" s="1"/>
  <c r="B178" i="15" s="1"/>
  <c r="B25" i="15"/>
  <c r="B44" i="15" s="1"/>
  <c r="B177" i="15" s="1"/>
  <c r="B4" i="18"/>
  <c r="B94" i="13"/>
  <c r="B113" i="13" s="1"/>
  <c r="B181" i="13" s="1"/>
  <c r="B48" i="13"/>
  <c r="B67" i="13" s="1"/>
  <c r="B178" i="13" s="1"/>
  <c r="B48" i="17"/>
  <c r="B67" i="17" s="1"/>
  <c r="B178" i="17" s="1"/>
  <c r="B4" i="17"/>
  <c r="B48" i="14"/>
  <c r="B67" i="14" s="1"/>
  <c r="B178" i="14" s="1"/>
  <c r="B94" i="11"/>
  <c r="B113" i="11" s="1"/>
  <c r="B181" i="11" s="1"/>
  <c r="B4" i="11"/>
  <c r="B48" i="9"/>
  <c r="B67" i="9" s="1"/>
  <c r="B178" i="9" s="1"/>
  <c r="B25" i="9"/>
  <c r="B44" i="9" s="1"/>
  <c r="B177" i="9" s="1"/>
  <c r="B4" i="9"/>
  <c r="B94" i="5"/>
  <c r="B113" i="5" s="1"/>
  <c r="B181" i="5" s="1"/>
  <c r="B48" i="5"/>
  <c r="B67" i="5" s="1"/>
  <c r="B178" i="5" s="1"/>
  <c r="B4" i="5"/>
  <c r="B94" i="6"/>
  <c r="B48" i="6"/>
  <c r="B67" i="6" s="1"/>
  <c r="B178" i="6" s="1"/>
  <c r="B4" i="6"/>
  <c r="B4" i="13"/>
  <c r="C79" i="15"/>
  <c r="C80" i="15" s="1"/>
  <c r="C34" i="15"/>
  <c r="B126" i="15"/>
  <c r="C35" i="15"/>
  <c r="C81" i="15" s="1"/>
  <c r="C127" i="15" s="1"/>
  <c r="B80" i="15"/>
  <c r="C102" i="15"/>
  <c r="C103" i="15" s="1"/>
  <c r="C94" i="15" s="1"/>
  <c r="C113" i="15" s="1"/>
  <c r="C181" i="15" s="1"/>
  <c r="B118" i="15"/>
  <c r="B120" i="15" s="1"/>
  <c r="C13" i="15"/>
  <c r="C4" i="15" s="1"/>
  <c r="C73" i="18"/>
  <c r="B74" i="18"/>
  <c r="B80" i="18"/>
  <c r="B94" i="18"/>
  <c r="B113" i="18" s="1"/>
  <c r="B181" i="18" s="1"/>
  <c r="B130" i="18"/>
  <c r="B28" i="18"/>
  <c r="B34" i="18"/>
  <c r="C181" i="18"/>
  <c r="B118" i="18"/>
  <c r="B120" i="18" s="1"/>
  <c r="B122" i="18"/>
  <c r="B126" i="18" s="1"/>
  <c r="B74" i="17"/>
  <c r="B80" i="17"/>
  <c r="B94" i="17"/>
  <c r="B113" i="17" s="1"/>
  <c r="B181" i="17" s="1"/>
  <c r="B130" i="17"/>
  <c r="C73" i="17"/>
  <c r="B28" i="17"/>
  <c r="B34" i="17"/>
  <c r="C181" i="17"/>
  <c r="B118" i="17"/>
  <c r="B120" i="17" s="1"/>
  <c r="B122" i="17"/>
  <c r="B126" i="17" s="1"/>
  <c r="C79" i="14"/>
  <c r="C80" i="14" s="1"/>
  <c r="B94" i="14"/>
  <c r="B113" i="14" s="1"/>
  <c r="B181" i="14" s="1"/>
  <c r="C82" i="14"/>
  <c r="C128" i="14" s="1"/>
  <c r="C181" i="14"/>
  <c r="B118" i="14"/>
  <c r="B120" i="14" s="1"/>
  <c r="B122" i="14"/>
  <c r="B126" i="14" s="1"/>
  <c r="C79" i="13"/>
  <c r="C80" i="13" s="1"/>
  <c r="C73" i="13"/>
  <c r="C127" i="13"/>
  <c r="B74" i="13"/>
  <c r="B80" i="13"/>
  <c r="B28" i="13"/>
  <c r="B34" i="13"/>
  <c r="C82" i="13"/>
  <c r="C128" i="13" s="1"/>
  <c r="B118" i="13"/>
  <c r="B120" i="13" s="1"/>
  <c r="B122" i="13"/>
  <c r="B126" i="13" s="1"/>
  <c r="B74" i="12"/>
  <c r="B80" i="12"/>
  <c r="C79" i="12"/>
  <c r="C73" i="12"/>
  <c r="C177" i="12"/>
  <c r="B28" i="12"/>
  <c r="B34" i="12"/>
  <c r="C80" i="12"/>
  <c r="C181" i="12"/>
  <c r="B118" i="12"/>
  <c r="B120" i="12" s="1"/>
  <c r="B122" i="12"/>
  <c r="B126" i="12" s="1"/>
  <c r="C177" i="11"/>
  <c r="C73" i="11"/>
  <c r="B120" i="11"/>
  <c r="B80" i="11"/>
  <c r="B130" i="11"/>
  <c r="B35" i="11"/>
  <c r="B81" i="11" s="1"/>
  <c r="B127" i="11" s="1"/>
  <c r="B74" i="11"/>
  <c r="B28" i="11"/>
  <c r="B34" i="11"/>
  <c r="C181" i="11"/>
  <c r="B122" i="11"/>
  <c r="B126" i="11" s="1"/>
  <c r="B94" i="9"/>
  <c r="B113" i="9" s="1"/>
  <c r="B181" i="9" s="1"/>
  <c r="C74" i="9"/>
  <c r="C119" i="9"/>
  <c r="C120" i="9" s="1"/>
  <c r="C181" i="9"/>
  <c r="B126" i="9"/>
  <c r="B74" i="9"/>
  <c r="B80" i="9"/>
  <c r="B74" i="19"/>
  <c r="C73" i="19"/>
  <c r="B126" i="19"/>
  <c r="B94" i="19"/>
  <c r="B113" i="19" s="1"/>
  <c r="B181" i="19" s="1"/>
  <c r="B130" i="19"/>
  <c r="B80" i="19"/>
  <c r="B28" i="19"/>
  <c r="C177" i="19" s="1"/>
  <c r="B34" i="19"/>
  <c r="C181" i="19"/>
  <c r="B118" i="19"/>
  <c r="B120" i="19" s="1"/>
  <c r="B94" i="7"/>
  <c r="B113" i="7" s="1"/>
  <c r="B181" i="7" s="1"/>
  <c r="B74" i="7"/>
  <c r="B71" i="7" s="1"/>
  <c r="B90" i="7" s="1"/>
  <c r="B180" i="7" s="1"/>
  <c r="B185" i="7" s="1"/>
  <c r="B28" i="7"/>
  <c r="B34" i="7"/>
  <c r="B118" i="7"/>
  <c r="B120" i="7" s="1"/>
  <c r="B122" i="7"/>
  <c r="B126" i="7" s="1"/>
  <c r="B94" i="10"/>
  <c r="B113" i="10" s="1"/>
  <c r="B181" i="10" s="1"/>
  <c r="C181" i="10"/>
  <c r="B126" i="10"/>
  <c r="B74" i="10"/>
  <c r="B80" i="10"/>
  <c r="C79" i="5"/>
  <c r="C80" i="5" s="1"/>
  <c r="C73" i="5"/>
  <c r="B74" i="5"/>
  <c r="B80" i="5"/>
  <c r="B28" i="5"/>
  <c r="B34" i="5"/>
  <c r="C82" i="5"/>
  <c r="C128" i="5" s="1"/>
  <c r="B118" i="5"/>
  <c r="B120" i="5" s="1"/>
  <c r="B122" i="5"/>
  <c r="B126" i="5" s="1"/>
  <c r="C181" i="6"/>
  <c r="C119" i="6"/>
  <c r="C120" i="6" s="1"/>
  <c r="C74" i="6"/>
  <c r="B130" i="6"/>
  <c r="B74" i="6"/>
  <c r="B80" i="6"/>
  <c r="C82" i="6"/>
  <c r="C128" i="6" s="1"/>
  <c r="L327" i="33"/>
  <c r="K328" i="33"/>
  <c r="K327" i="33"/>
  <c r="L328" i="33"/>
  <c r="K299" i="34"/>
  <c r="D289" i="33"/>
  <c r="B117" i="6" l="1"/>
  <c r="B71" i="14"/>
  <c r="C119" i="10"/>
  <c r="C120" i="10" s="1"/>
  <c r="C80" i="19"/>
  <c r="C80" i="18"/>
  <c r="B71" i="11"/>
  <c r="B90" i="11" s="1"/>
  <c r="B180" i="11" s="1"/>
  <c r="B185" i="11" s="1"/>
  <c r="C74" i="14"/>
  <c r="C71" i="14" s="1"/>
  <c r="C90" i="14" s="1"/>
  <c r="C180" i="14" s="1"/>
  <c r="C185" i="14" s="1"/>
  <c r="C79" i="11"/>
  <c r="C80" i="17"/>
  <c r="B71" i="12"/>
  <c r="B90" i="12" s="1"/>
  <c r="B180" i="12" s="1"/>
  <c r="B185" i="12" s="1"/>
  <c r="C125" i="13"/>
  <c r="C126" i="13" s="1"/>
  <c r="B90" i="14"/>
  <c r="B180" i="14" s="1"/>
  <c r="B185" i="14" s="1"/>
  <c r="B74" i="15"/>
  <c r="B71" i="15" s="1"/>
  <c r="B90" i="15" s="1"/>
  <c r="B180" i="15" s="1"/>
  <c r="B185" i="15" s="1"/>
  <c r="B127" i="10"/>
  <c r="B44" i="6"/>
  <c r="B177" i="6" s="1"/>
  <c r="C73" i="15"/>
  <c r="C28" i="15"/>
  <c r="C25" i="15" s="1"/>
  <c r="C44" i="15" s="1"/>
  <c r="C177" i="15" s="1"/>
  <c r="L299" i="34"/>
  <c r="N299" i="34" s="1"/>
  <c r="B117" i="9"/>
  <c r="B136" i="9" s="1"/>
  <c r="B182" i="9" s="1"/>
  <c r="B186" i="9" s="1"/>
  <c r="B71" i="19"/>
  <c r="B90" i="19" s="1"/>
  <c r="B180" i="19" s="1"/>
  <c r="B185" i="19" s="1"/>
  <c r="B117" i="19"/>
  <c r="B136" i="19" s="1"/>
  <c r="B182" i="19" s="1"/>
  <c r="B25" i="7"/>
  <c r="B44" i="7" s="1"/>
  <c r="B177" i="7" s="1"/>
  <c r="C177" i="7"/>
  <c r="B25" i="5"/>
  <c r="B44" i="5" s="1"/>
  <c r="B177" i="5" s="1"/>
  <c r="B113" i="6"/>
  <c r="B181" i="6" s="1"/>
  <c r="B81" i="6"/>
  <c r="B127" i="6" s="1"/>
  <c r="B136" i="6" s="1"/>
  <c r="B182" i="6" s="1"/>
  <c r="B186" i="6" s="1"/>
  <c r="C181" i="13"/>
  <c r="C177" i="18"/>
  <c r="B25" i="17"/>
  <c r="B44" i="17" s="1"/>
  <c r="B177" i="17" s="1"/>
  <c r="C181" i="5"/>
  <c r="C177" i="5"/>
  <c r="C177" i="13"/>
  <c r="B117" i="15"/>
  <c r="B136" i="15" s="1"/>
  <c r="B182" i="15" s="1"/>
  <c r="B117" i="18"/>
  <c r="B136" i="18" s="1"/>
  <c r="B182" i="18" s="1"/>
  <c r="B186" i="18" s="1"/>
  <c r="B25" i="18"/>
  <c r="B44" i="18" s="1"/>
  <c r="B177" i="18" s="1"/>
  <c r="B71" i="18"/>
  <c r="B90" i="18" s="1"/>
  <c r="B180" i="18" s="1"/>
  <c r="B185" i="18" s="1"/>
  <c r="B71" i="13"/>
  <c r="B90" i="13" s="1"/>
  <c r="B180" i="13" s="1"/>
  <c r="B185" i="13" s="1"/>
  <c r="B117" i="13"/>
  <c r="B136" i="13" s="1"/>
  <c r="B182" i="13" s="1"/>
  <c r="B186" i="13" s="1"/>
  <c r="B71" i="17"/>
  <c r="B90" i="17" s="1"/>
  <c r="B180" i="17" s="1"/>
  <c r="B185" i="17" s="1"/>
  <c r="B117" i="17"/>
  <c r="B136" i="17" s="1"/>
  <c r="B182" i="17" s="1"/>
  <c r="B186" i="17" s="1"/>
  <c r="B117" i="11"/>
  <c r="B136" i="11" s="1"/>
  <c r="B182" i="11" s="1"/>
  <c r="B25" i="11"/>
  <c r="B44" i="11" s="1"/>
  <c r="B177" i="11" s="1"/>
  <c r="C125" i="15"/>
  <c r="C126" i="15" s="1"/>
  <c r="C119" i="18"/>
  <c r="C120" i="18" s="1"/>
  <c r="C117" i="18" s="1"/>
  <c r="C136" i="18" s="1"/>
  <c r="C182" i="18" s="1"/>
  <c r="C74" i="18"/>
  <c r="C71" i="18" s="1"/>
  <c r="C90" i="18" s="1"/>
  <c r="C180" i="18" s="1"/>
  <c r="C185" i="18" s="1"/>
  <c r="C119" i="17"/>
  <c r="C120" i="17" s="1"/>
  <c r="C117" i="17" s="1"/>
  <c r="C136" i="17" s="1"/>
  <c r="C182" i="17" s="1"/>
  <c r="C74" i="17"/>
  <c r="C177" i="17"/>
  <c r="C177" i="14"/>
  <c r="C125" i="14"/>
  <c r="C126" i="14" s="1"/>
  <c r="C117" i="14" s="1"/>
  <c r="C136" i="14" s="1"/>
  <c r="C182" i="14" s="1"/>
  <c r="B117" i="14"/>
  <c r="B136" i="14" s="1"/>
  <c r="B182" i="14" s="1"/>
  <c r="B25" i="13"/>
  <c r="B44" i="13" s="1"/>
  <c r="B177" i="13" s="1"/>
  <c r="C119" i="13"/>
  <c r="C120" i="13" s="1"/>
  <c r="C74" i="13"/>
  <c r="C71" i="13" s="1"/>
  <c r="C90" i="13" s="1"/>
  <c r="C180" i="13" s="1"/>
  <c r="C185" i="13" s="1"/>
  <c r="B117" i="12"/>
  <c r="B136" i="12" s="1"/>
  <c r="B182" i="12" s="1"/>
  <c r="C119" i="12"/>
  <c r="C120" i="12" s="1"/>
  <c r="C74" i="12"/>
  <c r="C71" i="12" s="1"/>
  <c r="C90" i="12" s="1"/>
  <c r="C180" i="12" s="1"/>
  <c r="C185" i="12" s="1"/>
  <c r="C125" i="12"/>
  <c r="C126" i="12" s="1"/>
  <c r="B25" i="12"/>
  <c r="B44" i="12" s="1"/>
  <c r="B177" i="12" s="1"/>
  <c r="C74" i="11"/>
  <c r="C119" i="11"/>
  <c r="C120" i="11" s="1"/>
  <c r="B71" i="9"/>
  <c r="B90" i="9" s="1"/>
  <c r="B180" i="9" s="1"/>
  <c r="B185" i="9" s="1"/>
  <c r="C79" i="9"/>
  <c r="C177" i="9"/>
  <c r="B25" i="19"/>
  <c r="B44" i="19" s="1"/>
  <c r="B177" i="19" s="1"/>
  <c r="C119" i="19"/>
  <c r="C120" i="19" s="1"/>
  <c r="C117" i="19" s="1"/>
  <c r="C136" i="19" s="1"/>
  <c r="C182" i="19" s="1"/>
  <c r="C74" i="19"/>
  <c r="C125" i="7"/>
  <c r="C126" i="7" s="1"/>
  <c r="C181" i="7"/>
  <c r="C119" i="7"/>
  <c r="C120" i="7" s="1"/>
  <c r="B117" i="7"/>
  <c r="B136" i="7" s="1"/>
  <c r="B182" i="7" s="1"/>
  <c r="B71" i="10"/>
  <c r="B90" i="10" s="1"/>
  <c r="B180" i="10" s="1"/>
  <c r="B185" i="10" s="1"/>
  <c r="C79" i="10"/>
  <c r="C119" i="5"/>
  <c r="C120" i="5" s="1"/>
  <c r="C74" i="5"/>
  <c r="C71" i="5" s="1"/>
  <c r="C90" i="5" s="1"/>
  <c r="C180" i="5" s="1"/>
  <c r="C185" i="5" s="1"/>
  <c r="B71" i="5"/>
  <c r="B90" i="5" s="1"/>
  <c r="B180" i="5" s="1"/>
  <c r="B185" i="5" s="1"/>
  <c r="C125" i="5"/>
  <c r="C126" i="5" s="1"/>
  <c r="B71" i="6"/>
  <c r="B90" i="6" s="1"/>
  <c r="B180" i="6" s="1"/>
  <c r="B185" i="6" s="1"/>
  <c r="C79" i="6"/>
  <c r="C177" i="6"/>
  <c r="N328" i="33"/>
  <c r="M328" i="33"/>
  <c r="O328" i="33"/>
  <c r="N327" i="33"/>
  <c r="O327" i="33"/>
  <c r="M327" i="33"/>
  <c r="C220" i="46"/>
  <c r="B220" i="46"/>
  <c r="C77" i="70"/>
  <c r="D67" i="70"/>
  <c r="E67" i="70"/>
  <c r="F67" i="70"/>
  <c r="G67" i="70"/>
  <c r="H67" i="70"/>
  <c r="I67" i="70"/>
  <c r="J67" i="70"/>
  <c r="K67" i="70"/>
  <c r="L67" i="70"/>
  <c r="M67" i="70"/>
  <c r="N67" i="70"/>
  <c r="C67" i="70"/>
  <c r="B19" i="81"/>
  <c r="N55" i="81"/>
  <c r="C71" i="17" l="1"/>
  <c r="C90" i="17" s="1"/>
  <c r="C180" i="17" s="1"/>
  <c r="C185" i="17" s="1"/>
  <c r="C71" i="19"/>
  <c r="C90" i="19" s="1"/>
  <c r="C180" i="19" s="1"/>
  <c r="C185" i="19" s="1"/>
  <c r="C117" i="13"/>
  <c r="C136" i="13" s="1"/>
  <c r="C182" i="13" s="1"/>
  <c r="C183" i="13" s="1"/>
  <c r="C125" i="11"/>
  <c r="C126" i="11" s="1"/>
  <c r="C117" i="11" s="1"/>
  <c r="C136" i="11" s="1"/>
  <c r="C182" i="11" s="1"/>
  <c r="C80" i="11"/>
  <c r="C71" i="11" s="1"/>
  <c r="C90" i="11" s="1"/>
  <c r="C180" i="11" s="1"/>
  <c r="C185" i="11" s="1"/>
  <c r="B183" i="15"/>
  <c r="O299" i="34"/>
  <c r="M299" i="34"/>
  <c r="C74" i="15"/>
  <c r="C71" i="15" s="1"/>
  <c r="C90" i="15" s="1"/>
  <c r="C180" i="15" s="1"/>
  <c r="C185" i="15" s="1"/>
  <c r="C119" i="15"/>
  <c r="C120" i="15" s="1"/>
  <c r="C117" i="15" s="1"/>
  <c r="C136" i="15" s="1"/>
  <c r="C182" i="15" s="1"/>
  <c r="B187" i="18"/>
  <c r="B187" i="13"/>
  <c r="B183" i="13"/>
  <c r="B187" i="17"/>
  <c r="B183" i="17"/>
  <c r="B186" i="15"/>
  <c r="B187" i="15" s="1"/>
  <c r="B183" i="18"/>
  <c r="B183" i="9"/>
  <c r="B187" i="9"/>
  <c r="B183" i="6"/>
  <c r="B187" i="6"/>
  <c r="C183" i="18"/>
  <c r="C186" i="18"/>
  <c r="C187" i="18" s="1"/>
  <c r="C183" i="17"/>
  <c r="C186" i="17"/>
  <c r="C187" i="17" s="1"/>
  <c r="B183" i="14"/>
  <c r="B186" i="14"/>
  <c r="B187" i="14" s="1"/>
  <c r="C183" i="14"/>
  <c r="C186" i="14"/>
  <c r="C187" i="14" s="1"/>
  <c r="C117" i="12"/>
  <c r="C136" i="12" s="1"/>
  <c r="C182" i="12" s="1"/>
  <c r="B183" i="12"/>
  <c r="B186" i="12"/>
  <c r="B187" i="12" s="1"/>
  <c r="B183" i="11"/>
  <c r="B186" i="11"/>
  <c r="B187" i="11" s="1"/>
  <c r="C125" i="9"/>
  <c r="C126" i="9" s="1"/>
  <c r="C117" i="9" s="1"/>
  <c r="C136" i="9" s="1"/>
  <c r="C182" i="9" s="1"/>
  <c r="C80" i="9"/>
  <c r="C71" i="9" s="1"/>
  <c r="C90" i="9" s="1"/>
  <c r="C180" i="9" s="1"/>
  <c r="C185" i="9" s="1"/>
  <c r="B183" i="19"/>
  <c r="B186" i="19"/>
  <c r="B187" i="19" s="1"/>
  <c r="C186" i="19"/>
  <c r="B183" i="7"/>
  <c r="B186" i="7"/>
  <c r="B187" i="7" s="1"/>
  <c r="C90" i="7"/>
  <c r="C180" i="7" s="1"/>
  <c r="C185" i="7" s="1"/>
  <c r="C117" i="7"/>
  <c r="C136" i="7" s="1"/>
  <c r="C182" i="7" s="1"/>
  <c r="C125" i="10"/>
  <c r="C126" i="10" s="1"/>
  <c r="C80" i="10"/>
  <c r="C71" i="10" s="1"/>
  <c r="C125" i="6"/>
  <c r="C117" i="6" s="1"/>
  <c r="C136" i="6" s="1"/>
  <c r="C182" i="6" s="1"/>
  <c r="C80" i="6"/>
  <c r="C71" i="6" s="1"/>
  <c r="C90" i="6" s="1"/>
  <c r="C180" i="6" s="1"/>
  <c r="C185" i="6" s="1"/>
  <c r="D363" i="33"/>
  <c r="F367" i="33"/>
  <c r="E367" i="33"/>
  <c r="D367" i="33"/>
  <c r="F366" i="33"/>
  <c r="E366" i="33"/>
  <c r="D366" i="33"/>
  <c r="F363" i="33"/>
  <c r="E363" i="33"/>
  <c r="C186" i="13" l="1"/>
  <c r="C187" i="13" s="1"/>
  <c r="C183" i="19"/>
  <c r="C187" i="19"/>
  <c r="C186" i="11"/>
  <c r="C187" i="11" s="1"/>
  <c r="C183" i="11"/>
  <c r="C183" i="15"/>
  <c r="C186" i="15"/>
  <c r="C187" i="15" s="1"/>
  <c r="C183" i="12"/>
  <c r="C186" i="12"/>
  <c r="C187" i="12" s="1"/>
  <c r="C186" i="9"/>
  <c r="C187" i="9" s="1"/>
  <c r="C183" i="9"/>
  <c r="C183" i="7"/>
  <c r="C186" i="7"/>
  <c r="C187" i="7" s="1"/>
  <c r="C183" i="6"/>
  <c r="C186" i="6"/>
  <c r="C187" i="6" s="1"/>
  <c r="O201" i="73"/>
  <c r="C52" i="28"/>
  <c r="C62" i="46"/>
  <c r="C78" i="70"/>
  <c r="D78" i="70"/>
  <c r="E78" i="70"/>
  <c r="F78" i="70"/>
  <c r="G78" i="70"/>
  <c r="H78" i="70"/>
  <c r="I78" i="70"/>
  <c r="J78" i="70"/>
  <c r="K78" i="70"/>
  <c r="L78" i="70"/>
  <c r="M78" i="70"/>
  <c r="N78" i="70"/>
  <c r="D77" i="70"/>
  <c r="E77" i="70"/>
  <c r="F77" i="70"/>
  <c r="G77" i="70"/>
  <c r="H77" i="70"/>
  <c r="I77" i="70"/>
  <c r="J77" i="70"/>
  <c r="K77" i="70"/>
  <c r="L77" i="70"/>
  <c r="M77" i="70"/>
  <c r="N77" i="70"/>
  <c r="C75" i="70"/>
  <c r="D75" i="70"/>
  <c r="E75" i="70"/>
  <c r="F75" i="70"/>
  <c r="G75" i="70"/>
  <c r="H75" i="70"/>
  <c r="I75" i="70"/>
  <c r="J75" i="70"/>
  <c r="K75" i="70"/>
  <c r="L75" i="70"/>
  <c r="M75" i="70"/>
  <c r="N75" i="70"/>
  <c r="D72" i="70"/>
  <c r="E72" i="70"/>
  <c r="F72" i="70"/>
  <c r="G72" i="70"/>
  <c r="H72" i="70"/>
  <c r="I72" i="70"/>
  <c r="J72" i="70"/>
  <c r="K72" i="70"/>
  <c r="L72" i="70"/>
  <c r="M72" i="70"/>
  <c r="N72" i="70"/>
  <c r="C72" i="70"/>
  <c r="D71" i="70"/>
  <c r="E71" i="70"/>
  <c r="F71" i="70"/>
  <c r="G71" i="70"/>
  <c r="H71" i="70"/>
  <c r="I71" i="70"/>
  <c r="J71" i="70"/>
  <c r="K71" i="70"/>
  <c r="L71" i="70"/>
  <c r="M71" i="70"/>
  <c r="N71" i="70"/>
  <c r="C71" i="70"/>
  <c r="C81" i="70"/>
  <c r="R22" i="20"/>
  <c r="R23" i="20"/>
  <c r="R41" i="20"/>
  <c r="R45" i="20"/>
  <c r="R46" i="20"/>
  <c r="R64" i="20"/>
  <c r="R68" i="20"/>
  <c r="R69" i="20"/>
  <c r="R87" i="20"/>
  <c r="R91" i="20"/>
  <c r="R92" i="20"/>
  <c r="R93" i="20"/>
  <c r="R110" i="20"/>
  <c r="R112" i="20"/>
  <c r="R114" i="20"/>
  <c r="R115" i="20"/>
  <c r="R116" i="20"/>
  <c r="R133" i="20"/>
  <c r="R135" i="20"/>
  <c r="R137" i="20"/>
  <c r="R138" i="20"/>
  <c r="R139" i="20"/>
  <c r="R174" i="20"/>
  <c r="R175" i="20"/>
  <c r="R176" i="20"/>
  <c r="G350" i="34"/>
  <c r="H327" i="34"/>
  <c r="G303" i="34"/>
  <c r="G279" i="34"/>
  <c r="I255" i="34"/>
  <c r="H231" i="34"/>
  <c r="G207" i="34"/>
  <c r="D184" i="34"/>
  <c r="F183" i="34"/>
  <c r="G183" i="34" s="1"/>
  <c r="E183" i="34"/>
  <c r="D183" i="34"/>
  <c r="H159" i="34"/>
  <c r="G135" i="34"/>
  <c r="H135" i="34"/>
  <c r="G111" i="34"/>
  <c r="H87" i="34"/>
  <c r="G63" i="34"/>
  <c r="G39" i="34"/>
  <c r="D15" i="34"/>
  <c r="D16" i="34"/>
  <c r="G351" i="33"/>
  <c r="G350" i="33"/>
  <c r="G304" i="33"/>
  <c r="G303" i="33"/>
  <c r="G280" i="33"/>
  <c r="G279" i="33"/>
  <c r="G256" i="33"/>
  <c r="G255" i="33"/>
  <c r="H232" i="33"/>
  <c r="H231" i="33"/>
  <c r="G208" i="33"/>
  <c r="G207" i="33"/>
  <c r="G184" i="33"/>
  <c r="G183" i="33"/>
  <c r="G160" i="33"/>
  <c r="G159" i="33"/>
  <c r="H136" i="33"/>
  <c r="H135" i="33"/>
  <c r="H112" i="33"/>
  <c r="H111" i="33"/>
  <c r="G88" i="33"/>
  <c r="G87" i="33"/>
  <c r="G64" i="33"/>
  <c r="G63" i="33"/>
  <c r="H40" i="33"/>
  <c r="H39" i="33"/>
  <c r="D373" i="33"/>
  <c r="F373" i="33"/>
  <c r="H15" i="33"/>
  <c r="D373" i="34" l="1"/>
  <c r="D374" i="34"/>
  <c r="D374" i="33"/>
  <c r="E374" i="33"/>
  <c r="H207" i="33"/>
  <c r="H64" i="33"/>
  <c r="I87" i="33"/>
  <c r="K87" i="33" s="1"/>
  <c r="H88" i="33"/>
  <c r="I160" i="33"/>
  <c r="K160" i="33" s="1"/>
  <c r="H183" i="33"/>
  <c r="I207" i="33"/>
  <c r="K207" i="33" s="1"/>
  <c r="H208" i="33"/>
  <c r="G40" i="33"/>
  <c r="I88" i="33"/>
  <c r="J88" i="33" s="1"/>
  <c r="G112" i="33"/>
  <c r="I136" i="33"/>
  <c r="J136" i="33" s="1"/>
  <c r="I304" i="33"/>
  <c r="K304" i="33" s="1"/>
  <c r="I112" i="33"/>
  <c r="J112" i="33" s="1"/>
  <c r="I183" i="33"/>
  <c r="K183" i="33" s="1"/>
  <c r="H184" i="33"/>
  <c r="I208" i="33"/>
  <c r="J208" i="33" s="1"/>
  <c r="G232" i="33"/>
  <c r="H256" i="33"/>
  <c r="H351" i="33"/>
  <c r="H88" i="34"/>
  <c r="H160" i="34"/>
  <c r="G208" i="34"/>
  <c r="G280" i="34"/>
  <c r="G328" i="34"/>
  <c r="G136" i="33"/>
  <c r="H160" i="33"/>
  <c r="I184" i="33"/>
  <c r="J184" i="33" s="1"/>
  <c r="I232" i="33"/>
  <c r="J232" i="33" s="1"/>
  <c r="I256" i="33"/>
  <c r="J256" i="33" s="1"/>
  <c r="H280" i="33"/>
  <c r="I351" i="33"/>
  <c r="J351" i="33" s="1"/>
  <c r="H64" i="34"/>
  <c r="I136" i="34"/>
  <c r="G16" i="33"/>
  <c r="F374" i="33"/>
  <c r="I280" i="33"/>
  <c r="J280" i="33" s="1"/>
  <c r="H304" i="33"/>
  <c r="G112" i="34"/>
  <c r="G184" i="34"/>
  <c r="I256" i="34"/>
  <c r="K256" i="34" s="1"/>
  <c r="G304" i="34"/>
  <c r="G351" i="34"/>
  <c r="I40" i="33"/>
  <c r="J40" i="33" s="1"/>
  <c r="I64" i="33"/>
  <c r="J64" i="33" s="1"/>
  <c r="H111" i="34"/>
  <c r="I303" i="34"/>
  <c r="K303" i="34" s="1"/>
  <c r="I63" i="33"/>
  <c r="K63" i="33" s="1"/>
  <c r="I111" i="33"/>
  <c r="J111" i="33" s="1"/>
  <c r="I15" i="33"/>
  <c r="K15" i="33" s="1"/>
  <c r="G15" i="33"/>
  <c r="G39" i="33"/>
  <c r="I159" i="33"/>
  <c r="K159" i="33" s="1"/>
  <c r="G231" i="33"/>
  <c r="I39" i="33"/>
  <c r="I231" i="33"/>
  <c r="J231" i="33" s="1"/>
  <c r="I183" i="34"/>
  <c r="K183" i="34" s="1"/>
  <c r="I207" i="34"/>
  <c r="K207" i="34" s="1"/>
  <c r="I111" i="34"/>
  <c r="K111" i="34" s="1"/>
  <c r="I135" i="34"/>
  <c r="J135" i="34" s="1"/>
  <c r="I350" i="34"/>
  <c r="K350" i="34" s="1"/>
  <c r="H183" i="34"/>
  <c r="H207" i="34"/>
  <c r="H303" i="34"/>
  <c r="L87" i="33"/>
  <c r="O87" i="33" s="1"/>
  <c r="G135" i="33"/>
  <c r="L183" i="33"/>
  <c r="O183" i="33" s="1"/>
  <c r="L207" i="33"/>
  <c r="O207" i="33" s="1"/>
  <c r="H255" i="33"/>
  <c r="H279" i="33"/>
  <c r="H303" i="33"/>
  <c r="H350" i="33"/>
  <c r="I135" i="33"/>
  <c r="J135" i="33" s="1"/>
  <c r="I255" i="33"/>
  <c r="J255" i="33" s="1"/>
  <c r="I279" i="33"/>
  <c r="J279" i="33" s="1"/>
  <c r="I303" i="33"/>
  <c r="J303" i="33" s="1"/>
  <c r="I350" i="33"/>
  <c r="J350" i="33" s="1"/>
  <c r="H63" i="33"/>
  <c r="H87" i="33"/>
  <c r="G111" i="33"/>
  <c r="H159" i="33"/>
  <c r="H40" i="34"/>
  <c r="I160" i="34"/>
  <c r="J160" i="34" s="1"/>
  <c r="G231" i="34"/>
  <c r="I327" i="34"/>
  <c r="H350" i="34"/>
  <c r="I231" i="34"/>
  <c r="J231" i="34" s="1"/>
  <c r="H39" i="34"/>
  <c r="H63" i="34"/>
  <c r="G87" i="34"/>
  <c r="G159" i="34"/>
  <c r="H208" i="34"/>
  <c r="G327" i="34"/>
  <c r="I39" i="34"/>
  <c r="J39" i="34" s="1"/>
  <c r="I63" i="34"/>
  <c r="J63" i="34" s="1"/>
  <c r="I87" i="34"/>
  <c r="J87" i="34" s="1"/>
  <c r="G88" i="34"/>
  <c r="I159" i="34"/>
  <c r="J159" i="34" s="1"/>
  <c r="G160" i="34"/>
  <c r="I208" i="34"/>
  <c r="J208" i="34" s="1"/>
  <c r="H279" i="34"/>
  <c r="I279" i="34"/>
  <c r="J255" i="34"/>
  <c r="L255" i="34"/>
  <c r="K255" i="34"/>
  <c r="H255" i="34"/>
  <c r="G255" i="34"/>
  <c r="G256" i="34"/>
  <c r="J183" i="33"/>
  <c r="L136" i="33"/>
  <c r="K112" i="33"/>
  <c r="I16" i="33"/>
  <c r="H16" i="33"/>
  <c r="F346" i="33"/>
  <c r="E346" i="33"/>
  <c r="D346" i="33"/>
  <c r="F299" i="33"/>
  <c r="E299" i="33"/>
  <c r="D299" i="33"/>
  <c r="D227" i="33"/>
  <c r="F227" i="33"/>
  <c r="E227" i="33"/>
  <c r="F155" i="33"/>
  <c r="E155" i="33"/>
  <c r="D155" i="33"/>
  <c r="F107" i="33"/>
  <c r="E107" i="33"/>
  <c r="D107" i="33"/>
  <c r="K40" i="33" l="1"/>
  <c r="L135" i="34"/>
  <c r="N135" i="34" s="1"/>
  <c r="K136" i="33"/>
  <c r="J87" i="33"/>
  <c r="J207" i="33"/>
  <c r="N183" i="33"/>
  <c r="L183" i="34"/>
  <c r="O183" i="34" s="1"/>
  <c r="K231" i="34"/>
  <c r="I184" i="34"/>
  <c r="J184" i="34" s="1"/>
  <c r="H184" i="34"/>
  <c r="L40" i="33"/>
  <c r="M40" i="33" s="1"/>
  <c r="J350" i="34"/>
  <c r="K135" i="34"/>
  <c r="L256" i="34"/>
  <c r="O256" i="34" s="1"/>
  <c r="J256" i="34"/>
  <c r="H351" i="34"/>
  <c r="J160" i="33"/>
  <c r="L160" i="33"/>
  <c r="O160" i="33" s="1"/>
  <c r="L111" i="33"/>
  <c r="N111" i="33" s="1"/>
  <c r="L135" i="33"/>
  <c r="N135" i="33" s="1"/>
  <c r="L304" i="33"/>
  <c r="N87" i="33"/>
  <c r="K111" i="33"/>
  <c r="J159" i="33"/>
  <c r="J304" i="33"/>
  <c r="K232" i="33"/>
  <c r="I351" i="34"/>
  <c r="J351" i="34" s="1"/>
  <c r="H112" i="34"/>
  <c r="L112" i="33"/>
  <c r="O112" i="33" s="1"/>
  <c r="H280" i="34"/>
  <c r="I112" i="34"/>
  <c r="J112" i="34" s="1"/>
  <c r="L87" i="34"/>
  <c r="N87" i="34" s="1"/>
  <c r="L207" i="34"/>
  <c r="N207" i="34" s="1"/>
  <c r="K231" i="33"/>
  <c r="H374" i="33"/>
  <c r="J136" i="34"/>
  <c r="L136" i="34"/>
  <c r="O136" i="34" s="1"/>
  <c r="K136" i="34"/>
  <c r="G374" i="33"/>
  <c r="E369" i="33"/>
  <c r="F369" i="33"/>
  <c r="D369" i="33"/>
  <c r="I304" i="34"/>
  <c r="J304" i="34" s="1"/>
  <c r="H304" i="34"/>
  <c r="H373" i="33"/>
  <c r="K88" i="33"/>
  <c r="L88" i="33"/>
  <c r="L159" i="33"/>
  <c r="N159" i="33" s="1"/>
  <c r="K16" i="33"/>
  <c r="I374" i="33"/>
  <c r="J63" i="33"/>
  <c r="K135" i="33"/>
  <c r="L232" i="33"/>
  <c r="M232" i="33" s="1"/>
  <c r="I328" i="34"/>
  <c r="K328" i="34" s="1"/>
  <c r="H328" i="34"/>
  <c r="L15" i="33"/>
  <c r="I373" i="33"/>
  <c r="K280" i="33"/>
  <c r="L280" i="33"/>
  <c r="H136" i="34"/>
  <c r="G136" i="34"/>
  <c r="L231" i="33"/>
  <c r="M231" i="33" s="1"/>
  <c r="H256" i="34"/>
  <c r="I280" i="34"/>
  <c r="L280" i="34" s="1"/>
  <c r="I88" i="34"/>
  <c r="L88" i="34" s="1"/>
  <c r="L63" i="33"/>
  <c r="M63" i="33" s="1"/>
  <c r="G64" i="34"/>
  <c r="I64" i="34"/>
  <c r="K256" i="33"/>
  <c r="L256" i="33"/>
  <c r="K64" i="33"/>
  <c r="L64" i="33"/>
  <c r="G40" i="34"/>
  <c r="I40" i="34"/>
  <c r="K351" i="33"/>
  <c r="L351" i="33"/>
  <c r="G373" i="33"/>
  <c r="H232" i="34"/>
  <c r="G232" i="34"/>
  <c r="I232" i="34"/>
  <c r="K184" i="33"/>
  <c r="L184" i="33"/>
  <c r="K208" i="33"/>
  <c r="L208" i="33"/>
  <c r="L111" i="34"/>
  <c r="J207" i="34"/>
  <c r="J303" i="34"/>
  <c r="L303" i="34"/>
  <c r="J39" i="33"/>
  <c r="K39" i="33"/>
  <c r="J15" i="33"/>
  <c r="N207" i="33"/>
  <c r="L39" i="33"/>
  <c r="N39" i="33" s="1"/>
  <c r="M87" i="33"/>
  <c r="M207" i="33"/>
  <c r="K159" i="34"/>
  <c r="J111" i="34"/>
  <c r="J183" i="34"/>
  <c r="L350" i="34"/>
  <c r="N350" i="34" s="1"/>
  <c r="K303" i="33"/>
  <c r="L303" i="33"/>
  <c r="M183" i="33"/>
  <c r="K279" i="33"/>
  <c r="L279" i="33"/>
  <c r="K350" i="33"/>
  <c r="L350" i="33"/>
  <c r="K255" i="33"/>
  <c r="L255" i="33"/>
  <c r="J327" i="34"/>
  <c r="L327" i="34"/>
  <c r="K327" i="34"/>
  <c r="L160" i="34"/>
  <c r="O160" i="34" s="1"/>
  <c r="K63" i="34"/>
  <c r="L63" i="34"/>
  <c r="E369" i="34"/>
  <c r="K87" i="34"/>
  <c r="L159" i="34"/>
  <c r="N159" i="34" s="1"/>
  <c r="M183" i="34"/>
  <c r="L231" i="34"/>
  <c r="M231" i="34" s="1"/>
  <c r="K208" i="34"/>
  <c r="L208" i="34"/>
  <c r="K39" i="34"/>
  <c r="L39" i="34"/>
  <c r="F369" i="34"/>
  <c r="K160" i="34"/>
  <c r="K279" i="34"/>
  <c r="J279" i="34"/>
  <c r="L279" i="34"/>
  <c r="M255" i="34"/>
  <c r="N255" i="34"/>
  <c r="O255" i="34"/>
  <c r="M135" i="34"/>
  <c r="N231" i="33"/>
  <c r="N136" i="33"/>
  <c r="M136" i="33"/>
  <c r="O136" i="33"/>
  <c r="N40" i="33"/>
  <c r="O40" i="33"/>
  <c r="J16" i="33"/>
  <c r="L16" i="33"/>
  <c r="D369" i="34"/>
  <c r="G32" i="33"/>
  <c r="I8" i="34"/>
  <c r="L8" i="34" s="1"/>
  <c r="H8" i="34"/>
  <c r="G8" i="34"/>
  <c r="D363" i="34"/>
  <c r="D379" i="34" s="1"/>
  <c r="F367" i="34"/>
  <c r="E367" i="34"/>
  <c r="D367" i="34"/>
  <c r="F366" i="34"/>
  <c r="E366" i="34"/>
  <c r="D366" i="34"/>
  <c r="F363" i="34"/>
  <c r="F379" i="34" s="1"/>
  <c r="E379" i="34"/>
  <c r="O135" i="34" l="1"/>
  <c r="N183" i="34"/>
  <c r="O87" i="34"/>
  <c r="M87" i="34"/>
  <c r="M112" i="33"/>
  <c r="K184" i="34"/>
  <c r="O159" i="34"/>
  <c r="M256" i="34"/>
  <c r="M136" i="34"/>
  <c r="N136" i="34"/>
  <c r="O39" i="33"/>
  <c r="N256" i="34"/>
  <c r="L184" i="34"/>
  <c r="O184" i="34" s="1"/>
  <c r="N112" i="33"/>
  <c r="O111" i="33"/>
  <c r="K112" i="34"/>
  <c r="M88" i="34"/>
  <c r="N88" i="34"/>
  <c r="L304" i="34"/>
  <c r="N304" i="34" s="1"/>
  <c r="N231" i="34"/>
  <c r="N160" i="33"/>
  <c r="O232" i="33"/>
  <c r="N232" i="33"/>
  <c r="M111" i="33"/>
  <c r="O135" i="33"/>
  <c r="M39" i="33"/>
  <c r="M135" i="33"/>
  <c r="O231" i="33"/>
  <c r="J373" i="33"/>
  <c r="M160" i="33"/>
  <c r="J374" i="33"/>
  <c r="O304" i="33"/>
  <c r="N304" i="33"/>
  <c r="M304" i="33"/>
  <c r="J280" i="34"/>
  <c r="M160" i="34"/>
  <c r="K280" i="34"/>
  <c r="L351" i="34"/>
  <c r="M351" i="34" s="1"/>
  <c r="K304" i="34"/>
  <c r="L112" i="34"/>
  <c r="O112" i="34" s="1"/>
  <c r="K351" i="34"/>
  <c r="O207" i="34"/>
  <c r="M207" i="34"/>
  <c r="O88" i="34"/>
  <c r="L328" i="34"/>
  <c r="O328" i="34" s="1"/>
  <c r="J328" i="34"/>
  <c r="K373" i="33"/>
  <c r="O159" i="33"/>
  <c r="M159" i="33"/>
  <c r="O88" i="33"/>
  <c r="M88" i="33"/>
  <c r="N88" i="33"/>
  <c r="O16" i="33"/>
  <c r="L374" i="33"/>
  <c r="N160" i="34"/>
  <c r="J88" i="34"/>
  <c r="K88" i="34"/>
  <c r="O208" i="33"/>
  <c r="N208" i="33"/>
  <c r="M208" i="33"/>
  <c r="J232" i="34"/>
  <c r="K232" i="34"/>
  <c r="L232" i="34"/>
  <c r="O351" i="33"/>
  <c r="N351" i="33"/>
  <c r="M351" i="33"/>
  <c r="O64" i="33"/>
  <c r="N64" i="33"/>
  <c r="M64" i="33"/>
  <c r="K64" i="34"/>
  <c r="L64" i="34"/>
  <c r="J64" i="34"/>
  <c r="K374" i="33"/>
  <c r="M15" i="33"/>
  <c r="L373" i="33"/>
  <c r="O15" i="33"/>
  <c r="N15" i="33"/>
  <c r="O184" i="33"/>
  <c r="M184" i="33"/>
  <c r="N184" i="33"/>
  <c r="K40" i="34"/>
  <c r="L40" i="34"/>
  <c r="J40" i="34"/>
  <c r="O256" i="33"/>
  <c r="N256" i="33"/>
  <c r="M256" i="33"/>
  <c r="O63" i="33"/>
  <c r="N63" i="33"/>
  <c r="O280" i="33"/>
  <c r="M280" i="33"/>
  <c r="N280" i="33"/>
  <c r="M159" i="34"/>
  <c r="O111" i="34"/>
  <c r="N111" i="34"/>
  <c r="M111" i="34"/>
  <c r="O303" i="34"/>
  <c r="M303" i="34"/>
  <c r="N303" i="34"/>
  <c r="O350" i="34"/>
  <c r="M350" i="34"/>
  <c r="O255" i="33"/>
  <c r="M255" i="33"/>
  <c r="N255" i="33"/>
  <c r="O279" i="33"/>
  <c r="N279" i="33"/>
  <c r="M279" i="33"/>
  <c r="O303" i="33"/>
  <c r="M303" i="33"/>
  <c r="N303" i="33"/>
  <c r="O350" i="33"/>
  <c r="N350" i="33"/>
  <c r="M350" i="33"/>
  <c r="M8" i="34"/>
  <c r="O8" i="34"/>
  <c r="N8" i="34"/>
  <c r="J8" i="34"/>
  <c r="N328" i="34"/>
  <c r="O63" i="34"/>
  <c r="N63" i="34"/>
  <c r="M63" i="34"/>
  <c r="K8" i="34"/>
  <c r="O231" i="34"/>
  <c r="O39" i="34"/>
  <c r="N39" i="34"/>
  <c r="M39" i="34"/>
  <c r="O208" i="34"/>
  <c r="M208" i="34"/>
  <c r="N208" i="34"/>
  <c r="N327" i="34"/>
  <c r="O327" i="34"/>
  <c r="M327" i="34"/>
  <c r="O280" i="34"/>
  <c r="N280" i="34"/>
  <c r="M280" i="34"/>
  <c r="O279" i="34"/>
  <c r="N279" i="34"/>
  <c r="M279" i="34"/>
  <c r="M16" i="33"/>
  <c r="N16" i="33"/>
  <c r="G5" i="34"/>
  <c r="G340" i="34"/>
  <c r="I347" i="34"/>
  <c r="K347" i="34" s="1"/>
  <c r="H347" i="34"/>
  <c r="G347" i="34"/>
  <c r="I346" i="34"/>
  <c r="L346" i="34" s="1"/>
  <c r="H346" i="34"/>
  <c r="G346" i="34"/>
  <c r="I345" i="34"/>
  <c r="L345" i="34" s="1"/>
  <c r="H345" i="34"/>
  <c r="G345" i="34"/>
  <c r="I343" i="34"/>
  <c r="K343" i="34" s="1"/>
  <c r="H343" i="34"/>
  <c r="G343" i="34"/>
  <c r="I341" i="34"/>
  <c r="L341" i="34" s="1"/>
  <c r="H341" i="34"/>
  <c r="G341" i="34"/>
  <c r="I340" i="34"/>
  <c r="L340" i="34" s="1"/>
  <c r="H340" i="34"/>
  <c r="I324" i="34"/>
  <c r="J324" i="34" s="1"/>
  <c r="H324" i="34"/>
  <c r="G324" i="34"/>
  <c r="I323" i="34"/>
  <c r="K323" i="34" s="1"/>
  <c r="H323" i="34"/>
  <c r="G323" i="34"/>
  <c r="I322" i="34"/>
  <c r="L322" i="34" s="1"/>
  <c r="H322" i="34"/>
  <c r="G322" i="34"/>
  <c r="I320" i="34"/>
  <c r="J320" i="34" s="1"/>
  <c r="H320" i="34"/>
  <c r="G320" i="34"/>
  <c r="I318" i="34"/>
  <c r="K318" i="34" s="1"/>
  <c r="H318" i="34"/>
  <c r="G318" i="34"/>
  <c r="I317" i="34"/>
  <c r="L317" i="34" s="1"/>
  <c r="H317" i="34"/>
  <c r="G317" i="34"/>
  <c r="I300" i="34"/>
  <c r="K300" i="34" s="1"/>
  <c r="H300" i="34"/>
  <c r="G300" i="34"/>
  <c r="I298" i="34"/>
  <c r="L298" i="34" s="1"/>
  <c r="H298" i="34"/>
  <c r="G298" i="34"/>
  <c r="I296" i="34"/>
  <c r="K296" i="34" s="1"/>
  <c r="H296" i="34"/>
  <c r="G296" i="34"/>
  <c r="I294" i="34"/>
  <c r="K294" i="34" s="1"/>
  <c r="H294" i="34"/>
  <c r="G294" i="34"/>
  <c r="I293" i="34"/>
  <c r="L293" i="34" s="1"/>
  <c r="H293" i="34"/>
  <c r="G293" i="34"/>
  <c r="I276" i="34"/>
  <c r="K276" i="34" s="1"/>
  <c r="H276" i="34"/>
  <c r="G276" i="34"/>
  <c r="I275" i="34"/>
  <c r="L275" i="34" s="1"/>
  <c r="H275" i="34"/>
  <c r="G275" i="34"/>
  <c r="I274" i="34"/>
  <c r="K274" i="34" s="1"/>
  <c r="H274" i="34"/>
  <c r="G274" i="34"/>
  <c r="I272" i="34"/>
  <c r="K272" i="34" s="1"/>
  <c r="H272" i="34"/>
  <c r="G272" i="34"/>
  <c r="I270" i="34"/>
  <c r="L270" i="34" s="1"/>
  <c r="H270" i="34"/>
  <c r="G270" i="34"/>
  <c r="I269" i="34"/>
  <c r="J269" i="34" s="1"/>
  <c r="H269" i="34"/>
  <c r="G269" i="34"/>
  <c r="I252" i="34"/>
  <c r="K252" i="34" s="1"/>
  <c r="H252" i="34"/>
  <c r="G252" i="34"/>
  <c r="I251" i="34"/>
  <c r="L251" i="34" s="1"/>
  <c r="H251" i="34"/>
  <c r="G251" i="34"/>
  <c r="I250" i="34"/>
  <c r="L250" i="34" s="1"/>
  <c r="H250" i="34"/>
  <c r="G250" i="34"/>
  <c r="I248" i="34"/>
  <c r="K248" i="34" s="1"/>
  <c r="H248" i="34"/>
  <c r="G248" i="34"/>
  <c r="I246" i="34"/>
  <c r="L246" i="34" s="1"/>
  <c r="H246" i="34"/>
  <c r="G246" i="34"/>
  <c r="I245" i="34"/>
  <c r="L245" i="34" s="1"/>
  <c r="H245" i="34"/>
  <c r="G245" i="34"/>
  <c r="I228" i="34"/>
  <c r="K228" i="34" s="1"/>
  <c r="H228" i="34"/>
  <c r="G228" i="34"/>
  <c r="I227" i="34"/>
  <c r="L227" i="34" s="1"/>
  <c r="H227" i="34"/>
  <c r="G227" i="34"/>
  <c r="I226" i="34"/>
  <c r="L226" i="34" s="1"/>
  <c r="H226" i="34"/>
  <c r="G226" i="34"/>
  <c r="I224" i="34"/>
  <c r="K224" i="34" s="1"/>
  <c r="H224" i="34"/>
  <c r="G224" i="34"/>
  <c r="I222" i="34"/>
  <c r="L222" i="34" s="1"/>
  <c r="H222" i="34"/>
  <c r="G222" i="34"/>
  <c r="I221" i="34"/>
  <c r="L221" i="34" s="1"/>
  <c r="H221" i="34"/>
  <c r="G221" i="34"/>
  <c r="I204" i="34"/>
  <c r="K204" i="34" s="1"/>
  <c r="H204" i="34"/>
  <c r="G204" i="34"/>
  <c r="I203" i="34"/>
  <c r="L203" i="34" s="1"/>
  <c r="H203" i="34"/>
  <c r="G203" i="34"/>
  <c r="I202" i="34"/>
  <c r="L202" i="34" s="1"/>
  <c r="H202" i="34"/>
  <c r="G202" i="34"/>
  <c r="I200" i="34"/>
  <c r="K200" i="34" s="1"/>
  <c r="H200" i="34"/>
  <c r="G200" i="34"/>
  <c r="I198" i="34"/>
  <c r="L198" i="34" s="1"/>
  <c r="H198" i="34"/>
  <c r="G198" i="34"/>
  <c r="I197" i="34"/>
  <c r="L197" i="34" s="1"/>
  <c r="H197" i="34"/>
  <c r="G197" i="34"/>
  <c r="I180" i="34"/>
  <c r="K180" i="34" s="1"/>
  <c r="H180" i="34"/>
  <c r="G180" i="34"/>
  <c r="I176" i="34"/>
  <c r="K176" i="34" s="1"/>
  <c r="H176" i="34"/>
  <c r="G176" i="34"/>
  <c r="I174" i="34"/>
  <c r="K174" i="34" s="1"/>
  <c r="H174" i="34"/>
  <c r="G174" i="34"/>
  <c r="I173" i="34"/>
  <c r="L173" i="34" s="1"/>
  <c r="H173" i="34"/>
  <c r="G173" i="34"/>
  <c r="I156" i="34"/>
  <c r="K156" i="34" s="1"/>
  <c r="H156" i="34"/>
  <c r="G156" i="34"/>
  <c r="I155" i="34"/>
  <c r="K155" i="34" s="1"/>
  <c r="H155" i="34"/>
  <c r="G155" i="34"/>
  <c r="I154" i="34"/>
  <c r="L154" i="34" s="1"/>
  <c r="H154" i="34"/>
  <c r="G154" i="34"/>
  <c r="I152" i="34"/>
  <c r="K152" i="34" s="1"/>
  <c r="H152" i="34"/>
  <c r="G152" i="34"/>
  <c r="I150" i="34"/>
  <c r="K150" i="34" s="1"/>
  <c r="H150" i="34"/>
  <c r="G150" i="34"/>
  <c r="I149" i="34"/>
  <c r="L149" i="34" s="1"/>
  <c r="H149" i="34"/>
  <c r="G149" i="34"/>
  <c r="I132" i="34"/>
  <c r="K132" i="34" s="1"/>
  <c r="H132" i="34"/>
  <c r="G132" i="34"/>
  <c r="I131" i="34"/>
  <c r="L131" i="34" s="1"/>
  <c r="H131" i="34"/>
  <c r="G131" i="34"/>
  <c r="I130" i="34"/>
  <c r="J130" i="34" s="1"/>
  <c r="H130" i="34"/>
  <c r="G130" i="34"/>
  <c r="I128" i="34"/>
  <c r="K128" i="34" s="1"/>
  <c r="H128" i="34"/>
  <c r="G128" i="34"/>
  <c r="I126" i="34"/>
  <c r="L126" i="34" s="1"/>
  <c r="H126" i="34"/>
  <c r="G126" i="34"/>
  <c r="I125" i="34"/>
  <c r="J125" i="34" s="1"/>
  <c r="H125" i="34"/>
  <c r="G125" i="34"/>
  <c r="I108" i="34"/>
  <c r="K108" i="34" s="1"/>
  <c r="H108" i="34"/>
  <c r="G108" i="34"/>
  <c r="I107" i="34"/>
  <c r="L107" i="34" s="1"/>
  <c r="H107" i="34"/>
  <c r="G107" i="34"/>
  <c r="I106" i="34"/>
  <c r="L106" i="34" s="1"/>
  <c r="H106" i="34"/>
  <c r="G106" i="34"/>
  <c r="I104" i="34"/>
  <c r="K104" i="34" s="1"/>
  <c r="H104" i="34"/>
  <c r="G104" i="34"/>
  <c r="I102" i="34"/>
  <c r="L102" i="34" s="1"/>
  <c r="H102" i="34"/>
  <c r="G102" i="34"/>
  <c r="I101" i="34"/>
  <c r="L101" i="34" s="1"/>
  <c r="H101" i="34"/>
  <c r="G101" i="34"/>
  <c r="I84" i="34"/>
  <c r="K84" i="34" s="1"/>
  <c r="H84" i="34"/>
  <c r="G84" i="34"/>
  <c r="I83" i="34"/>
  <c r="K83" i="34" s="1"/>
  <c r="H83" i="34"/>
  <c r="G83" i="34"/>
  <c r="I82" i="34"/>
  <c r="L82" i="34" s="1"/>
  <c r="H82" i="34"/>
  <c r="G82" i="34"/>
  <c r="I80" i="34"/>
  <c r="K80" i="34" s="1"/>
  <c r="H80" i="34"/>
  <c r="G80" i="34"/>
  <c r="I78" i="34"/>
  <c r="K78" i="34" s="1"/>
  <c r="H78" i="34"/>
  <c r="G78" i="34"/>
  <c r="I77" i="34"/>
  <c r="L77" i="34" s="1"/>
  <c r="H77" i="34"/>
  <c r="G77" i="34"/>
  <c r="I60" i="34"/>
  <c r="K60" i="34" s="1"/>
  <c r="H60" i="34"/>
  <c r="G60" i="34"/>
  <c r="I59" i="34"/>
  <c r="K59" i="34" s="1"/>
  <c r="H59" i="34"/>
  <c r="G59" i="34"/>
  <c r="I58" i="34"/>
  <c r="L58" i="34" s="1"/>
  <c r="H58" i="34"/>
  <c r="G58" i="34"/>
  <c r="I56" i="34"/>
  <c r="K56" i="34" s="1"/>
  <c r="H56" i="34"/>
  <c r="G56" i="34"/>
  <c r="I54" i="34"/>
  <c r="K54" i="34" s="1"/>
  <c r="H54" i="34"/>
  <c r="G54" i="34"/>
  <c r="I53" i="34"/>
  <c r="L53" i="34" s="1"/>
  <c r="H53" i="34"/>
  <c r="G53" i="34"/>
  <c r="I36" i="34"/>
  <c r="K36" i="34" s="1"/>
  <c r="H36" i="34"/>
  <c r="G36" i="34"/>
  <c r="I35" i="34"/>
  <c r="L35" i="34" s="1"/>
  <c r="H35" i="34"/>
  <c r="G35" i="34"/>
  <c r="I34" i="34"/>
  <c r="L34" i="34" s="1"/>
  <c r="H34" i="34"/>
  <c r="G34" i="34"/>
  <c r="I32" i="34"/>
  <c r="K32" i="34" s="1"/>
  <c r="H32" i="34"/>
  <c r="G32" i="34"/>
  <c r="I30" i="34"/>
  <c r="K30" i="34" s="1"/>
  <c r="H30" i="34"/>
  <c r="G30" i="34"/>
  <c r="I29" i="34"/>
  <c r="L29" i="34" s="1"/>
  <c r="H29" i="34"/>
  <c r="G29" i="34"/>
  <c r="I12" i="34"/>
  <c r="H12" i="34"/>
  <c r="G12" i="34"/>
  <c r="I11" i="34"/>
  <c r="L11" i="34" s="1"/>
  <c r="H11" i="34"/>
  <c r="G11" i="34"/>
  <c r="I10" i="34"/>
  <c r="L10" i="34" s="1"/>
  <c r="H10" i="34"/>
  <c r="G10" i="34"/>
  <c r="I6" i="34"/>
  <c r="L6" i="34" s="1"/>
  <c r="H6" i="34"/>
  <c r="G6" i="34"/>
  <c r="I5" i="34"/>
  <c r="H5" i="34"/>
  <c r="M184" i="34" l="1"/>
  <c r="O351" i="34"/>
  <c r="M328" i="34"/>
  <c r="J318" i="34"/>
  <c r="M304" i="34"/>
  <c r="H364" i="34"/>
  <c r="N184" i="34"/>
  <c r="K324" i="34"/>
  <c r="O304" i="34"/>
  <c r="H370" i="34"/>
  <c r="N112" i="34"/>
  <c r="M112" i="34"/>
  <c r="K106" i="34"/>
  <c r="L132" i="34"/>
  <c r="O132" i="34" s="1"/>
  <c r="K226" i="34"/>
  <c r="L276" i="34"/>
  <c r="O276" i="34" s="1"/>
  <c r="J78" i="34"/>
  <c r="L252" i="34"/>
  <c r="O252" i="34" s="1"/>
  <c r="L30" i="34"/>
  <c r="O30" i="34" s="1"/>
  <c r="J250" i="34"/>
  <c r="J6" i="34"/>
  <c r="K12" i="34"/>
  <c r="I370" i="34"/>
  <c r="L150" i="34"/>
  <c r="O150" i="34" s="1"/>
  <c r="L272" i="34"/>
  <c r="O272" i="34" s="1"/>
  <c r="L294" i="34"/>
  <c r="O294" i="34" s="1"/>
  <c r="N351" i="34"/>
  <c r="L323" i="34"/>
  <c r="O323" i="34" s="1"/>
  <c r="K269" i="34"/>
  <c r="L174" i="34"/>
  <c r="O174" i="34" s="1"/>
  <c r="L125" i="34"/>
  <c r="M125" i="34" s="1"/>
  <c r="L83" i="34"/>
  <c r="O83" i="34" s="1"/>
  <c r="G367" i="34"/>
  <c r="N374" i="33"/>
  <c r="M374" i="33"/>
  <c r="O64" i="34"/>
  <c r="M64" i="34"/>
  <c r="N64" i="34"/>
  <c r="M232" i="34"/>
  <c r="O232" i="34"/>
  <c r="N232" i="34"/>
  <c r="O40" i="34"/>
  <c r="N40" i="34"/>
  <c r="M40" i="34"/>
  <c r="M373" i="33"/>
  <c r="N373" i="33"/>
  <c r="O374" i="33"/>
  <c r="O373" i="33"/>
  <c r="O6" i="34"/>
  <c r="L54" i="34"/>
  <c r="O54" i="34" s="1"/>
  <c r="K130" i="34"/>
  <c r="G364" i="34"/>
  <c r="J30" i="34"/>
  <c r="J106" i="34"/>
  <c r="L108" i="34"/>
  <c r="O108" i="34" s="1"/>
  <c r="K125" i="34"/>
  <c r="L130" i="34"/>
  <c r="J150" i="34"/>
  <c r="J174" i="34"/>
  <c r="J226" i="34"/>
  <c r="L228" i="34"/>
  <c r="O228" i="34" s="1"/>
  <c r="J245" i="34"/>
  <c r="K250" i="34"/>
  <c r="L269" i="34"/>
  <c r="M269" i="34" s="1"/>
  <c r="L274" i="34"/>
  <c r="J294" i="34"/>
  <c r="G363" i="34"/>
  <c r="H363" i="34"/>
  <c r="K6" i="34"/>
  <c r="I364" i="34"/>
  <c r="H367" i="34"/>
  <c r="J54" i="34"/>
  <c r="L78" i="34"/>
  <c r="O78" i="34" s="1"/>
  <c r="L155" i="34"/>
  <c r="O155" i="34" s="1"/>
  <c r="J202" i="34"/>
  <c r="L204" i="34"/>
  <c r="O204" i="34" s="1"/>
  <c r="J274" i="34"/>
  <c r="L318" i="34"/>
  <c r="O318" i="34" s="1"/>
  <c r="L5" i="34"/>
  <c r="M5" i="34" s="1"/>
  <c r="I363" i="34"/>
  <c r="I367" i="34"/>
  <c r="K202" i="34"/>
  <c r="J155" i="34"/>
  <c r="G369" i="34"/>
  <c r="J83" i="34"/>
  <c r="J59" i="34"/>
  <c r="L59" i="34"/>
  <c r="O59" i="34" s="1"/>
  <c r="H369" i="34"/>
  <c r="O11" i="34"/>
  <c r="K11" i="34"/>
  <c r="I369" i="34"/>
  <c r="J11" i="34"/>
  <c r="K320" i="34"/>
  <c r="L248" i="34"/>
  <c r="O248" i="34" s="1"/>
  <c r="L224" i="34"/>
  <c r="O224" i="34" s="1"/>
  <c r="L200" i="34"/>
  <c r="O200" i="34" s="1"/>
  <c r="H366" i="34"/>
  <c r="L128" i="34"/>
  <c r="O128" i="34" s="1"/>
  <c r="G366" i="34"/>
  <c r="L104" i="34"/>
  <c r="O104" i="34" s="1"/>
  <c r="K366" i="34"/>
  <c r="I366" i="34"/>
  <c r="K245" i="34"/>
  <c r="J221" i="34"/>
  <c r="K221" i="34"/>
  <c r="J197" i="34"/>
  <c r="K197" i="34"/>
  <c r="K101" i="34"/>
  <c r="J101" i="34"/>
  <c r="O341" i="34"/>
  <c r="N341" i="34"/>
  <c r="M341" i="34"/>
  <c r="O346" i="34"/>
  <c r="N346" i="34"/>
  <c r="M346" i="34"/>
  <c r="M340" i="34"/>
  <c r="O340" i="34"/>
  <c r="N340" i="34"/>
  <c r="M345" i="34"/>
  <c r="O345" i="34"/>
  <c r="N345" i="34"/>
  <c r="J340" i="34"/>
  <c r="L343" i="34"/>
  <c r="J345" i="34"/>
  <c r="L347" i="34"/>
  <c r="K340" i="34"/>
  <c r="J341" i="34"/>
  <c r="K345" i="34"/>
  <c r="J346" i="34"/>
  <c r="K341" i="34"/>
  <c r="J343" i="34"/>
  <c r="K346" i="34"/>
  <c r="J347" i="34"/>
  <c r="M317" i="34"/>
  <c r="O317" i="34"/>
  <c r="N317" i="34"/>
  <c r="M322" i="34"/>
  <c r="O322" i="34"/>
  <c r="N322" i="34"/>
  <c r="J317" i="34"/>
  <c r="L320" i="34"/>
  <c r="J322" i="34"/>
  <c r="L324" i="34"/>
  <c r="K317" i="34"/>
  <c r="K322" i="34"/>
  <c r="J323" i="34"/>
  <c r="M293" i="34"/>
  <c r="O293" i="34"/>
  <c r="N293" i="34"/>
  <c r="M298" i="34"/>
  <c r="O298" i="34"/>
  <c r="N298" i="34"/>
  <c r="J293" i="34"/>
  <c r="L296" i="34"/>
  <c r="J298" i="34"/>
  <c r="L300" i="34"/>
  <c r="K293" i="34"/>
  <c r="N294" i="34"/>
  <c r="K298" i="34"/>
  <c r="J296" i="34"/>
  <c r="J300" i="34"/>
  <c r="O270" i="34"/>
  <c r="N270" i="34"/>
  <c r="M270" i="34"/>
  <c r="O275" i="34"/>
  <c r="N275" i="34"/>
  <c r="M275" i="34"/>
  <c r="J270" i="34"/>
  <c r="J275" i="34"/>
  <c r="K270" i="34"/>
  <c r="J272" i="34"/>
  <c r="N272" i="34"/>
  <c r="K275" i="34"/>
  <c r="J276" i="34"/>
  <c r="N246" i="34"/>
  <c r="O246" i="34"/>
  <c r="M246" i="34"/>
  <c r="M250" i="34"/>
  <c r="N250" i="34"/>
  <c r="O250" i="34"/>
  <c r="M245" i="34"/>
  <c r="O245" i="34"/>
  <c r="N245" i="34"/>
  <c r="M251" i="34"/>
  <c r="O251" i="34"/>
  <c r="N251" i="34"/>
  <c r="J246" i="34"/>
  <c r="K246" i="34"/>
  <c r="J248" i="34"/>
  <c r="K251" i="34"/>
  <c r="J252" i="34"/>
  <c r="N252" i="34"/>
  <c r="M248" i="34"/>
  <c r="J251" i="34"/>
  <c r="M222" i="34"/>
  <c r="O222" i="34"/>
  <c r="N222" i="34"/>
  <c r="M226" i="34"/>
  <c r="O226" i="34"/>
  <c r="N226" i="34"/>
  <c r="M221" i="34"/>
  <c r="O221" i="34"/>
  <c r="N221" i="34"/>
  <c r="O227" i="34"/>
  <c r="N227" i="34"/>
  <c r="M227" i="34"/>
  <c r="M228" i="34"/>
  <c r="K222" i="34"/>
  <c r="J224" i="34"/>
  <c r="K227" i="34"/>
  <c r="J228" i="34"/>
  <c r="N228" i="34"/>
  <c r="J222" i="34"/>
  <c r="J227" i="34"/>
  <c r="N198" i="34"/>
  <c r="M198" i="34"/>
  <c r="O198" i="34"/>
  <c r="M202" i="34"/>
  <c r="O202" i="34"/>
  <c r="N202" i="34"/>
  <c r="M197" i="34"/>
  <c r="O197" i="34"/>
  <c r="N197" i="34"/>
  <c r="O203" i="34"/>
  <c r="N203" i="34"/>
  <c r="M203" i="34"/>
  <c r="J198" i="34"/>
  <c r="M204" i="34"/>
  <c r="K198" i="34"/>
  <c r="J200" i="34"/>
  <c r="N200" i="34"/>
  <c r="K203" i="34"/>
  <c r="J204" i="34"/>
  <c r="J203" i="34"/>
  <c r="M173" i="34"/>
  <c r="O173" i="34"/>
  <c r="N173" i="34"/>
  <c r="J173" i="34"/>
  <c r="M174" i="34"/>
  <c r="L176" i="34"/>
  <c r="L180" i="34"/>
  <c r="K173" i="34"/>
  <c r="N174" i="34"/>
  <c r="J176" i="34"/>
  <c r="J180" i="34"/>
  <c r="M154" i="34"/>
  <c r="O154" i="34"/>
  <c r="N154" i="34"/>
  <c r="M149" i="34"/>
  <c r="O149" i="34"/>
  <c r="N149" i="34"/>
  <c r="J149" i="34"/>
  <c r="L152" i="34"/>
  <c r="J154" i="34"/>
  <c r="L156" i="34"/>
  <c r="K149" i="34"/>
  <c r="K154" i="34"/>
  <c r="J152" i="34"/>
  <c r="J156" i="34"/>
  <c r="O126" i="34"/>
  <c r="N126" i="34"/>
  <c r="M126" i="34"/>
  <c r="O131" i="34"/>
  <c r="N131" i="34"/>
  <c r="M131" i="34"/>
  <c r="J126" i="34"/>
  <c r="J131" i="34"/>
  <c r="K126" i="34"/>
  <c r="J128" i="34"/>
  <c r="K131" i="34"/>
  <c r="J132" i="34"/>
  <c r="N132" i="34"/>
  <c r="M106" i="34"/>
  <c r="O106" i="34"/>
  <c r="N106" i="34"/>
  <c r="N102" i="34"/>
  <c r="M102" i="34"/>
  <c r="O102" i="34"/>
  <c r="M101" i="34"/>
  <c r="O101" i="34"/>
  <c r="N101" i="34"/>
  <c r="O107" i="34"/>
  <c r="N107" i="34"/>
  <c r="M107" i="34"/>
  <c r="J102" i="34"/>
  <c r="K102" i="34"/>
  <c r="J104" i="34"/>
  <c r="K107" i="34"/>
  <c r="J108" i="34"/>
  <c r="N108" i="34"/>
  <c r="M104" i="34"/>
  <c r="J107" i="34"/>
  <c r="M82" i="34"/>
  <c r="O82" i="34"/>
  <c r="N82" i="34"/>
  <c r="M77" i="34"/>
  <c r="O77" i="34"/>
  <c r="N77" i="34"/>
  <c r="J77" i="34"/>
  <c r="M78" i="34"/>
  <c r="L80" i="34"/>
  <c r="J82" i="34"/>
  <c r="L84" i="34"/>
  <c r="K77" i="34"/>
  <c r="N78" i="34"/>
  <c r="K82" i="34"/>
  <c r="J80" i="34"/>
  <c r="J84" i="34"/>
  <c r="M53" i="34"/>
  <c r="O53" i="34"/>
  <c r="N53" i="34"/>
  <c r="M58" i="34"/>
  <c r="O58" i="34"/>
  <c r="N58" i="34"/>
  <c r="J53" i="34"/>
  <c r="M54" i="34"/>
  <c r="L56" i="34"/>
  <c r="J58" i="34"/>
  <c r="M59" i="34"/>
  <c r="L60" i="34"/>
  <c r="K53" i="34"/>
  <c r="N54" i="34"/>
  <c r="K58" i="34"/>
  <c r="J56" i="34"/>
  <c r="J60" i="34"/>
  <c r="M29" i="34"/>
  <c r="O29" i="34"/>
  <c r="N29" i="34"/>
  <c r="O35" i="34"/>
  <c r="N35" i="34"/>
  <c r="M35" i="34"/>
  <c r="M34" i="34"/>
  <c r="O34" i="34"/>
  <c r="N34" i="34"/>
  <c r="J29" i="34"/>
  <c r="M30" i="34"/>
  <c r="L32" i="34"/>
  <c r="J34" i="34"/>
  <c r="L36" i="34"/>
  <c r="K29" i="34"/>
  <c r="N30" i="34"/>
  <c r="K34" i="34"/>
  <c r="J35" i="34"/>
  <c r="J32" i="34"/>
  <c r="K35" i="34"/>
  <c r="J36" i="34"/>
  <c r="M10" i="34"/>
  <c r="O10" i="34"/>
  <c r="N10" i="34"/>
  <c r="J5" i="34"/>
  <c r="M6" i="34"/>
  <c r="J10" i="34"/>
  <c r="M11" i="34"/>
  <c r="L12" i="34"/>
  <c r="K5" i="34"/>
  <c r="N6" i="34"/>
  <c r="K10" i="34"/>
  <c r="N11" i="34"/>
  <c r="J12" i="34"/>
  <c r="D217" i="33"/>
  <c r="D169" i="33"/>
  <c r="D73" i="33"/>
  <c r="D49" i="33"/>
  <c r="N83" i="34" l="1"/>
  <c r="O5" i="34"/>
  <c r="M83" i="34"/>
  <c r="M132" i="34"/>
  <c r="M294" i="34"/>
  <c r="N204" i="34"/>
  <c r="M252" i="34"/>
  <c r="M108" i="34"/>
  <c r="N323" i="34"/>
  <c r="N224" i="34"/>
  <c r="N125" i="34"/>
  <c r="N269" i="34"/>
  <c r="N155" i="34"/>
  <c r="M150" i="34"/>
  <c r="M318" i="34"/>
  <c r="M323" i="34"/>
  <c r="K370" i="34"/>
  <c r="N150" i="34"/>
  <c r="M224" i="34"/>
  <c r="M276" i="34"/>
  <c r="N318" i="34"/>
  <c r="O125" i="34"/>
  <c r="N104" i="34"/>
  <c r="M128" i="34"/>
  <c r="N248" i="34"/>
  <c r="M272" i="34"/>
  <c r="M155" i="34"/>
  <c r="N276" i="34"/>
  <c r="N59" i="34"/>
  <c r="J370" i="34"/>
  <c r="L370" i="34"/>
  <c r="N5" i="34"/>
  <c r="O269" i="34"/>
  <c r="L363" i="34"/>
  <c r="P374" i="33"/>
  <c r="M200" i="34"/>
  <c r="J364" i="34"/>
  <c r="L369" i="34"/>
  <c r="J367" i="34"/>
  <c r="J363" i="34"/>
  <c r="K364" i="34"/>
  <c r="M274" i="34"/>
  <c r="O274" i="34"/>
  <c r="N274" i="34"/>
  <c r="K363" i="34"/>
  <c r="M363" i="34"/>
  <c r="L367" i="34"/>
  <c r="K367" i="34"/>
  <c r="M130" i="34"/>
  <c r="O130" i="34"/>
  <c r="N130" i="34"/>
  <c r="L364" i="34"/>
  <c r="O364" i="34"/>
  <c r="K369" i="34"/>
  <c r="J369" i="34"/>
  <c r="O369" i="34"/>
  <c r="J366" i="34"/>
  <c r="L366" i="34"/>
  <c r="N128" i="34"/>
  <c r="O347" i="34"/>
  <c r="N347" i="34"/>
  <c r="M347" i="34"/>
  <c r="O343" i="34"/>
  <c r="N343" i="34"/>
  <c r="M343" i="34"/>
  <c r="O324" i="34"/>
  <c r="N324" i="34"/>
  <c r="M324" i="34"/>
  <c r="O320" i="34"/>
  <c r="N320" i="34"/>
  <c r="M320" i="34"/>
  <c r="O300" i="34"/>
  <c r="N300" i="34"/>
  <c r="M300" i="34"/>
  <c r="O296" i="34"/>
  <c r="N296" i="34"/>
  <c r="M296" i="34"/>
  <c r="O180" i="34"/>
  <c r="N180" i="34"/>
  <c r="M180" i="34"/>
  <c r="O176" i="34"/>
  <c r="N176" i="34"/>
  <c r="M176" i="34"/>
  <c r="O156" i="34"/>
  <c r="N156" i="34"/>
  <c r="M156" i="34"/>
  <c r="O152" i="34"/>
  <c r="N152" i="34"/>
  <c r="M152" i="34"/>
  <c r="O84" i="34"/>
  <c r="N84" i="34"/>
  <c r="M84" i="34"/>
  <c r="O80" i="34"/>
  <c r="N80" i="34"/>
  <c r="M80" i="34"/>
  <c r="O60" i="34"/>
  <c r="N60" i="34"/>
  <c r="M60" i="34"/>
  <c r="O56" i="34"/>
  <c r="N56" i="34"/>
  <c r="M56" i="34"/>
  <c r="O32" i="34"/>
  <c r="N32" i="34"/>
  <c r="M32" i="34"/>
  <c r="O36" i="34"/>
  <c r="N36" i="34"/>
  <c r="M36" i="34"/>
  <c r="O12" i="34"/>
  <c r="N12" i="34"/>
  <c r="M12" i="34"/>
  <c r="N369" i="34" l="1"/>
  <c r="M369" i="34"/>
  <c r="O363" i="34"/>
  <c r="N364" i="34"/>
  <c r="M364" i="34"/>
  <c r="N363" i="34"/>
  <c r="O370" i="34"/>
  <c r="O367" i="34"/>
  <c r="M370" i="34"/>
  <c r="N370" i="34"/>
  <c r="M366" i="34"/>
  <c r="M367" i="34"/>
  <c r="N367" i="34"/>
  <c r="N366" i="34"/>
  <c r="O366" i="34"/>
  <c r="G29" i="33"/>
  <c r="G5" i="33"/>
  <c r="P364" i="34" l="1"/>
  <c r="P369" i="34"/>
  <c r="J19" i="2" s="1"/>
  <c r="J21" i="2" s="1"/>
  <c r="P363" i="34"/>
  <c r="N19" i="2" s="1"/>
  <c r="N21" i="2" s="1"/>
  <c r="N22" i="2" s="1"/>
  <c r="N23" i="2" s="1"/>
  <c r="P370" i="34"/>
  <c r="P366" i="34"/>
  <c r="P367" i="34"/>
  <c r="F19" i="2" l="1"/>
  <c r="F21" i="2" s="1"/>
  <c r="F22" i="2" s="1"/>
  <c r="F23" i="2" s="1"/>
  <c r="J22" i="2"/>
  <c r="J23" i="2" s="1"/>
  <c r="O5" i="63"/>
  <c r="N5" i="63"/>
  <c r="M5" i="63"/>
  <c r="L5" i="63"/>
  <c r="K5" i="63"/>
  <c r="J5" i="63"/>
  <c r="I5" i="63"/>
  <c r="H5" i="63"/>
  <c r="G5" i="63"/>
  <c r="F5" i="63"/>
  <c r="E5" i="63"/>
  <c r="D5" i="63"/>
  <c r="F29" i="2" l="1"/>
  <c r="F30" i="2"/>
  <c r="B208" i="46" l="1"/>
  <c r="C173" i="20" l="1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O8" i="12" l="1"/>
  <c r="N8" i="12"/>
  <c r="M8" i="12"/>
  <c r="L8" i="12"/>
  <c r="K8" i="12"/>
  <c r="J8" i="12"/>
  <c r="I8" i="12"/>
  <c r="H8" i="12"/>
  <c r="G8" i="12"/>
  <c r="F8" i="12"/>
  <c r="E8" i="12"/>
  <c r="D8" i="12"/>
  <c r="F96" i="9"/>
  <c r="E96" i="9"/>
  <c r="D96" i="9"/>
  <c r="F100" i="9"/>
  <c r="E100" i="9"/>
  <c r="D100" i="9"/>
  <c r="F100" i="19"/>
  <c r="E100" i="19"/>
  <c r="D100" i="19"/>
  <c r="F100" i="10"/>
  <c r="E100" i="10"/>
  <c r="D100" i="10"/>
  <c r="F100" i="7"/>
  <c r="E100" i="7"/>
  <c r="D100" i="7"/>
  <c r="F102" i="5"/>
  <c r="E102" i="5"/>
  <c r="D102" i="5"/>
  <c r="F100" i="5"/>
  <c r="E100" i="5"/>
  <c r="D100" i="5"/>
  <c r="F98" i="5"/>
  <c r="E98" i="5"/>
  <c r="D98" i="5"/>
  <c r="F96" i="5"/>
  <c r="E96" i="5"/>
  <c r="D96" i="5"/>
  <c r="F100" i="6"/>
  <c r="E100" i="6"/>
  <c r="D100" i="6"/>
  <c r="F96" i="6"/>
  <c r="E96" i="6"/>
  <c r="D96" i="6"/>
  <c r="C63" i="20" l="1"/>
  <c r="C62" i="20"/>
  <c r="C60" i="20"/>
  <c r="C59" i="20"/>
  <c r="O22" i="39" l="1"/>
  <c r="N22" i="39"/>
  <c r="M22" i="39"/>
  <c r="L22" i="39"/>
  <c r="K22" i="39"/>
  <c r="J22" i="39"/>
  <c r="I22" i="39"/>
  <c r="H22" i="39"/>
  <c r="G22" i="39"/>
  <c r="F22" i="39"/>
  <c r="E22" i="39"/>
  <c r="D22" i="39"/>
  <c r="O20" i="39"/>
  <c r="N20" i="39"/>
  <c r="M20" i="39"/>
  <c r="L20" i="39"/>
  <c r="K20" i="39"/>
  <c r="J20" i="39"/>
  <c r="I20" i="39"/>
  <c r="H20" i="39"/>
  <c r="G20" i="39"/>
  <c r="F20" i="39"/>
  <c r="E20" i="39"/>
  <c r="D20" i="39"/>
  <c r="O18" i="39"/>
  <c r="N18" i="39"/>
  <c r="M18" i="39"/>
  <c r="L18" i="39"/>
  <c r="K18" i="39"/>
  <c r="J18" i="39"/>
  <c r="I18" i="39"/>
  <c r="H18" i="39"/>
  <c r="G18" i="39"/>
  <c r="F18" i="39"/>
  <c r="E18" i="39"/>
  <c r="D18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O16" i="39"/>
  <c r="N16" i="39"/>
  <c r="M16" i="39"/>
  <c r="L16" i="39"/>
  <c r="K16" i="39"/>
  <c r="J16" i="39"/>
  <c r="I16" i="39"/>
  <c r="H16" i="39"/>
  <c r="G16" i="39"/>
  <c r="F16" i="39"/>
  <c r="E16" i="39"/>
  <c r="D16" i="39"/>
  <c r="O15" i="39"/>
  <c r="N15" i="39"/>
  <c r="M15" i="39"/>
  <c r="L15" i="39"/>
  <c r="K15" i="39"/>
  <c r="J15" i="39"/>
  <c r="I15" i="39"/>
  <c r="H15" i="39"/>
  <c r="G15" i="39"/>
  <c r="F15" i="39"/>
  <c r="E15" i="39"/>
  <c r="D15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O13" i="39"/>
  <c r="N13" i="39"/>
  <c r="M13" i="39"/>
  <c r="L13" i="39"/>
  <c r="K13" i="39"/>
  <c r="J13" i="39"/>
  <c r="I13" i="39"/>
  <c r="H13" i="39"/>
  <c r="G13" i="39"/>
  <c r="F13" i="39"/>
  <c r="E13" i="39"/>
  <c r="D13" i="39"/>
  <c r="O12" i="39"/>
  <c r="N12" i="39"/>
  <c r="M12" i="39"/>
  <c r="L12" i="39"/>
  <c r="K12" i="39"/>
  <c r="J12" i="39"/>
  <c r="I12" i="39"/>
  <c r="H12" i="39"/>
  <c r="G12" i="39"/>
  <c r="F12" i="39"/>
  <c r="E12" i="39"/>
  <c r="D12" i="39"/>
  <c r="O11" i="39"/>
  <c r="N11" i="39"/>
  <c r="M11" i="39"/>
  <c r="L11" i="39"/>
  <c r="K11" i="39"/>
  <c r="J11" i="39"/>
  <c r="I11" i="39"/>
  <c r="H11" i="39"/>
  <c r="G11" i="39"/>
  <c r="F11" i="39"/>
  <c r="E11" i="39"/>
  <c r="D11" i="39"/>
  <c r="O10" i="39"/>
  <c r="N10" i="39"/>
  <c r="M10" i="39"/>
  <c r="L10" i="39"/>
  <c r="K10" i="39"/>
  <c r="J10" i="39"/>
  <c r="I10" i="39"/>
  <c r="H10" i="39"/>
  <c r="G10" i="39"/>
  <c r="F10" i="39"/>
  <c r="E10" i="39"/>
  <c r="D10" i="39"/>
  <c r="O9" i="39"/>
  <c r="N9" i="39"/>
  <c r="M9" i="39"/>
  <c r="L9" i="39"/>
  <c r="K9" i="39"/>
  <c r="J9" i="39"/>
  <c r="I9" i="39"/>
  <c r="H9" i="39"/>
  <c r="G9" i="39"/>
  <c r="F9" i="39"/>
  <c r="E9" i="39"/>
  <c r="D9" i="39"/>
  <c r="O8" i="39"/>
  <c r="N8" i="39"/>
  <c r="M8" i="39"/>
  <c r="L8" i="39"/>
  <c r="K8" i="39"/>
  <c r="J8" i="39"/>
  <c r="I8" i="39"/>
  <c r="H8" i="39"/>
  <c r="G8" i="39"/>
  <c r="F8" i="39"/>
  <c r="E8" i="39"/>
  <c r="D8" i="39"/>
  <c r="O7" i="39"/>
  <c r="N7" i="39"/>
  <c r="M7" i="39"/>
  <c r="L7" i="39"/>
  <c r="K7" i="39"/>
  <c r="J7" i="39"/>
  <c r="I7" i="39"/>
  <c r="H7" i="39"/>
  <c r="G7" i="39"/>
  <c r="F7" i="39"/>
  <c r="E7" i="39"/>
  <c r="D7" i="39"/>
  <c r="O6" i="39"/>
  <c r="N6" i="39"/>
  <c r="M6" i="39"/>
  <c r="L6" i="39"/>
  <c r="K6" i="39"/>
  <c r="J6" i="39"/>
  <c r="I6" i="39"/>
  <c r="H6" i="39"/>
  <c r="G6" i="39"/>
  <c r="F6" i="39"/>
  <c r="E6" i="39"/>
  <c r="D6" i="39"/>
  <c r="O5" i="39"/>
  <c r="N5" i="39"/>
  <c r="M5" i="39"/>
  <c r="L5" i="39"/>
  <c r="K5" i="39"/>
  <c r="J5" i="39"/>
  <c r="I5" i="39"/>
  <c r="H5" i="39"/>
  <c r="G5" i="39"/>
  <c r="F5" i="39"/>
  <c r="E5" i="39"/>
  <c r="D5" i="39"/>
  <c r="P5" i="39" l="1"/>
  <c r="C18" i="39"/>
  <c r="C6" i="39"/>
  <c r="C17" i="39"/>
  <c r="C16" i="39"/>
  <c r="C15" i="39"/>
  <c r="C14" i="39"/>
  <c r="C13" i="39"/>
  <c r="C11" i="39"/>
  <c r="C10" i="39"/>
  <c r="C9" i="39"/>
  <c r="C8" i="39"/>
  <c r="C7" i="39"/>
  <c r="Q19" i="39"/>
  <c r="Q34" i="68" l="1"/>
  <c r="Q33" i="68"/>
  <c r="Q32" i="68"/>
  <c r="Q31" i="68"/>
  <c r="Q29" i="68"/>
  <c r="Q28" i="68"/>
  <c r="Q27" i="68"/>
  <c r="Q26" i="68"/>
  <c r="Q25" i="68"/>
  <c r="Q24" i="68"/>
  <c r="Q23" i="68"/>
  <c r="Q22" i="68"/>
  <c r="Q21" i="68"/>
  <c r="Q17" i="68"/>
  <c r="Q16" i="68"/>
  <c r="Q15" i="68"/>
  <c r="Q18" i="68" l="1"/>
  <c r="Q36" i="68"/>
  <c r="C7" i="29" l="1"/>
  <c r="C55" i="20" l="1"/>
  <c r="C49" i="20" l="1"/>
  <c r="C53" i="20"/>
  <c r="M10" i="37" l="1"/>
  <c r="N10" i="37" s="1"/>
  <c r="C173" i="63" l="1"/>
  <c r="B173" i="63"/>
  <c r="C172" i="63"/>
  <c r="B172" i="63"/>
  <c r="C171" i="63"/>
  <c r="B171" i="63"/>
  <c r="C170" i="63"/>
  <c r="B170" i="63"/>
  <c r="C169" i="63"/>
  <c r="B169" i="63"/>
  <c r="C168" i="63"/>
  <c r="B168" i="63"/>
  <c r="C167" i="63"/>
  <c r="B167" i="63"/>
  <c r="C166" i="63"/>
  <c r="B166" i="63"/>
  <c r="C165" i="63"/>
  <c r="B165" i="63"/>
  <c r="C164" i="63"/>
  <c r="B164" i="63"/>
  <c r="C163" i="63"/>
  <c r="B163" i="63"/>
  <c r="C162" i="63"/>
  <c r="B162" i="63"/>
  <c r="C161" i="63"/>
  <c r="B161" i="63"/>
  <c r="C160" i="63"/>
  <c r="B160" i="63"/>
  <c r="C159" i="63"/>
  <c r="B159" i="63"/>
  <c r="C158" i="63"/>
  <c r="B158" i="63"/>
  <c r="C157" i="63"/>
  <c r="B157" i="63"/>
  <c r="C156" i="63"/>
  <c r="B156" i="63"/>
  <c r="C155" i="63"/>
  <c r="B155" i="63"/>
  <c r="C154" i="63"/>
  <c r="B154" i="63"/>
  <c r="C153" i="63"/>
  <c r="B153" i="63"/>
  <c r="C152" i="63"/>
  <c r="B152" i="63"/>
  <c r="C151" i="63"/>
  <c r="B151" i="63"/>
  <c r="C150" i="63"/>
  <c r="B150" i="63"/>
  <c r="C149" i="63"/>
  <c r="B149" i="63"/>
  <c r="C148" i="63"/>
  <c r="B148" i="63"/>
  <c r="C147" i="63"/>
  <c r="B147" i="63"/>
  <c r="C146" i="63"/>
  <c r="B146" i="63"/>
  <c r="C145" i="63"/>
  <c r="B145" i="63"/>
  <c r="C144" i="63"/>
  <c r="B144" i="63"/>
  <c r="C143" i="63"/>
  <c r="B143" i="63"/>
  <c r="C142" i="63"/>
  <c r="B142" i="63"/>
  <c r="C141" i="63"/>
  <c r="B141" i="63"/>
  <c r="P179" i="63" l="1"/>
  <c r="O179" i="63"/>
  <c r="N179" i="63"/>
  <c r="M179" i="63"/>
  <c r="L179" i="63"/>
  <c r="K179" i="63"/>
  <c r="J179" i="63"/>
  <c r="I179" i="63"/>
  <c r="H179" i="63"/>
  <c r="G179" i="63"/>
  <c r="F179" i="63"/>
  <c r="E179" i="63"/>
  <c r="D179" i="63"/>
  <c r="C179" i="63"/>
  <c r="B179" i="63"/>
  <c r="O179" i="20" l="1"/>
  <c r="N179" i="20"/>
  <c r="M179" i="20"/>
  <c r="L179" i="20"/>
  <c r="L179" i="28" s="1"/>
  <c r="L192" i="46" s="1"/>
  <c r="K179" i="20"/>
  <c r="J179" i="20"/>
  <c r="I179" i="20"/>
  <c r="H179" i="20"/>
  <c r="H179" i="28" s="1"/>
  <c r="H192" i="46" s="1"/>
  <c r="G179" i="20"/>
  <c r="F179" i="20"/>
  <c r="E179" i="20"/>
  <c r="D179" i="20"/>
  <c r="P179" i="20" s="1"/>
  <c r="C179" i="20"/>
  <c r="C179" i="28" s="1"/>
  <c r="C192" i="46" s="1"/>
  <c r="B179" i="20"/>
  <c r="B179" i="28" s="1"/>
  <c r="B192" i="46" s="1"/>
  <c r="O179" i="28"/>
  <c r="O192" i="46" s="1"/>
  <c r="N179" i="28"/>
  <c r="N192" i="46" s="1"/>
  <c r="M179" i="28"/>
  <c r="M192" i="46" s="1"/>
  <c r="K179" i="28"/>
  <c r="K192" i="46" s="1"/>
  <c r="J179" i="28"/>
  <c r="J192" i="46" s="1"/>
  <c r="I179" i="28"/>
  <c r="I192" i="46" s="1"/>
  <c r="G179" i="28"/>
  <c r="G192" i="46" s="1"/>
  <c r="F179" i="28"/>
  <c r="F192" i="46" s="1"/>
  <c r="E179" i="28"/>
  <c r="E192" i="46" s="1"/>
  <c r="Q179" i="36"/>
  <c r="Q179" i="4"/>
  <c r="Q179" i="27"/>
  <c r="Q179" i="26"/>
  <c r="Q179" i="63"/>
  <c r="Q179" i="25"/>
  <c r="Q179" i="29"/>
  <c r="D179" i="28" l="1"/>
  <c r="P179" i="28" s="1"/>
  <c r="Q179" i="28" s="1"/>
  <c r="Q179" i="20"/>
  <c r="R179" i="20"/>
  <c r="D192" i="46"/>
  <c r="P192" i="46"/>
  <c r="Q192" i="46" s="1"/>
  <c r="M11" i="37" l="1"/>
  <c r="N26" i="80" l="1"/>
  <c r="M26" i="80"/>
  <c r="L26" i="80"/>
  <c r="K26" i="80"/>
  <c r="J26" i="80"/>
  <c r="I26" i="80"/>
  <c r="H26" i="80"/>
  <c r="G26" i="80"/>
  <c r="F26" i="80"/>
  <c r="E26" i="80"/>
  <c r="D26" i="80"/>
  <c r="C26" i="80"/>
  <c r="O3" i="80"/>
  <c r="O6" i="80"/>
  <c r="O7" i="80"/>
  <c r="O10" i="80"/>
  <c r="O12" i="80"/>
  <c r="O13" i="80"/>
  <c r="O16" i="80"/>
  <c r="O18" i="80"/>
  <c r="O19" i="80"/>
  <c r="O22" i="80"/>
  <c r="O24" i="80"/>
  <c r="O25" i="80"/>
  <c r="O27" i="80"/>
  <c r="O28" i="80"/>
  <c r="O29" i="80"/>
  <c r="O30" i="80"/>
  <c r="O31" i="80"/>
  <c r="O36" i="80"/>
  <c r="O37" i="80"/>
  <c r="O39" i="80"/>
  <c r="O42" i="80"/>
  <c r="O43" i="80"/>
  <c r="O46" i="80"/>
  <c r="O48" i="80"/>
  <c r="O49" i="80"/>
  <c r="O51" i="80"/>
  <c r="O52" i="80"/>
  <c r="O53" i="80"/>
  <c r="O54" i="80"/>
  <c r="O55" i="80"/>
  <c r="O64" i="80"/>
  <c r="O66" i="80"/>
  <c r="O67" i="80"/>
  <c r="O72" i="80"/>
  <c r="O73" i="80"/>
  <c r="O77" i="80"/>
  <c r="O78" i="80"/>
  <c r="O79" i="80"/>
  <c r="O82" i="80"/>
  <c r="O84" i="80"/>
  <c r="O85" i="80"/>
  <c r="O90" i="80"/>
  <c r="O91" i="80"/>
  <c r="O26" i="80" l="1"/>
  <c r="O50" i="80"/>
  <c r="W82" i="84" l="1"/>
  <c r="V82" i="84"/>
  <c r="U82" i="84"/>
  <c r="T82" i="84"/>
  <c r="S82" i="84"/>
  <c r="R82" i="84"/>
  <c r="Q82" i="84"/>
  <c r="P82" i="84"/>
  <c r="M83" i="84"/>
  <c r="M82" i="84" s="1"/>
  <c r="L83" i="84"/>
  <c r="L82" i="84" s="1"/>
  <c r="K83" i="84"/>
  <c r="K82" i="84" s="1"/>
  <c r="AB78" i="84"/>
  <c r="M78" i="84"/>
  <c r="L78" i="84"/>
  <c r="K78" i="84"/>
  <c r="J78" i="84"/>
  <c r="I78" i="84"/>
  <c r="H78" i="84"/>
  <c r="G78" i="84"/>
  <c r="F78" i="84"/>
  <c r="E78" i="84"/>
  <c r="D78" i="84"/>
  <c r="C78" i="84"/>
  <c r="B78" i="84"/>
  <c r="AB73" i="84"/>
  <c r="M73" i="84"/>
  <c r="L73" i="84"/>
  <c r="K73" i="84"/>
  <c r="J73" i="84"/>
  <c r="I73" i="84"/>
  <c r="H73" i="84"/>
  <c r="H83" i="84" s="1"/>
  <c r="H82" i="84" s="1"/>
  <c r="H77" i="84" s="1"/>
  <c r="H72" i="84" s="1"/>
  <c r="G73" i="84"/>
  <c r="F73" i="84"/>
  <c r="E73" i="84"/>
  <c r="D73" i="84"/>
  <c r="D83" i="84" s="1"/>
  <c r="C73" i="84"/>
  <c r="B73" i="84"/>
  <c r="E83" i="84" l="1"/>
  <c r="E82" i="84" s="1"/>
  <c r="E77" i="84" s="1"/>
  <c r="E72" i="84" s="1"/>
  <c r="I83" i="84"/>
  <c r="I82" i="84" s="1"/>
  <c r="L77" i="84"/>
  <c r="L72" i="84" s="1"/>
  <c r="B83" i="84"/>
  <c r="B82" i="84" s="1"/>
  <c r="B77" i="84" s="1"/>
  <c r="B72" i="84" s="1"/>
  <c r="F83" i="84"/>
  <c r="F82" i="84" s="1"/>
  <c r="F77" i="84" s="1"/>
  <c r="F72" i="84" s="1"/>
  <c r="J83" i="84"/>
  <c r="J82" i="84" s="1"/>
  <c r="J77" i="84" s="1"/>
  <c r="J72" i="84" s="1"/>
  <c r="C83" i="84"/>
  <c r="C82" i="84" s="1"/>
  <c r="C77" i="84" s="1"/>
  <c r="C72" i="84" s="1"/>
  <c r="G83" i="84"/>
  <c r="G82" i="84" s="1"/>
  <c r="G77" i="84" s="1"/>
  <c r="G72" i="84" s="1"/>
  <c r="D82" i="84"/>
  <c r="D77" i="84" s="1"/>
  <c r="D72" i="84" s="1"/>
  <c r="AB83" i="84"/>
  <c r="AB82" i="84" s="1"/>
  <c r="K77" i="84"/>
  <c r="K72" i="84" s="1"/>
  <c r="I77" i="84"/>
  <c r="I72" i="84" s="1"/>
  <c r="M77" i="84"/>
  <c r="M72" i="84" s="1"/>
  <c r="N78" i="84"/>
  <c r="N73" i="84"/>
  <c r="N83" i="84" l="1"/>
  <c r="N82" i="84" s="1"/>
  <c r="N77" i="84" s="1"/>
  <c r="N72" i="84" s="1"/>
  <c r="AB77" i="84"/>
  <c r="AB72" i="84" s="1"/>
  <c r="AC82" i="84" l="1"/>
  <c r="AC72" i="84"/>
  <c r="AC77" i="84"/>
  <c r="F100" i="25" l="1"/>
  <c r="E100" i="25"/>
  <c r="O11" i="25"/>
  <c r="O32" i="25" s="1"/>
  <c r="N11" i="25"/>
  <c r="N101" i="25" s="1"/>
  <c r="M11" i="25"/>
  <c r="M101" i="25" s="1"/>
  <c r="L11" i="25"/>
  <c r="L32" i="25" s="1"/>
  <c r="K11" i="25"/>
  <c r="K32" i="25" s="1"/>
  <c r="J11" i="25"/>
  <c r="J32" i="25" s="1"/>
  <c r="I11" i="25"/>
  <c r="I101" i="25" s="1"/>
  <c r="H11" i="25"/>
  <c r="H32" i="25" s="1"/>
  <c r="G11" i="25"/>
  <c r="G32" i="25" s="1"/>
  <c r="F11" i="25"/>
  <c r="F101" i="25" s="1"/>
  <c r="E11" i="25"/>
  <c r="E101" i="25" s="1"/>
  <c r="E30" i="25"/>
  <c r="D11" i="25"/>
  <c r="D32" i="25" s="1"/>
  <c r="D99" i="25"/>
  <c r="O11" i="29"/>
  <c r="O101" i="29" s="1"/>
  <c r="N11" i="29"/>
  <c r="N32" i="29" s="1"/>
  <c r="M11" i="29"/>
  <c r="L11" i="29"/>
  <c r="L101" i="29" s="1"/>
  <c r="K11" i="29"/>
  <c r="K101" i="29" s="1"/>
  <c r="J11" i="29"/>
  <c r="J101" i="29" s="1"/>
  <c r="I11" i="29"/>
  <c r="H11" i="29"/>
  <c r="H101" i="29" s="1"/>
  <c r="G11" i="29"/>
  <c r="G101" i="29" s="1"/>
  <c r="F11" i="29"/>
  <c r="F101" i="29" s="1"/>
  <c r="E11" i="29"/>
  <c r="O9" i="29"/>
  <c r="O30" i="29" s="1"/>
  <c r="N9" i="29"/>
  <c r="N99" i="29" s="1"/>
  <c r="M9" i="29"/>
  <c r="M99" i="29" s="1"/>
  <c r="L9" i="29"/>
  <c r="L99" i="29" s="1"/>
  <c r="K30" i="29"/>
  <c r="J99" i="29"/>
  <c r="I99" i="29"/>
  <c r="F99" i="29"/>
  <c r="E30" i="29"/>
  <c r="G30" i="29"/>
  <c r="D11" i="29"/>
  <c r="D101" i="29" s="1"/>
  <c r="D30" i="29"/>
  <c r="M101" i="29"/>
  <c r="I101" i="29"/>
  <c r="E101" i="29"/>
  <c r="F100" i="29"/>
  <c r="E100" i="29"/>
  <c r="H99" i="29"/>
  <c r="M32" i="29"/>
  <c r="I32" i="29"/>
  <c r="E32" i="29"/>
  <c r="L30" i="29"/>
  <c r="H30" i="29"/>
  <c r="D84" i="70"/>
  <c r="E84" i="70"/>
  <c r="F84" i="70"/>
  <c r="G84" i="70"/>
  <c r="H84" i="70"/>
  <c r="I84" i="70"/>
  <c r="J84" i="70"/>
  <c r="K84" i="70"/>
  <c r="L84" i="70"/>
  <c r="M84" i="70"/>
  <c r="N84" i="70"/>
  <c r="D85" i="70"/>
  <c r="E85" i="70"/>
  <c r="F85" i="70"/>
  <c r="G85" i="70"/>
  <c r="H85" i="70"/>
  <c r="I85" i="70"/>
  <c r="J85" i="70"/>
  <c r="K85" i="70"/>
  <c r="L85" i="70"/>
  <c r="M85" i="70"/>
  <c r="N85" i="70"/>
  <c r="C85" i="70"/>
  <c r="C84" i="70"/>
  <c r="D81" i="70"/>
  <c r="E81" i="70"/>
  <c r="F81" i="70"/>
  <c r="G81" i="70"/>
  <c r="H81" i="70"/>
  <c r="I81" i="70"/>
  <c r="J81" i="70"/>
  <c r="K81" i="70"/>
  <c r="L81" i="70"/>
  <c r="M81" i="70"/>
  <c r="N81" i="70"/>
  <c r="D82" i="70"/>
  <c r="E82" i="70"/>
  <c r="F82" i="70"/>
  <c r="G82" i="70"/>
  <c r="H82" i="70"/>
  <c r="I82" i="70"/>
  <c r="J82" i="70"/>
  <c r="K82" i="70"/>
  <c r="L82" i="70"/>
  <c r="M82" i="70"/>
  <c r="N82" i="70"/>
  <c r="C82" i="70"/>
  <c r="H32" i="29" l="1"/>
  <c r="L32" i="29"/>
  <c r="O84" i="70"/>
  <c r="O81" i="70"/>
  <c r="O82" i="70"/>
  <c r="O85" i="70"/>
  <c r="F30" i="29"/>
  <c r="E99" i="29"/>
  <c r="J32" i="29"/>
  <c r="N101" i="29"/>
  <c r="D32" i="29"/>
  <c r="G32" i="29"/>
  <c r="K32" i="29"/>
  <c r="O32" i="29"/>
  <c r="F32" i="29"/>
  <c r="N30" i="29"/>
  <c r="E32" i="25"/>
  <c r="M32" i="25"/>
  <c r="E99" i="25"/>
  <c r="J101" i="25"/>
  <c r="D30" i="25"/>
  <c r="F32" i="25"/>
  <c r="N32" i="25"/>
  <c r="K101" i="25"/>
  <c r="I32" i="25"/>
  <c r="D101" i="25"/>
  <c r="G101" i="25"/>
  <c r="O101" i="25"/>
  <c r="H101" i="25"/>
  <c r="L101" i="25"/>
  <c r="J30" i="29"/>
  <c r="I30" i="29"/>
  <c r="M30" i="29"/>
  <c r="G99" i="29"/>
  <c r="K99" i="29"/>
  <c r="O99" i="29"/>
  <c r="D99" i="29"/>
  <c r="O89" i="70" l="1"/>
  <c r="O39" i="70"/>
  <c r="O40" i="70"/>
  <c r="O52" i="70"/>
  <c r="O51" i="70"/>
  <c r="O50" i="70"/>
  <c r="O49" i="70"/>
  <c r="O48" i="70"/>
  <c r="O47" i="70"/>
  <c r="O46" i="70"/>
  <c r="O45" i="70"/>
  <c r="O44" i="70"/>
  <c r="O38" i="70"/>
  <c r="O37" i="70"/>
  <c r="O36" i="70"/>
  <c r="O35" i="70"/>
  <c r="O34" i="70"/>
  <c r="O33" i="70"/>
  <c r="O32" i="70"/>
  <c r="E5" i="70"/>
  <c r="F9" i="25" s="1"/>
  <c r="F5" i="70"/>
  <c r="G9" i="25" s="1"/>
  <c r="G5" i="70"/>
  <c r="H9" i="25" s="1"/>
  <c r="H5" i="70"/>
  <c r="I9" i="25" s="1"/>
  <c r="I5" i="70"/>
  <c r="J9" i="25" s="1"/>
  <c r="J5" i="70"/>
  <c r="K9" i="25" s="1"/>
  <c r="K5" i="70"/>
  <c r="L9" i="25" s="1"/>
  <c r="L5" i="70"/>
  <c r="M9" i="25" s="1"/>
  <c r="M5" i="70"/>
  <c r="N9" i="25" s="1"/>
  <c r="O10" i="70"/>
  <c r="O9" i="70"/>
  <c r="O7" i="70"/>
  <c r="O4" i="70"/>
  <c r="O3" i="70"/>
  <c r="D2" i="70"/>
  <c r="E2" i="70"/>
  <c r="F2" i="70"/>
  <c r="G2" i="70"/>
  <c r="H2" i="70"/>
  <c r="I2" i="70"/>
  <c r="J2" i="70"/>
  <c r="K2" i="70"/>
  <c r="L2" i="70"/>
  <c r="M2" i="70"/>
  <c r="N2" i="70"/>
  <c r="C2" i="70"/>
  <c r="T52" i="70"/>
  <c r="T51" i="70"/>
  <c r="P49" i="70"/>
  <c r="P47" i="70"/>
  <c r="P46" i="70"/>
  <c r="P45" i="70"/>
  <c r="P44" i="70"/>
  <c r="T40" i="70"/>
  <c r="T39" i="70"/>
  <c r="P37" i="70"/>
  <c r="P36" i="70"/>
  <c r="P35" i="70"/>
  <c r="P34" i="70"/>
  <c r="P33" i="70"/>
  <c r="P32" i="70"/>
  <c r="N30" i="25" l="1"/>
  <c r="N99" i="25"/>
  <c r="M30" i="25"/>
  <c r="M99" i="25"/>
  <c r="L99" i="25"/>
  <c r="L30" i="25"/>
  <c r="K99" i="25"/>
  <c r="K30" i="25"/>
  <c r="J30" i="25"/>
  <c r="J99" i="25"/>
  <c r="I30" i="25"/>
  <c r="I99" i="25"/>
  <c r="H99" i="25"/>
  <c r="H30" i="25"/>
  <c r="G99" i="25"/>
  <c r="G30" i="25"/>
  <c r="F30" i="25"/>
  <c r="F99" i="25"/>
  <c r="O8" i="70"/>
  <c r="O2" i="70"/>
  <c r="P48" i="70"/>
  <c r="P50" i="70"/>
  <c r="Q44" i="70"/>
  <c r="Q45" i="70" s="1"/>
  <c r="R45" i="70" s="1"/>
  <c r="S45" i="70" s="1"/>
  <c r="P38" i="70"/>
  <c r="Q32" i="70"/>
  <c r="Q34" i="70" s="1"/>
  <c r="R34" i="70" s="1"/>
  <c r="S34" i="70" s="1"/>
  <c r="Q46" i="70" l="1"/>
  <c r="R46" i="70" s="1"/>
  <c r="S46" i="70" s="1"/>
  <c r="Q33" i="70"/>
  <c r="R33" i="70" s="1"/>
  <c r="S33" i="70" s="1"/>
  <c r="D9" i="63" l="1"/>
  <c r="D30" i="26"/>
  <c r="D53" i="26" s="1"/>
  <c r="D99" i="26"/>
  <c r="G99" i="26"/>
  <c r="G30" i="26"/>
  <c r="K99" i="26"/>
  <c r="K30" i="26"/>
  <c r="O99" i="26"/>
  <c r="O30" i="26"/>
  <c r="H101" i="26"/>
  <c r="H32" i="26"/>
  <c r="L101" i="26"/>
  <c r="L32" i="26"/>
  <c r="D101" i="26"/>
  <c r="D32" i="26"/>
  <c r="H99" i="26"/>
  <c r="H30" i="26"/>
  <c r="L99" i="26"/>
  <c r="L30" i="26"/>
  <c r="E32" i="26"/>
  <c r="E101" i="26"/>
  <c r="I32" i="26"/>
  <c r="I101" i="26"/>
  <c r="M32" i="26"/>
  <c r="M101" i="26"/>
  <c r="E30" i="26"/>
  <c r="E99" i="26"/>
  <c r="I30" i="26"/>
  <c r="I99" i="26"/>
  <c r="M30" i="26"/>
  <c r="M99" i="26"/>
  <c r="F101" i="26"/>
  <c r="F32" i="26"/>
  <c r="J101" i="26"/>
  <c r="J32" i="26"/>
  <c r="N101" i="26"/>
  <c r="N32" i="26"/>
  <c r="F99" i="26"/>
  <c r="F30" i="26"/>
  <c r="J30" i="26"/>
  <c r="J99" i="26"/>
  <c r="N99" i="26"/>
  <c r="N30" i="26"/>
  <c r="G101" i="26"/>
  <c r="G32" i="26"/>
  <c r="K101" i="26"/>
  <c r="K32" i="26"/>
  <c r="O101" i="26"/>
  <c r="O32" i="26"/>
  <c r="B211" i="46"/>
  <c r="B210" i="46"/>
  <c r="B209" i="46"/>
  <c r="B63" i="20"/>
  <c r="B62" i="20"/>
  <c r="B60" i="20"/>
  <c r="B59" i="20"/>
  <c r="B56" i="20"/>
  <c r="B55" i="20"/>
  <c r="B54" i="20"/>
  <c r="B53" i="20"/>
  <c r="B52" i="20"/>
  <c r="B52" i="28" s="1"/>
  <c r="B62" i="46" s="1"/>
  <c r="B49" i="20"/>
  <c r="P30" i="26" l="1"/>
  <c r="B58" i="20"/>
  <c r="B61" i="20"/>
  <c r="B57" i="20"/>
  <c r="C61" i="20"/>
  <c r="C58" i="20" l="1"/>
  <c r="C51" i="20"/>
  <c r="B13" i="25"/>
  <c r="B14" i="25"/>
  <c r="B7" i="25"/>
  <c r="B4" i="25" l="1"/>
  <c r="B8" i="2" s="1"/>
  <c r="B13" i="36"/>
  <c r="B14" i="29" l="1"/>
  <c r="B17" i="29"/>
  <c r="B7" i="36"/>
  <c r="B4" i="36" s="1"/>
  <c r="B120" i="46"/>
  <c r="C19" i="20"/>
  <c r="B19" i="20"/>
  <c r="C18" i="20"/>
  <c r="B18" i="20"/>
  <c r="B18" i="28" s="1"/>
  <c r="C16" i="20"/>
  <c r="B16" i="20"/>
  <c r="B16" i="28" s="1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B15" i="28" s="1"/>
  <c r="B15" i="46" s="1"/>
  <c r="B11" i="20"/>
  <c r="B11" i="28" s="1"/>
  <c r="B11" i="46" s="1"/>
  <c r="O10" i="20"/>
  <c r="N10" i="20"/>
  <c r="M10" i="20"/>
  <c r="L10" i="20"/>
  <c r="K10" i="20"/>
  <c r="J10" i="20"/>
  <c r="I10" i="20"/>
  <c r="H10" i="20"/>
  <c r="G10" i="20"/>
  <c r="F10" i="20"/>
  <c r="E10" i="20"/>
  <c r="D10" i="20"/>
  <c r="B10" i="20"/>
  <c r="B10" i="28" s="1"/>
  <c r="B10" i="46" s="1"/>
  <c r="C9" i="20"/>
  <c r="B9" i="20"/>
  <c r="B9" i="28" s="1"/>
  <c r="B9" i="46" s="1"/>
  <c r="C5" i="20"/>
  <c r="B5" i="20"/>
  <c r="B5" i="28" s="1"/>
  <c r="B5" i="46" s="1"/>
  <c r="B202" i="46"/>
  <c r="B110" i="28"/>
  <c r="B63" i="28"/>
  <c r="B73" i="46" s="1"/>
  <c r="B62" i="28"/>
  <c r="B72" i="46" s="1"/>
  <c r="B60" i="28"/>
  <c r="B70" i="46" s="1"/>
  <c r="B59" i="28"/>
  <c r="B69" i="46" s="1"/>
  <c r="B55" i="28"/>
  <c r="B65" i="46" s="1"/>
  <c r="B54" i="28"/>
  <c r="B64" i="46" s="1"/>
  <c r="B53" i="28"/>
  <c r="B63" i="46" s="1"/>
  <c r="B49" i="28"/>
  <c r="J16" i="36"/>
  <c r="I16" i="36"/>
  <c r="H16" i="36"/>
  <c r="G16" i="36"/>
  <c r="F16" i="36"/>
  <c r="E16" i="36"/>
  <c r="B19" i="28" l="1"/>
  <c r="B19" i="46"/>
  <c r="B18" i="46"/>
  <c r="B14" i="28"/>
  <c r="B16" i="46"/>
  <c r="B14" i="46" s="1"/>
  <c r="B71" i="46"/>
  <c r="B68" i="46"/>
  <c r="B61" i="28"/>
  <c r="B57" i="28"/>
  <c r="B67" i="46" s="1"/>
  <c r="B59" i="46"/>
  <c r="B58" i="28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B17" i="46" l="1"/>
  <c r="B17" i="28"/>
  <c r="B151" i="46"/>
  <c r="M14" i="84"/>
  <c r="M12" i="84"/>
  <c r="M11" i="84"/>
  <c r="M10" i="84"/>
  <c r="M9" i="84"/>
  <c r="M8" i="84"/>
  <c r="M7" i="84"/>
  <c r="M5" i="84"/>
  <c r="B14" i="84"/>
  <c r="B12" i="84"/>
  <c r="B11" i="84"/>
  <c r="B10" i="84"/>
  <c r="B9" i="84"/>
  <c r="B8" i="84"/>
  <c r="B7" i="84"/>
  <c r="B6" i="84"/>
  <c r="B5" i="84"/>
  <c r="AB5" i="84"/>
  <c r="L14" i="84"/>
  <c r="K14" i="84"/>
  <c r="J14" i="84"/>
  <c r="I14" i="84"/>
  <c r="H14" i="84"/>
  <c r="G14" i="84"/>
  <c r="F14" i="84"/>
  <c r="E14" i="84"/>
  <c r="D14" i="84"/>
  <c r="C14" i="84"/>
  <c r="L12" i="84"/>
  <c r="K12" i="84"/>
  <c r="J12" i="84"/>
  <c r="I12" i="84"/>
  <c r="H12" i="84"/>
  <c r="G12" i="84"/>
  <c r="F12" i="84"/>
  <c r="E12" i="84"/>
  <c r="D12" i="84"/>
  <c r="C12" i="84"/>
  <c r="L11" i="84"/>
  <c r="K11" i="84"/>
  <c r="J11" i="84"/>
  <c r="I11" i="84"/>
  <c r="H11" i="84"/>
  <c r="G11" i="84"/>
  <c r="F11" i="84"/>
  <c r="E11" i="84"/>
  <c r="D11" i="84"/>
  <c r="C11" i="84"/>
  <c r="L10" i="84"/>
  <c r="K10" i="84"/>
  <c r="J10" i="84"/>
  <c r="I10" i="84"/>
  <c r="H10" i="84"/>
  <c r="G10" i="84"/>
  <c r="F10" i="84"/>
  <c r="E10" i="84"/>
  <c r="D10" i="84"/>
  <c r="L9" i="84"/>
  <c r="K9" i="84"/>
  <c r="J9" i="84"/>
  <c r="I9" i="84"/>
  <c r="H9" i="84"/>
  <c r="G9" i="84"/>
  <c r="F9" i="84"/>
  <c r="E9" i="84"/>
  <c r="D9" i="84"/>
  <c r="C9" i="84"/>
  <c r="L8" i="84"/>
  <c r="K8" i="84"/>
  <c r="J8" i="84"/>
  <c r="I8" i="84"/>
  <c r="H8" i="84"/>
  <c r="G8" i="84"/>
  <c r="F8" i="84"/>
  <c r="E8" i="84"/>
  <c r="D8" i="84"/>
  <c r="C8" i="84"/>
  <c r="L7" i="84"/>
  <c r="K7" i="84"/>
  <c r="J7" i="84"/>
  <c r="I7" i="84"/>
  <c r="H7" i="84"/>
  <c r="G7" i="84"/>
  <c r="F7" i="84"/>
  <c r="E7" i="84"/>
  <c r="D7" i="84"/>
  <c r="C7" i="84"/>
  <c r="D6" i="84"/>
  <c r="N59" i="84" l="1"/>
  <c r="M58" i="84"/>
  <c r="M57" i="84" s="1"/>
  <c r="L58" i="84"/>
  <c r="L57" i="84" s="1"/>
  <c r="K58" i="84"/>
  <c r="K57" i="84" s="1"/>
  <c r="J58" i="84"/>
  <c r="J57" i="84" s="1"/>
  <c r="I58" i="84"/>
  <c r="I57" i="84" s="1"/>
  <c r="H58" i="84"/>
  <c r="H57" i="84" s="1"/>
  <c r="G58" i="84"/>
  <c r="F58" i="84"/>
  <c r="F57" i="84" s="1"/>
  <c r="E58" i="84"/>
  <c r="E57" i="84" s="1"/>
  <c r="D58" i="84"/>
  <c r="D57" i="84" s="1"/>
  <c r="C58" i="84"/>
  <c r="C57" i="84" s="1"/>
  <c r="B58" i="84"/>
  <c r="B57" i="84" s="1"/>
  <c r="M53" i="84"/>
  <c r="M67" i="84" s="1"/>
  <c r="L53" i="84"/>
  <c r="L67" i="84" s="1"/>
  <c r="K53" i="84"/>
  <c r="K67" i="84" s="1"/>
  <c r="J53" i="84"/>
  <c r="J67" i="84" s="1"/>
  <c r="I53" i="84"/>
  <c r="I67" i="84" s="1"/>
  <c r="H53" i="84"/>
  <c r="H67" i="84" s="1"/>
  <c r="G53" i="84"/>
  <c r="G67" i="84" s="1"/>
  <c r="F53" i="84"/>
  <c r="F67" i="84" s="1"/>
  <c r="E53" i="84"/>
  <c r="E67" i="84" s="1"/>
  <c r="D53" i="84"/>
  <c r="D67" i="84" s="1"/>
  <c r="C53" i="84"/>
  <c r="C67" i="84" s="1"/>
  <c r="B53" i="84"/>
  <c r="B67" i="84" s="1"/>
  <c r="M52" i="84"/>
  <c r="M66" i="84" s="1"/>
  <c r="L52" i="84"/>
  <c r="L51" i="84" s="1"/>
  <c r="J52" i="84"/>
  <c r="J51" i="84" s="1"/>
  <c r="I52" i="84"/>
  <c r="H52" i="84"/>
  <c r="G52" i="84"/>
  <c r="F52" i="84"/>
  <c r="E52" i="84"/>
  <c r="D52" i="84"/>
  <c r="C52" i="84"/>
  <c r="B52" i="84"/>
  <c r="M38" i="84"/>
  <c r="L38" i="84"/>
  <c r="K38" i="84"/>
  <c r="J38" i="84"/>
  <c r="I38" i="84"/>
  <c r="H38" i="84"/>
  <c r="G38" i="84"/>
  <c r="F38" i="84"/>
  <c r="E38" i="84"/>
  <c r="D38" i="84"/>
  <c r="C38" i="84"/>
  <c r="B38" i="84"/>
  <c r="D37" i="84"/>
  <c r="C37" i="84"/>
  <c r="B37" i="84"/>
  <c r="M30" i="84"/>
  <c r="M47" i="84" s="1"/>
  <c r="L30" i="84"/>
  <c r="L47" i="84" s="1"/>
  <c r="K30" i="84"/>
  <c r="K47" i="84" s="1"/>
  <c r="J30" i="84"/>
  <c r="J47" i="84" s="1"/>
  <c r="I30" i="84"/>
  <c r="I47" i="84" s="1"/>
  <c r="H30" i="84"/>
  <c r="H47" i="84" s="1"/>
  <c r="G30" i="84"/>
  <c r="G47" i="84" s="1"/>
  <c r="F30" i="84"/>
  <c r="F47" i="84" s="1"/>
  <c r="E30" i="84"/>
  <c r="E47" i="84" s="1"/>
  <c r="D30" i="84"/>
  <c r="D47" i="84" s="1"/>
  <c r="C30" i="84"/>
  <c r="C47" i="84" s="1"/>
  <c r="B30" i="84"/>
  <c r="M29" i="84"/>
  <c r="L29" i="84"/>
  <c r="K29" i="84"/>
  <c r="J29" i="84"/>
  <c r="I29" i="84"/>
  <c r="H29" i="84"/>
  <c r="G29" i="84"/>
  <c r="F29" i="84"/>
  <c r="E29" i="84"/>
  <c r="D29" i="84"/>
  <c r="C29" i="84"/>
  <c r="B29" i="84"/>
  <c r="M28" i="84"/>
  <c r="L28" i="84"/>
  <c r="K28" i="84"/>
  <c r="J28" i="84"/>
  <c r="J45" i="84" s="1"/>
  <c r="L210" i="46" s="1"/>
  <c r="I28" i="84"/>
  <c r="I45" i="84" s="1"/>
  <c r="K210" i="46" s="1"/>
  <c r="H28" i="84"/>
  <c r="G28" i="84"/>
  <c r="F28" i="84"/>
  <c r="E28" i="84"/>
  <c r="E45" i="84" s="1"/>
  <c r="G210" i="46" s="1"/>
  <c r="D28" i="84"/>
  <c r="C28" i="84"/>
  <c r="B28" i="84"/>
  <c r="M27" i="84"/>
  <c r="M44" i="84" s="1"/>
  <c r="O209" i="46" s="1"/>
  <c r="L27" i="84"/>
  <c r="K27" i="84"/>
  <c r="K25" i="84" s="1"/>
  <c r="J27" i="84"/>
  <c r="J44" i="84" s="1"/>
  <c r="L209" i="46" s="1"/>
  <c r="I27" i="84"/>
  <c r="I44" i="84" s="1"/>
  <c r="K209" i="46" s="1"/>
  <c r="H27" i="84"/>
  <c r="G27" i="84"/>
  <c r="F27" i="84"/>
  <c r="F44" i="84" s="1"/>
  <c r="H209" i="46" s="1"/>
  <c r="E27" i="84"/>
  <c r="E44" i="84" s="1"/>
  <c r="G209" i="46" s="1"/>
  <c r="D27" i="84"/>
  <c r="C27" i="84"/>
  <c r="C25" i="84" s="1"/>
  <c r="B27" i="84"/>
  <c r="B44" i="84" s="1"/>
  <c r="D209" i="46" s="1"/>
  <c r="M21" i="84"/>
  <c r="L21" i="84"/>
  <c r="K21" i="84"/>
  <c r="J21" i="84"/>
  <c r="I21" i="84"/>
  <c r="H21" i="84"/>
  <c r="G21" i="84"/>
  <c r="F21" i="84"/>
  <c r="E21" i="84"/>
  <c r="D21" i="84"/>
  <c r="C21" i="84"/>
  <c r="B21" i="84"/>
  <c r="M20" i="84"/>
  <c r="L20" i="84"/>
  <c r="K20" i="84"/>
  <c r="J20" i="84"/>
  <c r="I20" i="84"/>
  <c r="H20" i="84"/>
  <c r="G20" i="84"/>
  <c r="F20" i="84"/>
  <c r="E20" i="84"/>
  <c r="D20" i="84"/>
  <c r="C20" i="84"/>
  <c r="B20" i="84"/>
  <c r="M19" i="84"/>
  <c r="M18" i="84" s="1"/>
  <c r="L19" i="84"/>
  <c r="K19" i="84"/>
  <c r="K18" i="84" s="1"/>
  <c r="J19" i="84"/>
  <c r="J18" i="84" s="1"/>
  <c r="I19" i="84"/>
  <c r="I18" i="84" s="1"/>
  <c r="H19" i="84"/>
  <c r="G19" i="84"/>
  <c r="G18" i="84" s="1"/>
  <c r="F19" i="84"/>
  <c r="F18" i="84" s="1"/>
  <c r="E19" i="84"/>
  <c r="E18" i="84" s="1"/>
  <c r="D19" i="84"/>
  <c r="C19" i="84"/>
  <c r="C18" i="84" s="1"/>
  <c r="B19" i="84"/>
  <c r="B18" i="84" s="1"/>
  <c r="N12" i="84"/>
  <c r="C10" i="84"/>
  <c r="N8" i="84"/>
  <c r="C6" i="84"/>
  <c r="N6" i="84" s="1"/>
  <c r="L5" i="84"/>
  <c r="K5" i="84"/>
  <c r="J5" i="84"/>
  <c r="I5" i="84"/>
  <c r="H5" i="84"/>
  <c r="G5" i="84"/>
  <c r="F5" i="84"/>
  <c r="E5" i="84"/>
  <c r="D5" i="84"/>
  <c r="C5" i="84"/>
  <c r="I66" i="84" l="1"/>
  <c r="M51" i="84"/>
  <c r="G25" i="84"/>
  <c r="D51" i="84"/>
  <c r="H51" i="84"/>
  <c r="E66" i="84"/>
  <c r="F46" i="84"/>
  <c r="H211" i="46" s="1"/>
  <c r="J46" i="84"/>
  <c r="L211" i="46" s="1"/>
  <c r="F51" i="84"/>
  <c r="F45" i="84"/>
  <c r="H210" i="46" s="1"/>
  <c r="E46" i="84"/>
  <c r="G211" i="46" s="1"/>
  <c r="I46" i="84"/>
  <c r="K211" i="46" s="1"/>
  <c r="M46" i="84"/>
  <c r="O211" i="46" s="1"/>
  <c r="M45" i="84"/>
  <c r="O210" i="46" s="1"/>
  <c r="G66" i="84"/>
  <c r="G65" i="84" s="1"/>
  <c r="I212" i="46" s="1"/>
  <c r="K66" i="84"/>
  <c r="K65" i="84" s="1"/>
  <c r="M212" i="46" s="1"/>
  <c r="G57" i="84"/>
  <c r="N5" i="84"/>
  <c r="F25" i="84"/>
  <c r="E51" i="84"/>
  <c r="C66" i="84"/>
  <c r="C65" i="84" s="1"/>
  <c r="E212" i="46" s="1"/>
  <c r="E65" i="84"/>
  <c r="G212" i="46" s="1"/>
  <c r="I65" i="84"/>
  <c r="K212" i="46" s="1"/>
  <c r="N11" i="84"/>
  <c r="H18" i="84"/>
  <c r="N29" i="84"/>
  <c r="N30" i="84"/>
  <c r="N52" i="84"/>
  <c r="N10" i="84"/>
  <c r="N14" i="84"/>
  <c r="C44" i="84"/>
  <c r="G44" i="84"/>
  <c r="I209" i="46" s="1"/>
  <c r="K44" i="84"/>
  <c r="M209" i="46" s="1"/>
  <c r="C45" i="84"/>
  <c r="E210" i="46" s="1"/>
  <c r="G45" i="84"/>
  <c r="I210" i="46" s="1"/>
  <c r="K45" i="84"/>
  <c r="M210" i="46" s="1"/>
  <c r="C46" i="84"/>
  <c r="E211" i="46" s="1"/>
  <c r="G46" i="84"/>
  <c r="I211" i="46" s="1"/>
  <c r="K46" i="84"/>
  <c r="M211" i="46" s="1"/>
  <c r="I51" i="84"/>
  <c r="N58" i="84"/>
  <c r="N57" i="84" s="1"/>
  <c r="F66" i="84"/>
  <c r="F65" i="84" s="1"/>
  <c r="H212" i="46" s="1"/>
  <c r="J66" i="84"/>
  <c r="J65" i="84" s="1"/>
  <c r="L212" i="46" s="1"/>
  <c r="M65" i="84"/>
  <c r="O212" i="46" s="1"/>
  <c r="N7" i="84"/>
  <c r="D18" i="84"/>
  <c r="L18" i="84"/>
  <c r="N26" i="84"/>
  <c r="N28" i="84"/>
  <c r="N53" i="84"/>
  <c r="N9" i="84"/>
  <c r="N19" i="84"/>
  <c r="N20" i="84"/>
  <c r="N21" i="84"/>
  <c r="B25" i="84"/>
  <c r="J25" i="84"/>
  <c r="D44" i="84"/>
  <c r="F209" i="46" s="1"/>
  <c r="H44" i="84"/>
  <c r="J209" i="46" s="1"/>
  <c r="L44" i="84"/>
  <c r="N209" i="46" s="1"/>
  <c r="D45" i="84"/>
  <c r="F210" i="46" s="1"/>
  <c r="H45" i="84"/>
  <c r="J210" i="46" s="1"/>
  <c r="L45" i="84"/>
  <c r="N210" i="46" s="1"/>
  <c r="D46" i="84"/>
  <c r="F211" i="46" s="1"/>
  <c r="H46" i="84"/>
  <c r="J211" i="46" s="1"/>
  <c r="L46" i="84"/>
  <c r="N211" i="46" s="1"/>
  <c r="N36" i="84"/>
  <c r="N37" i="84"/>
  <c r="N38" i="84"/>
  <c r="B51" i="84"/>
  <c r="N67" i="84"/>
  <c r="D25" i="84"/>
  <c r="H25" i="84"/>
  <c r="L25" i="84"/>
  <c r="N27" i="84"/>
  <c r="B45" i="84"/>
  <c r="D210" i="46" s="1"/>
  <c r="C51" i="84"/>
  <c r="G51" i="84"/>
  <c r="K51" i="84"/>
  <c r="D66" i="84"/>
  <c r="D65" i="84" s="1"/>
  <c r="F212" i="46" s="1"/>
  <c r="H66" i="84"/>
  <c r="H65" i="84" s="1"/>
  <c r="J212" i="46" s="1"/>
  <c r="L66" i="84"/>
  <c r="L65" i="84" s="1"/>
  <c r="N212" i="46" s="1"/>
  <c r="E25" i="84"/>
  <c r="I25" i="84"/>
  <c r="M25" i="84"/>
  <c r="B46" i="84"/>
  <c r="D211" i="46" s="1"/>
  <c r="B47" i="84"/>
  <c r="B66" i="84"/>
  <c r="N18" i="84" l="1"/>
  <c r="N47" i="84"/>
  <c r="N44" i="84"/>
  <c r="E209" i="46"/>
  <c r="N51" i="84"/>
  <c r="N45" i="84"/>
  <c r="N46" i="84"/>
  <c r="N25" i="84"/>
  <c r="N66" i="84"/>
  <c r="N65" i="84" s="1"/>
  <c r="B65" i="84"/>
  <c r="D212" i="46" s="1"/>
  <c r="E37" i="36" l="1"/>
  <c r="I37" i="36"/>
  <c r="H37" i="36"/>
  <c r="G37" i="36"/>
  <c r="F37" i="36"/>
  <c r="D376" i="34"/>
  <c r="E18" i="34"/>
  <c r="D19" i="34"/>
  <c r="D43" i="34" s="1"/>
  <c r="F15" i="34"/>
  <c r="F373" i="34" s="1"/>
  <c r="E15" i="34"/>
  <c r="E373" i="34" s="1"/>
  <c r="D36" i="4"/>
  <c r="I200" i="33"/>
  <c r="L200" i="33" s="1"/>
  <c r="I198" i="33"/>
  <c r="L198" i="33" s="1"/>
  <c r="O198" i="33" s="1"/>
  <c r="I197" i="33"/>
  <c r="L197" i="33" s="1"/>
  <c r="M197" i="33" s="1"/>
  <c r="G204" i="33"/>
  <c r="G203" i="33"/>
  <c r="G202" i="33"/>
  <c r="G200" i="33"/>
  <c r="G198" i="33"/>
  <c r="G197" i="33"/>
  <c r="G10" i="33"/>
  <c r="G8" i="33"/>
  <c r="I12" i="33"/>
  <c r="H12" i="33"/>
  <c r="G12" i="33"/>
  <c r="I11" i="33"/>
  <c r="H11" i="33"/>
  <c r="G11" i="33"/>
  <c r="I10" i="33"/>
  <c r="H10" i="33"/>
  <c r="I8" i="33"/>
  <c r="H8" i="33"/>
  <c r="I6" i="33"/>
  <c r="L6" i="33" s="1"/>
  <c r="H6" i="33"/>
  <c r="G6" i="33"/>
  <c r="I5" i="33"/>
  <c r="H5" i="33"/>
  <c r="I347" i="33"/>
  <c r="K347" i="33" s="1"/>
  <c r="H347" i="33"/>
  <c r="G347" i="33"/>
  <c r="I346" i="33"/>
  <c r="L346" i="33" s="1"/>
  <c r="H346" i="33"/>
  <c r="G346" i="33"/>
  <c r="I345" i="33"/>
  <c r="L345" i="33" s="1"/>
  <c r="H345" i="33"/>
  <c r="G345" i="33"/>
  <c r="I343" i="33"/>
  <c r="K343" i="33" s="1"/>
  <c r="H343" i="33"/>
  <c r="G343" i="33"/>
  <c r="I341" i="33"/>
  <c r="L341" i="33" s="1"/>
  <c r="H341" i="33"/>
  <c r="G341" i="33"/>
  <c r="I340" i="33"/>
  <c r="L340" i="33" s="1"/>
  <c r="M340" i="33" s="1"/>
  <c r="H340" i="33"/>
  <c r="G340" i="33"/>
  <c r="I324" i="33"/>
  <c r="K324" i="33" s="1"/>
  <c r="H324" i="33"/>
  <c r="G324" i="33"/>
  <c r="I323" i="33"/>
  <c r="H323" i="33"/>
  <c r="G323" i="33"/>
  <c r="I322" i="33"/>
  <c r="H322" i="33"/>
  <c r="H100" i="19" s="1"/>
  <c r="G322" i="33"/>
  <c r="G100" i="19" s="1"/>
  <c r="I320" i="33"/>
  <c r="H320" i="33"/>
  <c r="G320" i="33"/>
  <c r="I318" i="33"/>
  <c r="K318" i="33" s="1"/>
  <c r="H318" i="33"/>
  <c r="G318" i="33"/>
  <c r="I317" i="33"/>
  <c r="H317" i="33"/>
  <c r="G317" i="33"/>
  <c r="I300" i="33"/>
  <c r="K300" i="33" s="1"/>
  <c r="H300" i="33"/>
  <c r="G300" i="33"/>
  <c r="I299" i="33"/>
  <c r="H299" i="33"/>
  <c r="G299" i="33"/>
  <c r="I298" i="33"/>
  <c r="L298" i="33" s="1"/>
  <c r="H298" i="33"/>
  <c r="G298" i="33"/>
  <c r="I296" i="33"/>
  <c r="J296" i="33" s="1"/>
  <c r="H296" i="33"/>
  <c r="G296" i="33"/>
  <c r="I294" i="33"/>
  <c r="L294" i="33" s="1"/>
  <c r="H294" i="33"/>
  <c r="G294" i="33"/>
  <c r="I293" i="33"/>
  <c r="L293" i="33" s="1"/>
  <c r="H293" i="33"/>
  <c r="G293" i="33"/>
  <c r="I276" i="33"/>
  <c r="K276" i="33" s="1"/>
  <c r="H276" i="33"/>
  <c r="G276" i="33"/>
  <c r="I275" i="33"/>
  <c r="K275" i="33" s="1"/>
  <c r="H275" i="33"/>
  <c r="G275" i="33"/>
  <c r="I274" i="33"/>
  <c r="L274" i="33" s="1"/>
  <c r="H274" i="33"/>
  <c r="G274" i="33"/>
  <c r="I272" i="33"/>
  <c r="K272" i="33" s="1"/>
  <c r="H272" i="33"/>
  <c r="G272" i="33"/>
  <c r="I270" i="33"/>
  <c r="K270" i="33" s="1"/>
  <c r="H270" i="33"/>
  <c r="G270" i="33"/>
  <c r="I269" i="33"/>
  <c r="L269" i="33" s="1"/>
  <c r="H269" i="33"/>
  <c r="G269" i="33"/>
  <c r="I252" i="33"/>
  <c r="K252" i="33" s="1"/>
  <c r="H252" i="33"/>
  <c r="G252" i="33"/>
  <c r="I251" i="33"/>
  <c r="K251" i="33" s="1"/>
  <c r="H251" i="33"/>
  <c r="G251" i="33"/>
  <c r="I250" i="33"/>
  <c r="L250" i="33" s="1"/>
  <c r="H250" i="33"/>
  <c r="G250" i="33"/>
  <c r="I248" i="33"/>
  <c r="K248" i="33" s="1"/>
  <c r="H248" i="33"/>
  <c r="G248" i="33"/>
  <c r="I246" i="33"/>
  <c r="K246" i="33" s="1"/>
  <c r="H246" i="33"/>
  <c r="G246" i="33"/>
  <c r="I245" i="33"/>
  <c r="L245" i="33" s="1"/>
  <c r="H245" i="33"/>
  <c r="G245" i="33"/>
  <c r="I228" i="33"/>
  <c r="K228" i="33" s="1"/>
  <c r="H228" i="33"/>
  <c r="G228" i="33"/>
  <c r="I227" i="33"/>
  <c r="K227" i="33" s="1"/>
  <c r="H227" i="33"/>
  <c r="G227" i="33"/>
  <c r="I226" i="33"/>
  <c r="L226" i="33" s="1"/>
  <c r="H226" i="33"/>
  <c r="G226" i="33"/>
  <c r="I224" i="33"/>
  <c r="K224" i="33" s="1"/>
  <c r="H224" i="33"/>
  <c r="G224" i="33"/>
  <c r="I222" i="33"/>
  <c r="K222" i="33" s="1"/>
  <c r="H222" i="33"/>
  <c r="G222" i="33"/>
  <c r="I221" i="33"/>
  <c r="L221" i="33" s="1"/>
  <c r="H221" i="33"/>
  <c r="G221" i="33"/>
  <c r="I204" i="33"/>
  <c r="K204" i="33" s="1"/>
  <c r="H204" i="33"/>
  <c r="I203" i="33"/>
  <c r="K203" i="33" s="1"/>
  <c r="H203" i="33"/>
  <c r="I202" i="33"/>
  <c r="L202" i="33" s="1"/>
  <c r="H202" i="33"/>
  <c r="K200" i="33"/>
  <c r="H200" i="33"/>
  <c r="H198" i="33"/>
  <c r="H197" i="33"/>
  <c r="I180" i="33"/>
  <c r="K180" i="33" s="1"/>
  <c r="H180" i="33"/>
  <c r="G180" i="33"/>
  <c r="I179" i="33"/>
  <c r="K179" i="33" s="1"/>
  <c r="H179" i="33"/>
  <c r="G179" i="33"/>
  <c r="I178" i="33"/>
  <c r="L178" i="33" s="1"/>
  <c r="H178" i="33"/>
  <c r="G178" i="33"/>
  <c r="I176" i="33"/>
  <c r="K176" i="33" s="1"/>
  <c r="H176" i="33"/>
  <c r="G176" i="33"/>
  <c r="I174" i="33"/>
  <c r="K174" i="33" s="1"/>
  <c r="H174" i="33"/>
  <c r="G174" i="33"/>
  <c r="I173" i="33"/>
  <c r="L173" i="33" s="1"/>
  <c r="H173" i="33"/>
  <c r="G173" i="33"/>
  <c r="I156" i="33"/>
  <c r="K156" i="33" s="1"/>
  <c r="H156" i="33"/>
  <c r="G156" i="33"/>
  <c r="I155" i="33"/>
  <c r="K155" i="33" s="1"/>
  <c r="H155" i="33"/>
  <c r="G155" i="33"/>
  <c r="I154" i="33"/>
  <c r="L154" i="33" s="1"/>
  <c r="H154" i="33"/>
  <c r="G154" i="33"/>
  <c r="I152" i="33"/>
  <c r="K152" i="33" s="1"/>
  <c r="H152" i="33"/>
  <c r="G152" i="33"/>
  <c r="I150" i="33"/>
  <c r="K150" i="33" s="1"/>
  <c r="H150" i="33"/>
  <c r="G150" i="33"/>
  <c r="I149" i="33"/>
  <c r="L149" i="33" s="1"/>
  <c r="H149" i="33"/>
  <c r="G149" i="33"/>
  <c r="I132" i="33"/>
  <c r="K132" i="33" s="1"/>
  <c r="H132" i="33"/>
  <c r="G132" i="33"/>
  <c r="I131" i="33"/>
  <c r="J131" i="33" s="1"/>
  <c r="H131" i="33"/>
  <c r="G131" i="33"/>
  <c r="I130" i="33"/>
  <c r="H130" i="33"/>
  <c r="H100" i="10" s="1"/>
  <c r="G130" i="33"/>
  <c r="G100" i="10" s="1"/>
  <c r="I128" i="33"/>
  <c r="H128" i="33"/>
  <c r="G128" i="33"/>
  <c r="I126" i="33"/>
  <c r="K126" i="33" s="1"/>
  <c r="H126" i="33"/>
  <c r="G126" i="33"/>
  <c r="I125" i="33"/>
  <c r="H125" i="33"/>
  <c r="G125" i="33"/>
  <c r="I108" i="33"/>
  <c r="K108" i="33" s="1"/>
  <c r="H108" i="33"/>
  <c r="G108" i="33"/>
  <c r="I107" i="33"/>
  <c r="H107" i="33"/>
  <c r="G107" i="33"/>
  <c r="I106" i="33"/>
  <c r="H106" i="33"/>
  <c r="H100" i="9" s="1"/>
  <c r="G106" i="33"/>
  <c r="G100" i="9" s="1"/>
  <c r="H96" i="9"/>
  <c r="G96" i="9"/>
  <c r="I84" i="33"/>
  <c r="K84" i="33" s="1"/>
  <c r="H84" i="33"/>
  <c r="G84" i="33"/>
  <c r="I83" i="33"/>
  <c r="H83" i="33"/>
  <c r="G83" i="33"/>
  <c r="I82" i="33"/>
  <c r="H82" i="33"/>
  <c r="H100" i="7" s="1"/>
  <c r="G82" i="33"/>
  <c r="G100" i="7" s="1"/>
  <c r="I80" i="33"/>
  <c r="H80" i="33"/>
  <c r="G80" i="33"/>
  <c r="I78" i="33"/>
  <c r="K78" i="33" s="1"/>
  <c r="H78" i="33"/>
  <c r="G78" i="33"/>
  <c r="I77" i="33"/>
  <c r="H77" i="33"/>
  <c r="G77" i="33"/>
  <c r="I60" i="33"/>
  <c r="H60" i="33"/>
  <c r="H102" i="5" s="1"/>
  <c r="G60" i="33"/>
  <c r="G102" i="5" s="1"/>
  <c r="I59" i="33"/>
  <c r="H59" i="33"/>
  <c r="G59" i="33"/>
  <c r="I58" i="33"/>
  <c r="H58" i="33"/>
  <c r="H100" i="5" s="1"/>
  <c r="G58" i="33"/>
  <c r="G100" i="5" s="1"/>
  <c r="I56" i="33"/>
  <c r="H56" i="33"/>
  <c r="H98" i="5" s="1"/>
  <c r="G56" i="33"/>
  <c r="I54" i="33"/>
  <c r="H54" i="33"/>
  <c r="H96" i="5" s="1"/>
  <c r="G54" i="33"/>
  <c r="G96" i="5" s="1"/>
  <c r="G53" i="33"/>
  <c r="I53" i="33"/>
  <c r="H53" i="33"/>
  <c r="G36" i="33"/>
  <c r="G35" i="33"/>
  <c r="I34" i="33"/>
  <c r="I100" i="6" s="1"/>
  <c r="G34" i="33"/>
  <c r="G100" i="6" s="1"/>
  <c r="I36" i="33"/>
  <c r="K36" i="33" s="1"/>
  <c r="H36" i="33"/>
  <c r="I35" i="33"/>
  <c r="H35" i="33"/>
  <c r="H34" i="33"/>
  <c r="H100" i="6" s="1"/>
  <c r="I30" i="33"/>
  <c r="H30" i="33"/>
  <c r="H96" i="6" s="1"/>
  <c r="G30" i="33"/>
  <c r="G96" i="6" s="1"/>
  <c r="I29" i="33"/>
  <c r="H29" i="33"/>
  <c r="E373" i="33"/>
  <c r="P373" i="33" s="1"/>
  <c r="P16" i="33"/>
  <c r="E18" i="33"/>
  <c r="F18" i="33"/>
  <c r="E19" i="33"/>
  <c r="F19" i="33"/>
  <c r="G376" i="33"/>
  <c r="K376" i="33"/>
  <c r="O376" i="33"/>
  <c r="I377" i="33"/>
  <c r="K377" i="33"/>
  <c r="M377" i="33"/>
  <c r="O377" i="33"/>
  <c r="E39" i="4" l="1"/>
  <c r="E42" i="34"/>
  <c r="E66" i="33"/>
  <c r="E306" i="33"/>
  <c r="E162" i="33"/>
  <c r="E282" i="33"/>
  <c r="E138" i="33"/>
  <c r="E353" i="33"/>
  <c r="E234" i="33"/>
  <c r="E114" i="33"/>
  <c r="E258" i="33"/>
  <c r="E42" i="33"/>
  <c r="E90" i="33"/>
  <c r="E330" i="33"/>
  <c r="E186" i="33"/>
  <c r="E210" i="33"/>
  <c r="F259" i="33"/>
  <c r="F91" i="33"/>
  <c r="F235" i="33"/>
  <c r="F43" i="33"/>
  <c r="F354" i="33"/>
  <c r="F211" i="33"/>
  <c r="F115" i="33"/>
  <c r="F187" i="33"/>
  <c r="F283" i="33"/>
  <c r="F139" i="33"/>
  <c r="F307" i="33"/>
  <c r="F67" i="33"/>
  <c r="F163" i="33"/>
  <c r="F331" i="33"/>
  <c r="E235" i="33"/>
  <c r="E43" i="33"/>
  <c r="E354" i="33"/>
  <c r="E211" i="33"/>
  <c r="E115" i="33"/>
  <c r="E91" i="33"/>
  <c r="E283" i="33"/>
  <c r="E139" i="33"/>
  <c r="E307" i="33"/>
  <c r="E67" i="33"/>
  <c r="E163" i="33"/>
  <c r="E331" i="33"/>
  <c r="E187" i="33"/>
  <c r="E259" i="33"/>
  <c r="F353" i="33"/>
  <c r="F330" i="33"/>
  <c r="F306" i="33"/>
  <c r="F282" i="33"/>
  <c r="F258" i="33"/>
  <c r="F234" i="33"/>
  <c r="F210" i="33"/>
  <c r="F186" i="33"/>
  <c r="F162" i="33"/>
  <c r="F138" i="33"/>
  <c r="F90" i="33"/>
  <c r="F114" i="33"/>
  <c r="F66" i="33"/>
  <c r="F42" i="33"/>
  <c r="D377" i="34"/>
  <c r="D377" i="33"/>
  <c r="L376" i="33"/>
  <c r="H376" i="33"/>
  <c r="N376" i="33"/>
  <c r="J376" i="33"/>
  <c r="M376" i="33"/>
  <c r="E376" i="34"/>
  <c r="G377" i="33"/>
  <c r="N377" i="33"/>
  <c r="L34" i="33"/>
  <c r="L100" i="6" s="1"/>
  <c r="J377" i="33"/>
  <c r="L377" i="33"/>
  <c r="H377" i="33"/>
  <c r="I376" i="33"/>
  <c r="D376" i="33"/>
  <c r="J6" i="33"/>
  <c r="G363" i="33"/>
  <c r="G379" i="34" s="1"/>
  <c r="G364" i="33"/>
  <c r="L203" i="33"/>
  <c r="O203" i="33" s="1"/>
  <c r="H363" i="33"/>
  <c r="H379" i="34" s="1"/>
  <c r="K6" i="33"/>
  <c r="I364" i="33"/>
  <c r="K8" i="33"/>
  <c r="G367" i="33"/>
  <c r="L5" i="33"/>
  <c r="M5" i="33" s="1"/>
  <c r="I363" i="33"/>
  <c r="I379" i="34" s="1"/>
  <c r="H367" i="33"/>
  <c r="G369" i="33"/>
  <c r="H370" i="33"/>
  <c r="G98" i="5"/>
  <c r="G366" i="33"/>
  <c r="O6" i="33"/>
  <c r="I367" i="33"/>
  <c r="H369" i="33"/>
  <c r="K12" i="33"/>
  <c r="I370" i="33"/>
  <c r="H364" i="33"/>
  <c r="K11" i="33"/>
  <c r="I369" i="33"/>
  <c r="L299" i="33"/>
  <c r="O299" i="33" s="1"/>
  <c r="G15" i="34"/>
  <c r="G373" i="34" s="1"/>
  <c r="I15" i="34"/>
  <c r="I373" i="34" s="1"/>
  <c r="H15" i="34"/>
  <c r="H373" i="34" s="1"/>
  <c r="J275" i="33"/>
  <c r="L275" i="33"/>
  <c r="O275" i="33" s="1"/>
  <c r="L251" i="33"/>
  <c r="O251" i="33" s="1"/>
  <c r="J251" i="33"/>
  <c r="L227" i="33"/>
  <c r="O227" i="33" s="1"/>
  <c r="L155" i="33"/>
  <c r="O155" i="33" s="1"/>
  <c r="J155" i="33"/>
  <c r="J197" i="33"/>
  <c r="L29" i="33"/>
  <c r="M29" i="33" s="1"/>
  <c r="J29" i="33"/>
  <c r="K29" i="33"/>
  <c r="O340" i="33"/>
  <c r="K54" i="33"/>
  <c r="K96" i="5" s="1"/>
  <c r="I96" i="5"/>
  <c r="L317" i="33"/>
  <c r="N317" i="33" s="1"/>
  <c r="K35" i="33"/>
  <c r="L58" i="33"/>
  <c r="L100" i="5" s="1"/>
  <c r="I100" i="5"/>
  <c r="K83" i="33"/>
  <c r="L106" i="33"/>
  <c r="L100" i="9" s="1"/>
  <c r="I100" i="9"/>
  <c r="J150" i="33"/>
  <c r="L322" i="33"/>
  <c r="L100" i="19" s="1"/>
  <c r="I100" i="19"/>
  <c r="G100" i="25"/>
  <c r="G100" i="29"/>
  <c r="L77" i="33"/>
  <c r="O77" i="33" s="1"/>
  <c r="J78" i="33"/>
  <c r="K80" i="33"/>
  <c r="L82" i="33"/>
  <c r="L100" i="7" s="1"/>
  <c r="I100" i="7"/>
  <c r="J83" i="33"/>
  <c r="L125" i="33"/>
  <c r="J126" i="33"/>
  <c r="K128" i="33"/>
  <c r="L130" i="33"/>
  <c r="L100" i="10" s="1"/>
  <c r="I100" i="10"/>
  <c r="L246" i="33"/>
  <c r="O246" i="33" s="1"/>
  <c r="K320" i="33"/>
  <c r="H100" i="29"/>
  <c r="H100" i="25"/>
  <c r="J200" i="33"/>
  <c r="K53" i="33"/>
  <c r="L59" i="33"/>
  <c r="N59" i="33" s="1"/>
  <c r="L96" i="9"/>
  <c r="I96" i="9"/>
  <c r="L107" i="33"/>
  <c r="O107" i="33" s="1"/>
  <c r="K323" i="33"/>
  <c r="K131" i="33"/>
  <c r="J323" i="33"/>
  <c r="K30" i="33"/>
  <c r="K96" i="6" s="1"/>
  <c r="I96" i="6"/>
  <c r="K56" i="33"/>
  <c r="K98" i="5" s="1"/>
  <c r="I98" i="5"/>
  <c r="K60" i="33"/>
  <c r="K102" i="5" s="1"/>
  <c r="I102" i="5"/>
  <c r="L78" i="33"/>
  <c r="O78" i="33" s="1"/>
  <c r="L83" i="33"/>
  <c r="M83" i="33" s="1"/>
  <c r="L126" i="33"/>
  <c r="O126" i="33" s="1"/>
  <c r="L131" i="33"/>
  <c r="M131" i="33" s="1"/>
  <c r="J203" i="33"/>
  <c r="J227" i="33"/>
  <c r="L10" i="33"/>
  <c r="M10" i="33" s="1"/>
  <c r="I100" i="25"/>
  <c r="I100" i="29"/>
  <c r="J11" i="33"/>
  <c r="P15" i="33"/>
  <c r="L323" i="33"/>
  <c r="N323" i="33" s="1"/>
  <c r="L318" i="33"/>
  <c r="O318" i="33" s="1"/>
  <c r="J318" i="33"/>
  <c r="L296" i="33"/>
  <c r="O296" i="33" s="1"/>
  <c r="K296" i="33"/>
  <c r="J270" i="33"/>
  <c r="L270" i="33"/>
  <c r="O270" i="33" s="1"/>
  <c r="J246" i="33"/>
  <c r="J222" i="33"/>
  <c r="L222" i="33"/>
  <c r="O222" i="33" s="1"/>
  <c r="K198" i="33"/>
  <c r="J198" i="33"/>
  <c r="J179" i="33"/>
  <c r="L179" i="33"/>
  <c r="O179" i="33" s="1"/>
  <c r="J174" i="33"/>
  <c r="L174" i="33"/>
  <c r="O174" i="33" s="1"/>
  <c r="L150" i="33"/>
  <c r="O150" i="33" s="1"/>
  <c r="J58" i="33"/>
  <c r="J100" i="5" s="1"/>
  <c r="K58" i="33"/>
  <c r="K100" i="5" s="1"/>
  <c r="L11" i="33"/>
  <c r="J5" i="33"/>
  <c r="M6" i="33"/>
  <c r="L8" i="33"/>
  <c r="J10" i="33"/>
  <c r="L12" i="33"/>
  <c r="K5" i="33"/>
  <c r="N6" i="33"/>
  <c r="K10" i="33"/>
  <c r="J8" i="33"/>
  <c r="J12" i="33"/>
  <c r="N340" i="33"/>
  <c r="O346" i="33"/>
  <c r="N346" i="33"/>
  <c r="M346" i="33"/>
  <c r="M345" i="33"/>
  <c r="O345" i="33"/>
  <c r="N345" i="33"/>
  <c r="O341" i="33"/>
  <c r="N341" i="33"/>
  <c r="M341" i="33"/>
  <c r="J340" i="33"/>
  <c r="L343" i="33"/>
  <c r="O343" i="33" s="1"/>
  <c r="J345" i="33"/>
  <c r="L347" i="33"/>
  <c r="O347" i="33" s="1"/>
  <c r="K340" i="33"/>
  <c r="J341" i="33"/>
  <c r="K345" i="33"/>
  <c r="J346" i="33"/>
  <c r="K341" i="33"/>
  <c r="J343" i="33"/>
  <c r="K346" i="33"/>
  <c r="J347" i="33"/>
  <c r="J317" i="33"/>
  <c r="L320" i="33"/>
  <c r="J322" i="33"/>
  <c r="J100" i="19" s="1"/>
  <c r="L324" i="33"/>
  <c r="K317" i="33"/>
  <c r="K322" i="33"/>
  <c r="K100" i="19" s="1"/>
  <c r="J320" i="33"/>
  <c r="J324" i="33"/>
  <c r="O294" i="33"/>
  <c r="N294" i="33"/>
  <c r="M294" i="33"/>
  <c r="M293" i="33"/>
  <c r="O293" i="33"/>
  <c r="N293" i="33"/>
  <c r="M298" i="33"/>
  <c r="O298" i="33"/>
  <c r="N298" i="33"/>
  <c r="J293" i="33"/>
  <c r="J298" i="33"/>
  <c r="L300" i="33"/>
  <c r="K293" i="33"/>
  <c r="J294" i="33"/>
  <c r="K298" i="33"/>
  <c r="J299" i="33"/>
  <c r="K294" i="33"/>
  <c r="K299" i="33"/>
  <c r="J300" i="33"/>
  <c r="M269" i="33"/>
  <c r="O269" i="33"/>
  <c r="N269" i="33"/>
  <c r="M274" i="33"/>
  <c r="O274" i="33"/>
  <c r="N274" i="33"/>
  <c r="J269" i="33"/>
  <c r="L272" i="33"/>
  <c r="J274" i="33"/>
  <c r="L276" i="33"/>
  <c r="K269" i="33"/>
  <c r="K274" i="33"/>
  <c r="J272" i="33"/>
  <c r="J276" i="33"/>
  <c r="M245" i="33"/>
  <c r="O245" i="33"/>
  <c r="N245" i="33"/>
  <c r="M250" i="33"/>
  <c r="O250" i="33"/>
  <c r="N250" i="33"/>
  <c r="J245" i="33"/>
  <c r="L248" i="33"/>
  <c r="J250" i="33"/>
  <c r="L252" i="33"/>
  <c r="K245" i="33"/>
  <c r="K250" i="33"/>
  <c r="J248" i="33"/>
  <c r="J252" i="33"/>
  <c r="M221" i="33"/>
  <c r="O221" i="33"/>
  <c r="N221" i="33"/>
  <c r="M226" i="33"/>
  <c r="O226" i="33"/>
  <c r="N226" i="33"/>
  <c r="J221" i="33"/>
  <c r="L224" i="33"/>
  <c r="J226" i="33"/>
  <c r="L228" i="33"/>
  <c r="K221" i="33"/>
  <c r="K226" i="33"/>
  <c r="J224" i="33"/>
  <c r="J228" i="33"/>
  <c r="O197" i="33"/>
  <c r="N197" i="33"/>
  <c r="M202" i="33"/>
  <c r="O202" i="33"/>
  <c r="N202" i="33"/>
  <c r="M198" i="33"/>
  <c r="J202" i="33"/>
  <c r="L204" i="33"/>
  <c r="K197" i="33"/>
  <c r="N198" i="33"/>
  <c r="K202" i="33"/>
  <c r="J204" i="33"/>
  <c r="M173" i="33"/>
  <c r="O173" i="33"/>
  <c r="N173" i="33"/>
  <c r="M178" i="33"/>
  <c r="O178" i="33"/>
  <c r="N178" i="33"/>
  <c r="J173" i="33"/>
  <c r="L176" i="33"/>
  <c r="J178" i="33"/>
  <c r="L180" i="33"/>
  <c r="K173" i="33"/>
  <c r="K178" i="33"/>
  <c r="J176" i="33"/>
  <c r="J180" i="33"/>
  <c r="M149" i="33"/>
  <c r="O149" i="33"/>
  <c r="N149" i="33"/>
  <c r="M154" i="33"/>
  <c r="O154" i="33"/>
  <c r="N154" i="33"/>
  <c r="J149" i="33"/>
  <c r="L152" i="33"/>
  <c r="J154" i="33"/>
  <c r="M155" i="33"/>
  <c r="L156" i="33"/>
  <c r="K149" i="33"/>
  <c r="K154" i="33"/>
  <c r="N155" i="33"/>
  <c r="J152" i="33"/>
  <c r="J156" i="33"/>
  <c r="J125" i="33"/>
  <c r="L128" i="33"/>
  <c r="J130" i="33"/>
  <c r="J100" i="10" s="1"/>
  <c r="L132" i="33"/>
  <c r="K125" i="33"/>
  <c r="K130" i="33"/>
  <c r="K100" i="10" s="1"/>
  <c r="J128" i="33"/>
  <c r="J132" i="33"/>
  <c r="J106" i="33"/>
  <c r="J100" i="9" s="1"/>
  <c r="L108" i="33"/>
  <c r="J96" i="9"/>
  <c r="K106" i="33"/>
  <c r="K100" i="9" s="1"/>
  <c r="J107" i="33"/>
  <c r="K96" i="9"/>
  <c r="K107" i="33"/>
  <c r="J108" i="33"/>
  <c r="J77" i="33"/>
  <c r="L80" i="33"/>
  <c r="J82" i="33"/>
  <c r="J100" i="7" s="1"/>
  <c r="L84" i="33"/>
  <c r="K77" i="33"/>
  <c r="K82" i="33"/>
  <c r="K100" i="7" s="1"/>
  <c r="J80" i="33"/>
  <c r="J84" i="33"/>
  <c r="L60" i="33"/>
  <c r="M60" i="33" s="1"/>
  <c r="M102" i="5" s="1"/>
  <c r="L53" i="33"/>
  <c r="M53" i="33" s="1"/>
  <c r="L56" i="33"/>
  <c r="M56" i="33" s="1"/>
  <c r="M98" i="5" s="1"/>
  <c r="J59" i="33"/>
  <c r="J56" i="33"/>
  <c r="J98" i="5" s="1"/>
  <c r="K59" i="33"/>
  <c r="J60" i="33"/>
  <c r="J102" i="5" s="1"/>
  <c r="L54" i="33"/>
  <c r="L96" i="5" s="1"/>
  <c r="J54" i="33"/>
  <c r="J53" i="33"/>
  <c r="J35" i="33"/>
  <c r="L35" i="33"/>
  <c r="M35" i="33" s="1"/>
  <c r="J34" i="33"/>
  <c r="J100" i="6" s="1"/>
  <c r="L36" i="33"/>
  <c r="K34" i="33"/>
  <c r="K100" i="6" s="1"/>
  <c r="J36" i="33"/>
  <c r="L30" i="33"/>
  <c r="L96" i="6" s="1"/>
  <c r="J30" i="33"/>
  <c r="J96" i="6" s="1"/>
  <c r="D93" i="80"/>
  <c r="P39" i="39"/>
  <c r="P40" i="39"/>
  <c r="P41" i="39"/>
  <c r="P42" i="39"/>
  <c r="P24" i="39"/>
  <c r="O280" i="46"/>
  <c r="N280" i="46"/>
  <c r="M280" i="46"/>
  <c r="L280" i="46"/>
  <c r="K280" i="46"/>
  <c r="J280" i="46"/>
  <c r="I280" i="46"/>
  <c r="H280" i="46"/>
  <c r="G280" i="46"/>
  <c r="F280" i="46"/>
  <c r="E280" i="46"/>
  <c r="D280" i="46"/>
  <c r="O279" i="46"/>
  <c r="N279" i="46"/>
  <c r="M279" i="46"/>
  <c r="L279" i="46"/>
  <c r="K279" i="46"/>
  <c r="J279" i="46"/>
  <c r="I279" i="46"/>
  <c r="H279" i="46"/>
  <c r="G279" i="46"/>
  <c r="F279" i="46"/>
  <c r="E279" i="46"/>
  <c r="D279" i="46"/>
  <c r="O278" i="46"/>
  <c r="N278" i="46"/>
  <c r="M278" i="46"/>
  <c r="L278" i="46"/>
  <c r="K278" i="46"/>
  <c r="J278" i="46"/>
  <c r="I278" i="46"/>
  <c r="H278" i="46"/>
  <c r="G278" i="46"/>
  <c r="F278" i="46"/>
  <c r="E278" i="46"/>
  <c r="D278" i="46"/>
  <c r="O277" i="46"/>
  <c r="N277" i="46"/>
  <c r="M277" i="46"/>
  <c r="L277" i="46"/>
  <c r="K277" i="46"/>
  <c r="J277" i="46"/>
  <c r="I277" i="46"/>
  <c r="H277" i="46"/>
  <c r="G277" i="46"/>
  <c r="F277" i="46"/>
  <c r="E277" i="46"/>
  <c r="D277" i="46"/>
  <c r="O276" i="46"/>
  <c r="N276" i="46"/>
  <c r="M276" i="46"/>
  <c r="L276" i="46"/>
  <c r="K276" i="46"/>
  <c r="J276" i="46"/>
  <c r="I276" i="46"/>
  <c r="H276" i="46"/>
  <c r="G276" i="46"/>
  <c r="F276" i="46"/>
  <c r="E276" i="46"/>
  <c r="D276" i="46"/>
  <c r="O275" i="46"/>
  <c r="N275" i="46"/>
  <c r="M275" i="46"/>
  <c r="L275" i="46"/>
  <c r="K275" i="46"/>
  <c r="J275" i="46"/>
  <c r="I275" i="46"/>
  <c r="H275" i="46"/>
  <c r="G275" i="46"/>
  <c r="F275" i="46"/>
  <c r="E275" i="46"/>
  <c r="D275" i="46"/>
  <c r="O274" i="46"/>
  <c r="N274" i="46"/>
  <c r="M274" i="46"/>
  <c r="L274" i="46"/>
  <c r="K274" i="46"/>
  <c r="J274" i="46"/>
  <c r="I274" i="46"/>
  <c r="H274" i="46"/>
  <c r="G274" i="46"/>
  <c r="F274" i="46"/>
  <c r="E274" i="46"/>
  <c r="D274" i="46"/>
  <c r="O273" i="46"/>
  <c r="O287" i="46" s="1"/>
  <c r="N273" i="46"/>
  <c r="M273" i="46"/>
  <c r="L273" i="46"/>
  <c r="K273" i="46"/>
  <c r="K287" i="46" s="1"/>
  <c r="J273" i="46"/>
  <c r="I273" i="46"/>
  <c r="H273" i="46"/>
  <c r="G273" i="46"/>
  <c r="G287" i="46" s="1"/>
  <c r="F273" i="46"/>
  <c r="F287" i="46" s="1"/>
  <c r="E273" i="46"/>
  <c r="E287" i="46" s="1"/>
  <c r="O262" i="46"/>
  <c r="N262" i="46"/>
  <c r="M262" i="46"/>
  <c r="L262" i="46"/>
  <c r="K262" i="46"/>
  <c r="J262" i="46"/>
  <c r="I262" i="46"/>
  <c r="H262" i="46"/>
  <c r="G262" i="46"/>
  <c r="F262" i="46"/>
  <c r="E262" i="46"/>
  <c r="D262" i="46"/>
  <c r="O261" i="46"/>
  <c r="N261" i="46"/>
  <c r="M261" i="46"/>
  <c r="L261" i="46"/>
  <c r="K261" i="46"/>
  <c r="J261" i="46"/>
  <c r="I261" i="46"/>
  <c r="H261" i="46"/>
  <c r="G261" i="46"/>
  <c r="F261" i="46"/>
  <c r="E261" i="46"/>
  <c r="D261" i="46"/>
  <c r="O260" i="46"/>
  <c r="N260" i="46"/>
  <c r="M260" i="46"/>
  <c r="L260" i="46"/>
  <c r="K260" i="46"/>
  <c r="J260" i="46"/>
  <c r="I260" i="46"/>
  <c r="H260" i="46"/>
  <c r="G260" i="46"/>
  <c r="F260" i="46"/>
  <c r="E260" i="46"/>
  <c r="D260" i="46"/>
  <c r="O259" i="46"/>
  <c r="N259" i="46"/>
  <c r="M259" i="46"/>
  <c r="L259" i="46"/>
  <c r="K259" i="46"/>
  <c r="J259" i="46"/>
  <c r="I259" i="46"/>
  <c r="H259" i="46"/>
  <c r="G259" i="46"/>
  <c r="F259" i="46"/>
  <c r="E259" i="46"/>
  <c r="D259" i="46"/>
  <c r="O258" i="46"/>
  <c r="N258" i="46"/>
  <c r="M258" i="46"/>
  <c r="L258" i="46"/>
  <c r="K258" i="46"/>
  <c r="J258" i="46"/>
  <c r="I258" i="46"/>
  <c r="H258" i="46"/>
  <c r="G258" i="46"/>
  <c r="F258" i="46"/>
  <c r="E258" i="46"/>
  <c r="D258" i="46"/>
  <c r="O257" i="46"/>
  <c r="N257" i="46"/>
  <c r="M257" i="46"/>
  <c r="L257" i="46"/>
  <c r="K257" i="46"/>
  <c r="J257" i="46"/>
  <c r="I257" i="46"/>
  <c r="H257" i="46"/>
  <c r="G257" i="46"/>
  <c r="F257" i="46"/>
  <c r="E257" i="46"/>
  <c r="D257" i="46"/>
  <c r="O256" i="46"/>
  <c r="N256" i="46"/>
  <c r="M256" i="46"/>
  <c r="L256" i="46"/>
  <c r="K256" i="46"/>
  <c r="J256" i="46"/>
  <c r="I256" i="46"/>
  <c r="H256" i="46"/>
  <c r="G256" i="46"/>
  <c r="F256" i="46"/>
  <c r="E256" i="46"/>
  <c r="D256" i="46"/>
  <c r="O255" i="46"/>
  <c r="N255" i="46"/>
  <c r="M255" i="46"/>
  <c r="L255" i="46"/>
  <c r="K255" i="46"/>
  <c r="J255" i="46"/>
  <c r="I255" i="46"/>
  <c r="H255" i="46"/>
  <c r="G255" i="46"/>
  <c r="F255" i="46"/>
  <c r="E255" i="46"/>
  <c r="L287" i="46" l="1"/>
  <c r="N287" i="46"/>
  <c r="H287" i="46"/>
  <c r="I287" i="46"/>
  <c r="J287" i="46"/>
  <c r="E376" i="33"/>
  <c r="E377" i="33"/>
  <c r="F377" i="33"/>
  <c r="F376" i="33"/>
  <c r="N203" i="33"/>
  <c r="N299" i="33"/>
  <c r="O34" i="33"/>
  <c r="O100" i="6" s="1"/>
  <c r="O10" i="33"/>
  <c r="N227" i="33"/>
  <c r="M227" i="33"/>
  <c r="M287" i="46"/>
  <c r="N58" i="33"/>
  <c r="N100" i="5" s="1"/>
  <c r="M130" i="33"/>
  <c r="M100" i="10" s="1"/>
  <c r="N275" i="33"/>
  <c r="M275" i="33"/>
  <c r="N318" i="33"/>
  <c r="M299" i="33"/>
  <c r="N34" i="33"/>
  <c r="N100" i="6" s="1"/>
  <c r="M34" i="33"/>
  <c r="M100" i="6" s="1"/>
  <c r="N131" i="33"/>
  <c r="I269" i="46"/>
  <c r="H269" i="46"/>
  <c r="N130" i="33"/>
  <c r="N100" i="10" s="1"/>
  <c r="O322" i="33"/>
  <c r="O100" i="19" s="1"/>
  <c r="N82" i="33"/>
  <c r="N100" i="7" s="1"/>
  <c r="N174" i="33"/>
  <c r="M203" i="33"/>
  <c r="O82" i="33"/>
  <c r="O100" i="7" s="1"/>
  <c r="M96" i="9"/>
  <c r="O130" i="33"/>
  <c r="O100" i="10" s="1"/>
  <c r="M174" i="33"/>
  <c r="M58" i="33"/>
  <c r="M100" i="5" s="1"/>
  <c r="O96" i="9"/>
  <c r="M322" i="33"/>
  <c r="M100" i="19" s="1"/>
  <c r="O58" i="33"/>
  <c r="O100" i="5" s="1"/>
  <c r="N322" i="33"/>
  <c r="N100" i="19" s="1"/>
  <c r="M270" i="33"/>
  <c r="M318" i="33"/>
  <c r="M106" i="33"/>
  <c r="M100" i="9" s="1"/>
  <c r="O317" i="33"/>
  <c r="N222" i="33"/>
  <c r="M317" i="33"/>
  <c r="M126" i="33"/>
  <c r="N106" i="33"/>
  <c r="N100" i="9" s="1"/>
  <c r="M150" i="33"/>
  <c r="O106" i="33"/>
  <c r="O100" i="9" s="1"/>
  <c r="M323" i="33"/>
  <c r="N29" i="33"/>
  <c r="E269" i="46"/>
  <c r="N270" i="33"/>
  <c r="N251" i="33"/>
  <c r="M251" i="33"/>
  <c r="M222" i="33"/>
  <c r="J364" i="33"/>
  <c r="N96" i="9"/>
  <c r="N83" i="33"/>
  <c r="N56" i="33"/>
  <c r="N98" i="5" s="1"/>
  <c r="O5" i="33"/>
  <c r="N5" i="33"/>
  <c r="N10" i="33"/>
  <c r="N100" i="29" s="1"/>
  <c r="J367" i="33"/>
  <c r="J369" i="33"/>
  <c r="L363" i="33"/>
  <c r="L379" i="34" s="1"/>
  <c r="K364" i="33"/>
  <c r="J370" i="33"/>
  <c r="K363" i="33"/>
  <c r="K379" i="34" s="1"/>
  <c r="L367" i="33"/>
  <c r="K369" i="33"/>
  <c r="K367" i="33"/>
  <c r="L370" i="33"/>
  <c r="J363" i="33"/>
  <c r="J379" i="34" s="1"/>
  <c r="O11" i="33"/>
  <c r="L369" i="33"/>
  <c r="K370" i="33"/>
  <c r="L364" i="33"/>
  <c r="K15" i="34"/>
  <c r="K373" i="34" s="1"/>
  <c r="L15" i="34"/>
  <c r="L373" i="34" s="1"/>
  <c r="J15" i="34"/>
  <c r="J373" i="34" s="1"/>
  <c r="N179" i="33"/>
  <c r="M179" i="33"/>
  <c r="O59" i="33"/>
  <c r="N296" i="33"/>
  <c r="M296" i="33"/>
  <c r="M77" i="33"/>
  <c r="N77" i="33"/>
  <c r="N53" i="33"/>
  <c r="O29" i="33"/>
  <c r="J100" i="25"/>
  <c r="J100" i="29"/>
  <c r="O60" i="33"/>
  <c r="O102" i="5" s="1"/>
  <c r="L102" i="5"/>
  <c r="N125" i="33"/>
  <c r="O56" i="33"/>
  <c r="O98" i="5" s="1"/>
  <c r="L98" i="5"/>
  <c r="M78" i="33"/>
  <c r="M82" i="33"/>
  <c r="M100" i="7" s="1"/>
  <c r="M107" i="33"/>
  <c r="O125" i="33"/>
  <c r="M246" i="33"/>
  <c r="N11" i="33"/>
  <c r="O100" i="25"/>
  <c r="O100" i="29"/>
  <c r="L100" i="29"/>
  <c r="L100" i="25"/>
  <c r="O131" i="33"/>
  <c r="O35" i="33"/>
  <c r="J96" i="5"/>
  <c r="N126" i="33"/>
  <c r="N60" i="33"/>
  <c r="N102" i="5" s="1"/>
  <c r="M59" i="33"/>
  <c r="O53" i="33"/>
  <c r="N78" i="33"/>
  <c r="N107" i="33"/>
  <c r="M125" i="33"/>
  <c r="N246" i="33"/>
  <c r="K100" i="25"/>
  <c r="K100" i="29"/>
  <c r="M11" i="33"/>
  <c r="M100" i="25"/>
  <c r="M100" i="29"/>
  <c r="O323" i="33"/>
  <c r="O83" i="33"/>
  <c r="G269" i="46"/>
  <c r="P278" i="46"/>
  <c r="F269" i="46"/>
  <c r="P275" i="46"/>
  <c r="P277" i="46"/>
  <c r="P279" i="46"/>
  <c r="P282" i="46"/>
  <c r="P284" i="46"/>
  <c r="N150" i="33"/>
  <c r="O12" i="33"/>
  <c r="N12" i="33"/>
  <c r="M12" i="33"/>
  <c r="O8" i="33"/>
  <c r="N8" i="33"/>
  <c r="M8" i="33"/>
  <c r="N347" i="33"/>
  <c r="M347" i="33"/>
  <c r="N343" i="33"/>
  <c r="M343" i="33"/>
  <c r="O324" i="33"/>
  <c r="N324" i="33"/>
  <c r="M324" i="33"/>
  <c r="O320" i="33"/>
  <c r="N320" i="33"/>
  <c r="M320" i="33"/>
  <c r="O300" i="33"/>
  <c r="N300" i="33"/>
  <c r="M300" i="33"/>
  <c r="O276" i="33"/>
  <c r="N276" i="33"/>
  <c r="M276" i="33"/>
  <c r="O272" i="33"/>
  <c r="N272" i="33"/>
  <c r="M272" i="33"/>
  <c r="O252" i="33"/>
  <c r="N252" i="33"/>
  <c r="M252" i="33"/>
  <c r="O248" i="33"/>
  <c r="N248" i="33"/>
  <c r="M248" i="33"/>
  <c r="O228" i="33"/>
  <c r="N228" i="33"/>
  <c r="M228" i="33"/>
  <c r="O224" i="33"/>
  <c r="N224" i="33"/>
  <c r="M224" i="33"/>
  <c r="O204" i="33"/>
  <c r="N204" i="33"/>
  <c r="M204" i="33"/>
  <c r="O200" i="33"/>
  <c r="N200" i="33"/>
  <c r="M200" i="33"/>
  <c r="O180" i="33"/>
  <c r="N180" i="33"/>
  <c r="M180" i="33"/>
  <c r="O176" i="33"/>
  <c r="N176" i="33"/>
  <c r="M176" i="33"/>
  <c r="O156" i="33"/>
  <c r="N156" i="33"/>
  <c r="M156" i="33"/>
  <c r="O152" i="33"/>
  <c r="N152" i="33"/>
  <c r="M152" i="33"/>
  <c r="O132" i="33"/>
  <c r="N132" i="33"/>
  <c r="M132" i="33"/>
  <c r="O128" i="33"/>
  <c r="N128" i="33"/>
  <c r="M128" i="33"/>
  <c r="O108" i="33"/>
  <c r="N108" i="33"/>
  <c r="M108" i="33"/>
  <c r="O84" i="33"/>
  <c r="N84" i="33"/>
  <c r="M84" i="33"/>
  <c r="O80" i="33"/>
  <c r="N80" i="33"/>
  <c r="M80" i="33"/>
  <c r="O54" i="33"/>
  <c r="O96" i="5" s="1"/>
  <c r="N54" i="33"/>
  <c r="M54" i="33"/>
  <c r="M96" i="5" s="1"/>
  <c r="N35" i="33"/>
  <c r="O36" i="33"/>
  <c r="N36" i="33"/>
  <c r="M36" i="33"/>
  <c r="O30" i="33"/>
  <c r="O96" i="6" s="1"/>
  <c r="N30" i="33"/>
  <c r="N96" i="6" s="1"/>
  <c r="M30" i="33"/>
  <c r="M96" i="6" s="1"/>
  <c r="P281" i="46"/>
  <c r="P276" i="46"/>
  <c r="P285" i="46"/>
  <c r="P283" i="46"/>
  <c r="P280" i="46"/>
  <c r="AB8" i="84"/>
  <c r="AB7" i="84"/>
  <c r="AB6" i="84"/>
  <c r="P377" i="33" l="1"/>
  <c r="P376" i="33"/>
  <c r="N100" i="25"/>
  <c r="P179" i="33"/>
  <c r="N364" i="33"/>
  <c r="O364" i="33"/>
  <c r="M369" i="33"/>
  <c r="M370" i="33"/>
  <c r="N370" i="33"/>
  <c r="O367" i="33"/>
  <c r="M363" i="33"/>
  <c r="M379" i="34" s="1"/>
  <c r="O363" i="33"/>
  <c r="O379" i="34" s="1"/>
  <c r="O370" i="33"/>
  <c r="M367" i="33"/>
  <c r="O369" i="33"/>
  <c r="N367" i="33"/>
  <c r="N369" i="33"/>
  <c r="N363" i="33"/>
  <c r="N379" i="34" s="1"/>
  <c r="M364" i="33"/>
  <c r="O15" i="34"/>
  <c r="O373" i="34" s="1"/>
  <c r="N15" i="34"/>
  <c r="N373" i="34" s="1"/>
  <c r="M15" i="34"/>
  <c r="N96" i="5"/>
  <c r="C34" i="36"/>
  <c r="P15" i="34" l="1"/>
  <c r="M373" i="34"/>
  <c r="P373" i="34" s="1"/>
  <c r="Q373" i="34" s="1"/>
  <c r="P364" i="33"/>
  <c r="P369" i="33"/>
  <c r="J18" i="2" s="1"/>
  <c r="J24" i="2" s="1"/>
  <c r="S369" i="33"/>
  <c r="P363" i="33"/>
  <c r="P370" i="33"/>
  <c r="P367" i="33"/>
  <c r="O19" i="19"/>
  <c r="N19" i="19"/>
  <c r="M19" i="19"/>
  <c r="L19" i="19"/>
  <c r="K19" i="19"/>
  <c r="J19" i="19"/>
  <c r="I19" i="19"/>
  <c r="H19" i="19"/>
  <c r="G19" i="19"/>
  <c r="F19" i="19"/>
  <c r="E19" i="19"/>
  <c r="D19" i="19"/>
  <c r="O19" i="18"/>
  <c r="N19" i="18"/>
  <c r="M19" i="18"/>
  <c r="L19" i="18"/>
  <c r="K19" i="18"/>
  <c r="J19" i="18"/>
  <c r="I19" i="18"/>
  <c r="H19" i="18"/>
  <c r="G19" i="18"/>
  <c r="F19" i="18"/>
  <c r="E19" i="18"/>
  <c r="D19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O18" i="15"/>
  <c r="N18" i="15"/>
  <c r="M18" i="15"/>
  <c r="L18" i="15"/>
  <c r="K18" i="15"/>
  <c r="J18" i="15"/>
  <c r="I18" i="15"/>
  <c r="H18" i="15"/>
  <c r="G18" i="15"/>
  <c r="F18" i="15"/>
  <c r="E18" i="15"/>
  <c r="D18" i="15"/>
  <c r="O18" i="17"/>
  <c r="N18" i="17"/>
  <c r="M18" i="17"/>
  <c r="L18" i="17"/>
  <c r="K18" i="17"/>
  <c r="J18" i="17"/>
  <c r="I18" i="17"/>
  <c r="H18" i="17"/>
  <c r="G18" i="17"/>
  <c r="F18" i="17"/>
  <c r="E18" i="17"/>
  <c r="D18" i="17"/>
  <c r="O18" i="14"/>
  <c r="N18" i="14"/>
  <c r="M18" i="14"/>
  <c r="L18" i="14"/>
  <c r="K18" i="14"/>
  <c r="J18" i="14"/>
  <c r="I18" i="14"/>
  <c r="H18" i="14"/>
  <c r="G18" i="14"/>
  <c r="F18" i="14"/>
  <c r="E18" i="14"/>
  <c r="D18" i="14"/>
  <c r="O18" i="13"/>
  <c r="N18" i="13"/>
  <c r="M18" i="13"/>
  <c r="L18" i="13"/>
  <c r="K18" i="13"/>
  <c r="J18" i="13"/>
  <c r="I18" i="13"/>
  <c r="H18" i="13"/>
  <c r="G18" i="13"/>
  <c r="F18" i="13"/>
  <c r="E18" i="13"/>
  <c r="D18" i="13"/>
  <c r="O18" i="12"/>
  <c r="N18" i="12"/>
  <c r="M18" i="12"/>
  <c r="L18" i="12"/>
  <c r="K18" i="12"/>
  <c r="J18" i="12"/>
  <c r="I18" i="12"/>
  <c r="H18" i="12"/>
  <c r="G18" i="12"/>
  <c r="F18" i="12"/>
  <c r="E18" i="12"/>
  <c r="D18" i="12"/>
  <c r="O18" i="11"/>
  <c r="N18" i="11"/>
  <c r="M18" i="11"/>
  <c r="L18" i="11"/>
  <c r="K18" i="11"/>
  <c r="J18" i="11"/>
  <c r="I18" i="11"/>
  <c r="H18" i="11"/>
  <c r="G18" i="11"/>
  <c r="F18" i="11"/>
  <c r="E18" i="11"/>
  <c r="D18" i="11"/>
  <c r="O18" i="10"/>
  <c r="N18" i="10"/>
  <c r="M18" i="10"/>
  <c r="L18" i="10"/>
  <c r="K18" i="10"/>
  <c r="J18" i="10"/>
  <c r="I18" i="10"/>
  <c r="H18" i="10"/>
  <c r="G18" i="10"/>
  <c r="F18" i="10"/>
  <c r="E18" i="10"/>
  <c r="D18" i="10"/>
  <c r="O18" i="19"/>
  <c r="N18" i="19"/>
  <c r="M18" i="19"/>
  <c r="L18" i="19"/>
  <c r="K18" i="19"/>
  <c r="J18" i="19"/>
  <c r="I18" i="19"/>
  <c r="H18" i="19"/>
  <c r="G18" i="19"/>
  <c r="F18" i="19"/>
  <c r="E18" i="19"/>
  <c r="D18" i="19"/>
  <c r="E36" i="68"/>
  <c r="G108" i="10" l="1"/>
  <c r="G39" i="10"/>
  <c r="O108" i="10"/>
  <c r="O39" i="10"/>
  <c r="H108" i="10"/>
  <c r="H39" i="10"/>
  <c r="L108" i="10"/>
  <c r="L39" i="10"/>
  <c r="M108" i="10"/>
  <c r="M39" i="10"/>
  <c r="E108" i="10"/>
  <c r="E39" i="10"/>
  <c r="I108" i="10"/>
  <c r="I39" i="10"/>
  <c r="F108" i="10"/>
  <c r="F39" i="10"/>
  <c r="J108" i="10"/>
  <c r="J39" i="10"/>
  <c r="N108" i="10"/>
  <c r="N39" i="10"/>
  <c r="K108" i="10"/>
  <c r="K39" i="10"/>
  <c r="P18" i="10"/>
  <c r="Q18" i="10" s="1"/>
  <c r="D108" i="10"/>
  <c r="D39" i="10"/>
  <c r="Q369" i="34"/>
  <c r="J25" i="2"/>
  <c r="J27" i="2"/>
  <c r="F18" i="2"/>
  <c r="F24" i="2" s="1"/>
  <c r="Q367" i="34"/>
  <c r="Q363" i="33"/>
  <c r="Q363" i="34"/>
  <c r="P379" i="34"/>
  <c r="N18" i="2"/>
  <c r="N24" i="2" s="1"/>
  <c r="N27" i="2" s="1"/>
  <c r="D6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B183" i="46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B182" i="46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B181" i="46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B180" i="46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B179" i="46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B178" i="46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B177" i="46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B176" i="46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B175" i="46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B174" i="46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B173" i="46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B172" i="46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B171" i="46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B170" i="46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B169" i="46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B168" i="46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B167" i="46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B166" i="46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B165" i="46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B164" i="46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B163" i="46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B162" i="46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B161" i="46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B160" i="46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B159" i="46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B158" i="46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B157" i="46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B156" i="46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B155" i="46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B154" i="46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B153" i="46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08" i="20"/>
  <c r="C99" i="20"/>
  <c r="C95" i="20"/>
  <c r="C54" i="20"/>
  <c r="C57" i="20" s="1"/>
  <c r="C50" i="20"/>
  <c r="C39" i="20"/>
  <c r="C30" i="20"/>
  <c r="C26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C20" i="39" s="1"/>
  <c r="B21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12" i="20"/>
  <c r="B12" i="28" s="1"/>
  <c r="B8" i="20"/>
  <c r="O6" i="20"/>
  <c r="N6" i="20"/>
  <c r="M6" i="20"/>
  <c r="L6" i="20"/>
  <c r="K6" i="20"/>
  <c r="J6" i="20"/>
  <c r="I6" i="20"/>
  <c r="H6" i="20"/>
  <c r="G6" i="20"/>
  <c r="F6" i="20"/>
  <c r="E6" i="20"/>
  <c r="B6" i="20"/>
  <c r="B6" i="28" s="1"/>
  <c r="N97" i="80"/>
  <c r="M97" i="80"/>
  <c r="L97" i="80"/>
  <c r="K97" i="80"/>
  <c r="J97" i="80"/>
  <c r="I97" i="80"/>
  <c r="H97" i="80"/>
  <c r="G97" i="80"/>
  <c r="F97" i="80"/>
  <c r="E97" i="80"/>
  <c r="D97" i="80"/>
  <c r="C97" i="80"/>
  <c r="N96" i="80"/>
  <c r="M96" i="80"/>
  <c r="L96" i="80"/>
  <c r="K96" i="80"/>
  <c r="J96" i="80"/>
  <c r="I96" i="80"/>
  <c r="H96" i="80"/>
  <c r="G96" i="80"/>
  <c r="F96" i="80"/>
  <c r="E96" i="80"/>
  <c r="D96" i="80"/>
  <c r="C96" i="80"/>
  <c r="N93" i="80"/>
  <c r="M93" i="80"/>
  <c r="L93" i="80"/>
  <c r="K93" i="80"/>
  <c r="J93" i="80"/>
  <c r="I93" i="80"/>
  <c r="H93" i="80"/>
  <c r="G93" i="80"/>
  <c r="F93" i="80"/>
  <c r="E93" i="80"/>
  <c r="B8" i="28" l="1"/>
  <c r="B8" i="46" s="1"/>
  <c r="C8" i="20"/>
  <c r="D187" i="73"/>
  <c r="F187" i="73"/>
  <c r="J187" i="73"/>
  <c r="N187" i="73"/>
  <c r="G187" i="73"/>
  <c r="K187" i="73"/>
  <c r="H187" i="73"/>
  <c r="L187" i="73"/>
  <c r="C187" i="73"/>
  <c r="E187" i="73"/>
  <c r="I187" i="73"/>
  <c r="M187" i="73"/>
  <c r="F27" i="2"/>
  <c r="F25" i="2"/>
  <c r="N25" i="2"/>
  <c r="O50" i="73"/>
  <c r="O54" i="73"/>
  <c r="O51" i="73"/>
  <c r="O55" i="73"/>
  <c r="O53" i="73"/>
  <c r="O52" i="73"/>
  <c r="O56" i="73"/>
  <c r="B12" i="46"/>
  <c r="B13" i="28"/>
  <c r="B13" i="46" s="1"/>
  <c r="P21" i="20"/>
  <c r="B152" i="46"/>
  <c r="B150" i="46" s="1"/>
  <c r="B200" i="46" s="1"/>
  <c r="B201" i="46"/>
  <c r="B6" i="46"/>
  <c r="B7" i="28"/>
  <c r="B7" i="46" s="1"/>
  <c r="B21" i="28"/>
  <c r="B21" i="46" s="1"/>
  <c r="B20" i="39"/>
  <c r="P142" i="20"/>
  <c r="G5" i="19"/>
  <c r="G95" i="19" s="1"/>
  <c r="C199" i="73" l="1"/>
  <c r="C202" i="73" s="1"/>
  <c r="C204" i="73" s="1"/>
  <c r="O187" i="73"/>
  <c r="B4" i="46"/>
  <c r="Q142" i="20"/>
  <c r="F31" i="2"/>
  <c r="B4" i="28"/>
  <c r="B184" i="28"/>
  <c r="E236" i="46"/>
  <c r="F236" i="46"/>
  <c r="G236" i="46"/>
  <c r="H236" i="46"/>
  <c r="I236" i="46"/>
  <c r="J236" i="46"/>
  <c r="K236" i="46"/>
  <c r="L236" i="46"/>
  <c r="M236" i="46"/>
  <c r="N236" i="46"/>
  <c r="O236" i="46"/>
  <c r="N198" i="73"/>
  <c r="O198" i="73" s="1"/>
  <c r="D229" i="46"/>
  <c r="J188" i="73" l="1"/>
  <c r="N188" i="73"/>
  <c r="F188" i="73"/>
  <c r="G188" i="73"/>
  <c r="K188" i="73"/>
  <c r="E188" i="73"/>
  <c r="H188" i="73"/>
  <c r="L188" i="73"/>
  <c r="D188" i="73"/>
  <c r="I188" i="73"/>
  <c r="M188" i="73"/>
  <c r="L196" i="73"/>
  <c r="N196" i="73"/>
  <c r="M196" i="73"/>
  <c r="L192" i="73"/>
  <c r="I192" i="73"/>
  <c r="M192" i="73"/>
  <c r="H192" i="73"/>
  <c r="J192" i="73"/>
  <c r="N192" i="73"/>
  <c r="K192" i="73"/>
  <c r="K195" i="73"/>
  <c r="M195" i="73"/>
  <c r="N195" i="73"/>
  <c r="L195" i="73"/>
  <c r="G191" i="73"/>
  <c r="J191" i="73"/>
  <c r="N191" i="73"/>
  <c r="K191" i="73"/>
  <c r="L191" i="73"/>
  <c r="H191" i="73"/>
  <c r="I191" i="73"/>
  <c r="M191" i="73"/>
  <c r="K190" i="73"/>
  <c r="G190" i="73"/>
  <c r="H190" i="73"/>
  <c r="L190" i="73"/>
  <c r="F190" i="73"/>
  <c r="I190" i="73"/>
  <c r="M190" i="73"/>
  <c r="J190" i="73"/>
  <c r="N190" i="73"/>
  <c r="R198" i="73"/>
  <c r="N194" i="73"/>
  <c r="K194" i="73"/>
  <c r="J194" i="73"/>
  <c r="L194" i="73"/>
  <c r="M194" i="73"/>
  <c r="N197" i="73"/>
  <c r="M197" i="73"/>
  <c r="I193" i="73"/>
  <c r="N193" i="73"/>
  <c r="K193" i="73"/>
  <c r="L193" i="73"/>
  <c r="J193" i="73"/>
  <c r="M193" i="73"/>
  <c r="E189" i="73"/>
  <c r="J189" i="73"/>
  <c r="N189" i="73"/>
  <c r="G189" i="73"/>
  <c r="K189" i="73"/>
  <c r="H189" i="73"/>
  <c r="L189" i="73"/>
  <c r="F189" i="73"/>
  <c r="I189" i="73"/>
  <c r="M189" i="73"/>
  <c r="P13" i="70"/>
  <c r="P12" i="70"/>
  <c r="T10" i="70"/>
  <c r="T9" i="70"/>
  <c r="P3" i="70"/>
  <c r="O197" i="73" l="1"/>
  <c r="O194" i="73"/>
  <c r="O188" i="73"/>
  <c r="D199" i="73"/>
  <c r="D202" i="73" s="1"/>
  <c r="D204" i="73" s="1"/>
  <c r="K199" i="73"/>
  <c r="K202" i="73" s="1"/>
  <c r="K204" i="73" s="1"/>
  <c r="J199" i="73"/>
  <c r="J202" i="73" s="1"/>
  <c r="J204" i="73" s="1"/>
  <c r="O189" i="73"/>
  <c r="O190" i="73"/>
  <c r="O196" i="73"/>
  <c r="L199" i="73"/>
  <c r="L202" i="73" s="1"/>
  <c r="L204" i="73" s="1"/>
  <c r="G199" i="73"/>
  <c r="G202" i="73" s="1"/>
  <c r="G204" i="73" s="1"/>
  <c r="O193" i="73"/>
  <c r="M199" i="73"/>
  <c r="M202" i="73" s="1"/>
  <c r="M204" i="73" s="1"/>
  <c r="H199" i="73"/>
  <c r="H202" i="73" s="1"/>
  <c r="H204" i="73" s="1"/>
  <c r="F199" i="73"/>
  <c r="F202" i="73" s="1"/>
  <c r="F204" i="73" s="1"/>
  <c r="R187" i="73"/>
  <c r="O191" i="73"/>
  <c r="O195" i="73"/>
  <c r="O192" i="73"/>
  <c r="I199" i="73"/>
  <c r="I202" i="73" s="1"/>
  <c r="I204" i="73" s="1"/>
  <c r="E199" i="73"/>
  <c r="E202" i="73" s="1"/>
  <c r="E204" i="73" s="1"/>
  <c r="N199" i="73"/>
  <c r="N202" i="73" s="1"/>
  <c r="N204" i="73" s="1"/>
  <c r="P14" i="70"/>
  <c r="R197" i="73" l="1"/>
  <c r="R194" i="73"/>
  <c r="R192" i="73"/>
  <c r="R195" i="73"/>
  <c r="R193" i="73"/>
  <c r="R190" i="73"/>
  <c r="R191" i="73"/>
  <c r="R189" i="73"/>
  <c r="O185" i="73"/>
  <c r="O199" i="73" s="1"/>
  <c r="O202" i="73" s="1"/>
  <c r="O204" i="73" s="1"/>
  <c r="R196" i="73"/>
  <c r="R188" i="73" l="1"/>
  <c r="P8" i="81"/>
  <c r="P7" i="81"/>
  <c r="S11" i="46"/>
  <c r="R11" i="46"/>
  <c r="N12" i="81"/>
  <c r="O226" i="46" l="1"/>
  <c r="N226" i="46"/>
  <c r="M226" i="46"/>
  <c r="L226" i="46"/>
  <c r="K226" i="46"/>
  <c r="J226" i="46"/>
  <c r="I226" i="46"/>
  <c r="H226" i="46"/>
  <c r="G226" i="46"/>
  <c r="F226" i="46"/>
  <c r="E226" i="46"/>
  <c r="D226" i="46"/>
  <c r="O229" i="46"/>
  <c r="N229" i="46"/>
  <c r="M229" i="46"/>
  <c r="L229" i="46"/>
  <c r="K229" i="46"/>
  <c r="J229" i="46"/>
  <c r="I229" i="46"/>
  <c r="H229" i="46"/>
  <c r="G229" i="46"/>
  <c r="F229" i="46"/>
  <c r="E229" i="46"/>
  <c r="O227" i="46"/>
  <c r="N227" i="46"/>
  <c r="M227" i="46"/>
  <c r="L227" i="46"/>
  <c r="K227" i="46"/>
  <c r="J227" i="46"/>
  <c r="I227" i="46"/>
  <c r="H227" i="46"/>
  <c r="G227" i="46"/>
  <c r="F227" i="46"/>
  <c r="E227" i="46"/>
  <c r="D227" i="46"/>
  <c r="D228" i="46" l="1"/>
  <c r="D230" i="46" s="1"/>
  <c r="H228" i="46"/>
  <c r="L228" i="46"/>
  <c r="E228" i="46"/>
  <c r="I228" i="46"/>
  <c r="M228" i="46"/>
  <c r="F228" i="46"/>
  <c r="J228" i="46"/>
  <c r="N228" i="46"/>
  <c r="G228" i="46"/>
  <c r="K228" i="46"/>
  <c r="O228" i="46"/>
  <c r="Q66" i="73" l="1"/>
  <c r="Q69" i="73" s="1"/>
  <c r="D255" i="46"/>
  <c r="D273" i="46"/>
  <c r="D287" i="46" s="1"/>
  <c r="Q68" i="73" l="1"/>
  <c r="P255" i="46"/>
  <c r="D269" i="46"/>
  <c r="F36" i="68"/>
  <c r="G36" i="68"/>
  <c r="H36" i="68"/>
  <c r="I36" i="68"/>
  <c r="J36" i="68"/>
  <c r="K36" i="68"/>
  <c r="L36" i="68"/>
  <c r="M36" i="68"/>
  <c r="N36" i="68"/>
  <c r="O36" i="68"/>
  <c r="P36" i="68"/>
  <c r="R51" i="46" l="1"/>
  <c r="R55" i="46"/>
  <c r="R56" i="46"/>
  <c r="R57" i="46"/>
  <c r="R74" i="46"/>
  <c r="R78" i="46"/>
  <c r="R79" i="46"/>
  <c r="R80" i="46"/>
  <c r="R97" i="46"/>
  <c r="R101" i="46"/>
  <c r="R102" i="46"/>
  <c r="R103" i="46"/>
  <c r="R120" i="46"/>
  <c r="R122" i="46"/>
  <c r="R124" i="46"/>
  <c r="R125" i="46"/>
  <c r="R126" i="46"/>
  <c r="R143" i="46"/>
  <c r="R145" i="46"/>
  <c r="W64" i="28"/>
  <c r="X64" i="28" s="1"/>
  <c r="W68" i="28"/>
  <c r="X68" i="28" s="1"/>
  <c r="R64" i="63"/>
  <c r="D26" i="36"/>
  <c r="D49" i="36" s="1"/>
  <c r="D72" i="36" s="1"/>
  <c r="F374" i="34" l="1"/>
  <c r="E374" i="34"/>
  <c r="I16" i="34" l="1"/>
  <c r="I374" i="34" s="1"/>
  <c r="H16" i="34"/>
  <c r="H374" i="34" s="1"/>
  <c r="G16" i="34"/>
  <c r="G374" i="34" s="1"/>
  <c r="L19" i="81"/>
  <c r="F19" i="81"/>
  <c r="E19" i="81"/>
  <c r="D19" i="81"/>
  <c r="C19" i="81"/>
  <c r="H67" i="81"/>
  <c r="H19" i="81" s="1"/>
  <c r="I67" i="81"/>
  <c r="I19" i="81" s="1"/>
  <c r="J67" i="81"/>
  <c r="J19" i="81" s="1"/>
  <c r="K67" i="81"/>
  <c r="K19" i="81" s="1"/>
  <c r="L67" i="81"/>
  <c r="M67" i="81"/>
  <c r="M19" i="81" s="1"/>
  <c r="G67" i="81"/>
  <c r="G19" i="81" s="1"/>
  <c r="J16" i="34" l="1"/>
  <c r="J374" i="34" s="1"/>
  <c r="K16" i="34"/>
  <c r="K374" i="34" s="1"/>
  <c r="L16" i="34"/>
  <c r="L374" i="34" s="1"/>
  <c r="N19" i="81"/>
  <c r="N16" i="34" l="1"/>
  <c r="N374" i="34" s="1"/>
  <c r="M16" i="34"/>
  <c r="M374" i="34" s="1"/>
  <c r="O16" i="34"/>
  <c r="O374" i="34" s="1"/>
  <c r="P48" i="81"/>
  <c r="B36" i="81" s="1"/>
  <c r="P374" i="34" l="1"/>
  <c r="Q374" i="34" s="1"/>
  <c r="N67" i="81"/>
  <c r="C101" i="63" l="1"/>
  <c r="C55" i="63"/>
  <c r="B55" i="63"/>
  <c r="C54" i="63"/>
  <c r="B54" i="63"/>
  <c r="C53" i="63"/>
  <c r="B53" i="63"/>
  <c r="C32" i="63"/>
  <c r="C30" i="63"/>
  <c r="C78" i="26"/>
  <c r="B1" i="6" l="1"/>
  <c r="P206" i="46" l="1"/>
  <c r="O8" i="15" l="1"/>
  <c r="N8" i="15"/>
  <c r="M8" i="15"/>
  <c r="L8" i="15"/>
  <c r="K8" i="15"/>
  <c r="J8" i="15"/>
  <c r="I8" i="15"/>
  <c r="H8" i="15"/>
  <c r="G8" i="15"/>
  <c r="F8" i="15"/>
  <c r="E8" i="15"/>
  <c r="D8" i="15"/>
  <c r="O96" i="80"/>
  <c r="O97" i="80"/>
  <c r="P8" i="15" l="1"/>
  <c r="Q8" i="15" s="1"/>
  <c r="P42" i="84"/>
  <c r="U42" i="84"/>
  <c r="Y42" i="84"/>
  <c r="R42" i="84"/>
  <c r="Y65" i="84"/>
  <c r="U65" i="84"/>
  <c r="Z65" i="84"/>
  <c r="X65" i="84"/>
  <c r="V65" i="84"/>
  <c r="T65" i="84"/>
  <c r="R65" i="84"/>
  <c r="P65" i="84"/>
  <c r="AA65" i="84"/>
  <c r="W65" i="84"/>
  <c r="S65" i="84"/>
  <c r="AB59" i="84"/>
  <c r="AB58" i="84"/>
  <c r="AA57" i="84"/>
  <c r="Z57" i="84"/>
  <c r="Y57" i="84"/>
  <c r="X57" i="84"/>
  <c r="W57" i="84"/>
  <c r="V57" i="84"/>
  <c r="U57" i="84"/>
  <c r="T57" i="84"/>
  <c r="S57" i="84"/>
  <c r="R57" i="84"/>
  <c r="Q57" i="84"/>
  <c r="P57" i="84"/>
  <c r="AB53" i="84"/>
  <c r="AB52" i="84"/>
  <c r="AA51" i="84"/>
  <c r="Z51" i="84"/>
  <c r="Y51" i="84"/>
  <c r="X51" i="84"/>
  <c r="W51" i="84"/>
  <c r="V51" i="84"/>
  <c r="U51" i="84"/>
  <c r="T51" i="84"/>
  <c r="S51" i="84"/>
  <c r="R51" i="84"/>
  <c r="Q51" i="84"/>
  <c r="P51" i="84"/>
  <c r="C209" i="46"/>
  <c r="AB38" i="84"/>
  <c r="AB37" i="84"/>
  <c r="AB36" i="84"/>
  <c r="AB35" i="84"/>
  <c r="AA34" i="84"/>
  <c r="Z34" i="84"/>
  <c r="Y34" i="84"/>
  <c r="X34" i="84"/>
  <c r="W34" i="84"/>
  <c r="V34" i="84"/>
  <c r="U34" i="84"/>
  <c r="T34" i="84"/>
  <c r="S34" i="84"/>
  <c r="R34" i="84"/>
  <c r="Q34" i="84"/>
  <c r="P34" i="84"/>
  <c r="AB30" i="84"/>
  <c r="AB29" i="84"/>
  <c r="AB28" i="84"/>
  <c r="AB27" i="84"/>
  <c r="AB26" i="84"/>
  <c r="AA25" i="84"/>
  <c r="Z25" i="84"/>
  <c r="Y25" i="84"/>
  <c r="X25" i="84"/>
  <c r="W25" i="84"/>
  <c r="V25" i="84"/>
  <c r="U25" i="84"/>
  <c r="T25" i="84"/>
  <c r="S25" i="84"/>
  <c r="R25" i="84"/>
  <c r="Q25" i="84"/>
  <c r="P25" i="84"/>
  <c r="AB21" i="84"/>
  <c r="AB20" i="84"/>
  <c r="AB19" i="84"/>
  <c r="AA18" i="84"/>
  <c r="Z18" i="84"/>
  <c r="Y18" i="84"/>
  <c r="X18" i="84"/>
  <c r="W18" i="84"/>
  <c r="V18" i="84"/>
  <c r="U18" i="84"/>
  <c r="T18" i="84"/>
  <c r="S18" i="84"/>
  <c r="R18" i="84"/>
  <c r="Q18" i="84"/>
  <c r="P18" i="84"/>
  <c r="AB13" i="84"/>
  <c r="AB12" i="84"/>
  <c r="AB11" i="84"/>
  <c r="AB10" i="84"/>
  <c r="AB9" i="84"/>
  <c r="AA4" i="84"/>
  <c r="Z4" i="84"/>
  <c r="Y4" i="84"/>
  <c r="X4" i="84"/>
  <c r="W4" i="84"/>
  <c r="V4" i="84"/>
  <c r="U4" i="84"/>
  <c r="T4" i="84"/>
  <c r="S4" i="84"/>
  <c r="R4" i="84"/>
  <c r="Q4" i="84"/>
  <c r="P4" i="84"/>
  <c r="B190" i="46" l="1"/>
  <c r="AB18" i="84"/>
  <c r="AB4" i="84"/>
  <c r="C190" i="46" s="1"/>
  <c r="AB51" i="84"/>
  <c r="AC51" i="84" s="1"/>
  <c r="AB67" i="84"/>
  <c r="Q65" i="84"/>
  <c r="B212" i="46" s="1"/>
  <c r="AB57" i="84"/>
  <c r="AC57" i="84" s="1"/>
  <c r="AA42" i="84"/>
  <c r="S42" i="84"/>
  <c r="C208" i="46"/>
  <c r="C211" i="46"/>
  <c r="Z42" i="84"/>
  <c r="Q42" i="84"/>
  <c r="W42" i="84"/>
  <c r="AB66" i="84"/>
  <c r="AB25" i="84"/>
  <c r="AC25" i="84" s="1"/>
  <c r="V42" i="84"/>
  <c r="X42" i="84"/>
  <c r="T42" i="84"/>
  <c r="C210" i="46"/>
  <c r="AB34" i="84"/>
  <c r="AB65" i="84" l="1"/>
  <c r="AC65" i="84" s="1"/>
  <c r="C212" i="46"/>
  <c r="AB42" i="84"/>
  <c r="P274" i="46" l="1"/>
  <c r="P268" i="46"/>
  <c r="P267" i="46"/>
  <c r="P266" i="46"/>
  <c r="P265" i="46"/>
  <c r="P264" i="46"/>
  <c r="P263" i="46"/>
  <c r="P262" i="46"/>
  <c r="P261" i="46"/>
  <c r="P260" i="46"/>
  <c r="P259" i="46"/>
  <c r="P258" i="46"/>
  <c r="P257" i="46"/>
  <c r="P256" i="46"/>
  <c r="O269" i="46"/>
  <c r="N269" i="46"/>
  <c r="M269" i="46"/>
  <c r="L269" i="46"/>
  <c r="K269" i="46"/>
  <c r="J269" i="46"/>
  <c r="P229" i="46"/>
  <c r="O230" i="46"/>
  <c r="N230" i="46"/>
  <c r="M230" i="46"/>
  <c r="L230" i="46"/>
  <c r="K230" i="46"/>
  <c r="J230" i="46"/>
  <c r="I230" i="46"/>
  <c r="H230" i="46"/>
  <c r="G230" i="46"/>
  <c r="F230" i="46"/>
  <c r="E230" i="46"/>
  <c r="P227" i="46"/>
  <c r="P226" i="46"/>
  <c r="P269" i="46" l="1"/>
  <c r="P228" i="46"/>
  <c r="P230" i="46" s="1"/>
  <c r="P273" i="46"/>
  <c r="P287" i="46" s="1"/>
  <c r="C60" i="73" l="1"/>
  <c r="O235" i="46"/>
  <c r="O58" i="73"/>
  <c r="L60" i="73"/>
  <c r="H60" i="73"/>
  <c r="O57" i="73"/>
  <c r="M60" i="73" l="1"/>
  <c r="O59" i="73"/>
  <c r="O47" i="73"/>
  <c r="E60" i="73"/>
  <c r="O49" i="73"/>
  <c r="O48" i="73"/>
  <c r="L235" i="46"/>
  <c r="I60" i="73"/>
  <c r="H235" i="46"/>
  <c r="G235" i="46"/>
  <c r="K235" i="46"/>
  <c r="I235" i="46"/>
  <c r="E235" i="46"/>
  <c r="M235" i="46"/>
  <c r="J235" i="46"/>
  <c r="D235" i="46"/>
  <c r="D244" i="46" s="1"/>
  <c r="D217" i="46" s="1"/>
  <c r="D60" i="73"/>
  <c r="N60" i="73"/>
  <c r="K60" i="73"/>
  <c r="J60" i="73"/>
  <c r="G60" i="73"/>
  <c r="F60" i="73"/>
  <c r="D29" i="5"/>
  <c r="E19" i="34"/>
  <c r="F19" i="34"/>
  <c r="G377" i="34"/>
  <c r="H377" i="34"/>
  <c r="I377" i="34"/>
  <c r="J377" i="34"/>
  <c r="K377" i="34"/>
  <c r="L377" i="34"/>
  <c r="M377" i="34"/>
  <c r="N377" i="34"/>
  <c r="O377" i="34"/>
  <c r="F18" i="34"/>
  <c r="F42" i="34" s="1"/>
  <c r="G376" i="34"/>
  <c r="H376" i="34"/>
  <c r="I376" i="34"/>
  <c r="J376" i="34"/>
  <c r="K376" i="34"/>
  <c r="L376" i="34"/>
  <c r="M376" i="34"/>
  <c r="N376" i="34"/>
  <c r="O376" i="34"/>
  <c r="G29" i="5"/>
  <c r="E43" i="34" l="1"/>
  <c r="E377" i="34" s="1"/>
  <c r="F43" i="34"/>
  <c r="F377" i="34" s="1"/>
  <c r="F376" i="34"/>
  <c r="P376" i="34" s="1"/>
  <c r="Q376" i="34" s="1"/>
  <c r="F39" i="4"/>
  <c r="O60" i="73"/>
  <c r="M31" i="25"/>
  <c r="M31" i="29"/>
  <c r="I31" i="25"/>
  <c r="I31" i="29"/>
  <c r="E31" i="25"/>
  <c r="E31" i="29"/>
  <c r="L31" i="29"/>
  <c r="L31" i="25"/>
  <c r="H31" i="29"/>
  <c r="H31" i="25"/>
  <c r="O31" i="29"/>
  <c r="O31" i="25"/>
  <c r="K31" i="29"/>
  <c r="K31" i="25"/>
  <c r="G31" i="29"/>
  <c r="G31" i="25"/>
  <c r="N31" i="25"/>
  <c r="N31" i="29"/>
  <c r="J31" i="25"/>
  <c r="J31" i="29"/>
  <c r="F31" i="25"/>
  <c r="F31" i="29"/>
  <c r="P19" i="34"/>
  <c r="P18" i="34"/>
  <c r="N235" i="46"/>
  <c r="N244" i="46" s="1"/>
  <c r="N217" i="46" s="1"/>
  <c r="F235" i="46"/>
  <c r="F244" i="46" s="1"/>
  <c r="F217" i="46" s="1"/>
  <c r="E244" i="46"/>
  <c r="E217" i="46" s="1"/>
  <c r="J244" i="46"/>
  <c r="J217" i="46" s="1"/>
  <c r="M244" i="46"/>
  <c r="M217" i="46" s="1"/>
  <c r="K244" i="46"/>
  <c r="K217" i="46" s="1"/>
  <c r="L244" i="46"/>
  <c r="L217" i="46" s="1"/>
  <c r="I244" i="46"/>
  <c r="I217" i="46" s="1"/>
  <c r="O244" i="46"/>
  <c r="O217" i="46" s="1"/>
  <c r="G244" i="46"/>
  <c r="G217" i="46" s="1"/>
  <c r="H244" i="46"/>
  <c r="H217" i="46" s="1"/>
  <c r="F29" i="5"/>
  <c r="E29" i="5"/>
  <c r="H29" i="5"/>
  <c r="P377" i="34" l="1"/>
  <c r="Q377" i="34" s="1"/>
  <c r="P66" i="73"/>
  <c r="P217" i="46"/>
  <c r="O238" i="46"/>
  <c r="O247" i="46" s="1"/>
  <c r="O219" i="46" s="1"/>
  <c r="F238" i="46"/>
  <c r="F247" i="46" s="1"/>
  <c r="F219" i="46" s="1"/>
  <c r="G238" i="46"/>
  <c r="G247" i="46" s="1"/>
  <c r="G219" i="46" s="1"/>
  <c r="D236" i="46"/>
  <c r="D245" i="46" s="1"/>
  <c r="M238" i="46"/>
  <c r="M247" i="46" s="1"/>
  <c r="M219" i="46" s="1"/>
  <c r="D238" i="46"/>
  <c r="H238" i="46"/>
  <c r="H247" i="46" s="1"/>
  <c r="H219" i="46" s="1"/>
  <c r="K238" i="46"/>
  <c r="K247" i="46" s="1"/>
  <c r="K219" i="46" s="1"/>
  <c r="L238" i="46"/>
  <c r="L247" i="46" s="1"/>
  <c r="L219" i="46" s="1"/>
  <c r="N238" i="46"/>
  <c r="N247" i="46" s="1"/>
  <c r="N219" i="46" s="1"/>
  <c r="P235" i="46"/>
  <c r="E238" i="46"/>
  <c r="E247" i="46" s="1"/>
  <c r="E219" i="46" s="1"/>
  <c r="J238" i="46"/>
  <c r="J247" i="46" s="1"/>
  <c r="J219" i="46" s="1"/>
  <c r="I238" i="46"/>
  <c r="I247" i="46" s="1"/>
  <c r="I219" i="46" s="1"/>
  <c r="I29" i="5"/>
  <c r="G26" i="19"/>
  <c r="D246" i="46" l="1"/>
  <c r="D218" i="46"/>
  <c r="P69" i="73"/>
  <c r="P68" i="73"/>
  <c r="P70" i="73"/>
  <c r="G32" i="81"/>
  <c r="C32" i="81"/>
  <c r="I32" i="81"/>
  <c r="F32" i="81"/>
  <c r="E32" i="81"/>
  <c r="L32" i="81"/>
  <c r="D32" i="81"/>
  <c r="H32" i="81"/>
  <c r="J32" i="81"/>
  <c r="K32" i="81"/>
  <c r="M32" i="81"/>
  <c r="D247" i="46"/>
  <c r="P238" i="46"/>
  <c r="O29" i="5"/>
  <c r="J29" i="5"/>
  <c r="K29" i="5"/>
  <c r="Q217" i="46"/>
  <c r="F237" i="46"/>
  <c r="F239" i="46" s="1"/>
  <c r="F245" i="46"/>
  <c r="F218" i="46" s="1"/>
  <c r="E245" i="46"/>
  <c r="E218" i="46" s="1"/>
  <c r="E237" i="46"/>
  <c r="K245" i="46"/>
  <c r="K218" i="46" s="1"/>
  <c r="K237" i="46"/>
  <c r="K239" i="46" s="1"/>
  <c r="N237" i="46"/>
  <c r="N239" i="46" s="1"/>
  <c r="N245" i="46"/>
  <c r="N218" i="46" s="1"/>
  <c r="L245" i="46"/>
  <c r="L218" i="46" s="1"/>
  <c r="L237" i="46"/>
  <c r="L239" i="46" s="1"/>
  <c r="P236" i="46"/>
  <c r="D237" i="46"/>
  <c r="H245" i="46"/>
  <c r="H218" i="46" s="1"/>
  <c r="H237" i="46"/>
  <c r="H239" i="46" s="1"/>
  <c r="I245" i="46"/>
  <c r="I218" i="46" s="1"/>
  <c r="I237" i="46"/>
  <c r="I239" i="46" s="1"/>
  <c r="M245" i="46"/>
  <c r="M218" i="46" s="1"/>
  <c r="M237" i="46"/>
  <c r="M239" i="46" s="1"/>
  <c r="P244" i="46"/>
  <c r="J237" i="46"/>
  <c r="J239" i="46" s="1"/>
  <c r="J245" i="46"/>
  <c r="J218" i="46" s="1"/>
  <c r="G245" i="46"/>
  <c r="G218" i="46" s="1"/>
  <c r="G237" i="46"/>
  <c r="G239" i="46" s="1"/>
  <c r="O245" i="46"/>
  <c r="O218" i="46" s="1"/>
  <c r="O237" i="46"/>
  <c r="O239" i="46" s="1"/>
  <c r="L29" i="5"/>
  <c r="P8" i="33"/>
  <c r="P247" i="46" l="1"/>
  <c r="D219" i="46"/>
  <c r="D220" i="46" s="1"/>
  <c r="D248" i="46"/>
  <c r="E239" i="46"/>
  <c r="P237" i="46"/>
  <c r="P239" i="46" s="1"/>
  <c r="P8" i="34"/>
  <c r="N29" i="5"/>
  <c r="I246" i="46"/>
  <c r="I248" i="46" s="1"/>
  <c r="I220" i="46"/>
  <c r="F246" i="46"/>
  <c r="F248" i="46" s="1"/>
  <c r="F220" i="46"/>
  <c r="G246" i="46"/>
  <c r="G248" i="46" s="1"/>
  <c r="G220" i="46"/>
  <c r="L246" i="46"/>
  <c r="L248" i="46" s="1"/>
  <c r="L220" i="46"/>
  <c r="K246" i="46"/>
  <c r="K248" i="46" s="1"/>
  <c r="K220" i="46"/>
  <c r="J246" i="46"/>
  <c r="J248" i="46" s="1"/>
  <c r="J220" i="46"/>
  <c r="M246" i="46"/>
  <c r="M248" i="46" s="1"/>
  <c r="M220" i="46"/>
  <c r="H246" i="46"/>
  <c r="H248" i="46" s="1"/>
  <c r="H220" i="46"/>
  <c r="N246" i="46"/>
  <c r="N248" i="46" s="1"/>
  <c r="N220" i="46"/>
  <c r="O246" i="46"/>
  <c r="O248" i="46" s="1"/>
  <c r="O220" i="46"/>
  <c r="B23" i="81"/>
  <c r="E246" i="46"/>
  <c r="E248" i="46" s="1"/>
  <c r="P245" i="46"/>
  <c r="D239" i="46"/>
  <c r="M29" i="5"/>
  <c r="C23" i="81" l="1"/>
  <c r="E220" i="46"/>
  <c r="P16" i="34"/>
  <c r="P218" i="46"/>
  <c r="Q218" i="46" s="1"/>
  <c r="P219" i="46"/>
  <c r="B32" i="81"/>
  <c r="B39" i="81"/>
  <c r="P246" i="46"/>
  <c r="P248" i="46" s="1"/>
  <c r="P4" i="70"/>
  <c r="Q2" i="70" s="1"/>
  <c r="P220" i="46" l="1"/>
  <c r="Q220" i="46" s="1"/>
  <c r="L55" i="29"/>
  <c r="K55" i="29"/>
  <c r="Q4" i="70"/>
  <c r="R4" i="70" s="1"/>
  <c r="S4" i="70" s="1"/>
  <c r="Q3" i="70"/>
  <c r="R3" i="70" s="1"/>
  <c r="S3" i="70" s="1"/>
  <c r="E55" i="29"/>
  <c r="F55" i="29"/>
  <c r="J55" i="29"/>
  <c r="H55" i="29"/>
  <c r="G55" i="29"/>
  <c r="I55" i="29"/>
  <c r="N55" i="29"/>
  <c r="O55" i="29"/>
  <c r="M55" i="29"/>
  <c r="D16" i="19"/>
  <c r="D106" i="19" s="1"/>
  <c r="P11" i="34" l="1"/>
  <c r="P5" i="34"/>
  <c r="P5" i="33"/>
  <c r="C10" i="36"/>
  <c r="C8" i="36"/>
  <c r="C98" i="36" s="1"/>
  <c r="S367" i="33" l="1"/>
  <c r="C10" i="20"/>
  <c r="C11" i="20"/>
  <c r="B97" i="36"/>
  <c r="B28" i="36"/>
  <c r="S363" i="33" l="1"/>
  <c r="C16" i="25"/>
  <c r="C15" i="25"/>
  <c r="C10" i="25"/>
  <c r="C13" i="25" s="1"/>
  <c r="C8" i="25"/>
  <c r="C15" i="36"/>
  <c r="C16" i="29"/>
  <c r="C15" i="29"/>
  <c r="C10" i="29"/>
  <c r="C19" i="26"/>
  <c r="C18" i="26"/>
  <c r="C16" i="26"/>
  <c r="C15" i="26"/>
  <c r="C8" i="26"/>
  <c r="C5" i="26"/>
  <c r="C19" i="27"/>
  <c r="C18" i="27"/>
  <c r="C16" i="27"/>
  <c r="C15" i="27"/>
  <c r="C10" i="27"/>
  <c r="C8" i="27"/>
  <c r="C5" i="27"/>
  <c r="C18" i="46" l="1"/>
  <c r="C19" i="46"/>
  <c r="C6" i="20"/>
  <c r="C12" i="20"/>
  <c r="C17" i="46" l="1"/>
  <c r="C100" i="29"/>
  <c r="C110" i="28"/>
  <c r="C76" i="36" l="1"/>
  <c r="C34" i="25"/>
  <c r="C63" i="28"/>
  <c r="C73" i="46" s="1"/>
  <c r="C62" i="28"/>
  <c r="C72" i="46" s="1"/>
  <c r="C59" i="28"/>
  <c r="C55" i="28"/>
  <c r="C54" i="28"/>
  <c r="C50" i="28"/>
  <c r="C49" i="28"/>
  <c r="C59" i="46" s="1"/>
  <c r="R32" i="29"/>
  <c r="R30" i="29"/>
  <c r="C60" i="28" l="1"/>
  <c r="C53" i="28"/>
  <c r="C57" i="28" s="1"/>
  <c r="C67" i="46" s="1"/>
  <c r="O11" i="17" l="1"/>
  <c r="N11" i="17"/>
  <c r="M11" i="17"/>
  <c r="L11" i="17"/>
  <c r="K11" i="17"/>
  <c r="J11" i="17"/>
  <c r="I11" i="17"/>
  <c r="H11" i="17"/>
  <c r="G11" i="17"/>
  <c r="F11" i="17"/>
  <c r="E11" i="17"/>
  <c r="D5" i="17"/>
  <c r="E5" i="17"/>
  <c r="F5" i="17"/>
  <c r="G5" i="17"/>
  <c r="H5" i="17"/>
  <c r="I5" i="17"/>
  <c r="J5" i="17"/>
  <c r="K5" i="17"/>
  <c r="L5" i="17"/>
  <c r="M5" i="17"/>
  <c r="N5" i="17"/>
  <c r="O5" i="17"/>
  <c r="Q210" i="46" l="1"/>
  <c r="N37" i="81" l="1"/>
  <c r="N33" i="81"/>
  <c r="N27" i="81"/>
  <c r="N15" i="81"/>
  <c r="N10" i="81"/>
  <c r="N9" i="81"/>
  <c r="N3" i="81"/>
  <c r="N32" i="81" l="1"/>
  <c r="N20" i="81"/>
  <c r="O111" i="36"/>
  <c r="N111" i="36"/>
  <c r="M111" i="36"/>
  <c r="L111" i="36"/>
  <c r="K111" i="36"/>
  <c r="J111" i="36"/>
  <c r="I111" i="36"/>
  <c r="H111" i="36"/>
  <c r="G111" i="36"/>
  <c r="F111" i="36"/>
  <c r="E111" i="36"/>
  <c r="D111" i="36"/>
  <c r="O102" i="36"/>
  <c r="N102" i="36"/>
  <c r="M102" i="36"/>
  <c r="L102" i="36"/>
  <c r="K102" i="36"/>
  <c r="J102" i="36"/>
  <c r="I102" i="36"/>
  <c r="H102" i="36"/>
  <c r="G102" i="36"/>
  <c r="F102" i="36"/>
  <c r="E102" i="36"/>
  <c r="D102" i="36"/>
  <c r="O100" i="36"/>
  <c r="N100" i="36"/>
  <c r="M100" i="36"/>
  <c r="L100" i="36"/>
  <c r="K100" i="36"/>
  <c r="J100" i="36"/>
  <c r="I100" i="36"/>
  <c r="H100" i="36"/>
  <c r="G100" i="36"/>
  <c r="F100" i="36"/>
  <c r="E100" i="36"/>
  <c r="D100" i="36"/>
  <c r="O96" i="36"/>
  <c r="N96" i="36"/>
  <c r="M96" i="36"/>
  <c r="L96" i="36"/>
  <c r="K96" i="36"/>
  <c r="J96" i="36"/>
  <c r="I96" i="36"/>
  <c r="H96" i="36"/>
  <c r="G96" i="36"/>
  <c r="F96" i="36"/>
  <c r="E96" i="36"/>
  <c r="D96" i="36"/>
  <c r="P7" i="70" l="1"/>
  <c r="P8" i="70"/>
  <c r="O42" i="36"/>
  <c r="O65" i="36" s="1"/>
  <c r="N42" i="36"/>
  <c r="N65" i="36" s="1"/>
  <c r="M42" i="36"/>
  <c r="M65" i="36" s="1"/>
  <c r="L42" i="36"/>
  <c r="L65" i="36" s="1"/>
  <c r="K42" i="36"/>
  <c r="K65" i="36" s="1"/>
  <c r="J42" i="36"/>
  <c r="J65" i="36" s="1"/>
  <c r="I42" i="36"/>
  <c r="I65" i="36" s="1"/>
  <c r="H42" i="36"/>
  <c r="H65" i="36" s="1"/>
  <c r="G42" i="36"/>
  <c r="G65" i="36" s="1"/>
  <c r="F42" i="36"/>
  <c r="F65" i="36" s="1"/>
  <c r="E42" i="36"/>
  <c r="E65" i="36" s="1"/>
  <c r="D42" i="36"/>
  <c r="P43" i="36"/>
  <c r="O31" i="36"/>
  <c r="O54" i="36" s="1"/>
  <c r="N31" i="36"/>
  <c r="N54" i="36" s="1"/>
  <c r="M31" i="36"/>
  <c r="M54" i="36" s="1"/>
  <c r="L31" i="36"/>
  <c r="L54" i="36" s="1"/>
  <c r="K31" i="36"/>
  <c r="K54" i="36" s="1"/>
  <c r="J31" i="36"/>
  <c r="J54" i="36" s="1"/>
  <c r="I31" i="36"/>
  <c r="I54" i="36" s="1"/>
  <c r="H31" i="36"/>
  <c r="H54" i="36" s="1"/>
  <c r="G31" i="36"/>
  <c r="G54" i="36" s="1"/>
  <c r="F31" i="36"/>
  <c r="F54" i="36" s="1"/>
  <c r="E31" i="36"/>
  <c r="E54" i="36" s="1"/>
  <c r="D31" i="36"/>
  <c r="D54" i="36" s="1"/>
  <c r="P356" i="34"/>
  <c r="Q356" i="34" s="1"/>
  <c r="P354" i="34"/>
  <c r="Q354" i="34" s="1"/>
  <c r="P351" i="34"/>
  <c r="Q351" i="34" s="1"/>
  <c r="O33" i="36"/>
  <c r="O56" i="36" s="1"/>
  <c r="N33" i="36"/>
  <c r="N56" i="36" s="1"/>
  <c r="M33" i="36"/>
  <c r="M56" i="36" s="1"/>
  <c r="L33" i="36"/>
  <c r="L56" i="36" s="1"/>
  <c r="K33" i="36"/>
  <c r="K56" i="36" s="1"/>
  <c r="J33" i="36"/>
  <c r="J56" i="36" s="1"/>
  <c r="I33" i="36"/>
  <c r="I56" i="36" s="1"/>
  <c r="H33" i="36"/>
  <c r="H56" i="36" s="1"/>
  <c r="G33" i="36"/>
  <c r="G56" i="36" s="1"/>
  <c r="F33" i="36"/>
  <c r="F56" i="36" s="1"/>
  <c r="E33" i="36"/>
  <c r="E56" i="36" s="1"/>
  <c r="D33" i="36"/>
  <c r="D56" i="36" s="1"/>
  <c r="P346" i="34"/>
  <c r="Q346" i="34" s="1"/>
  <c r="P344" i="34"/>
  <c r="Q344" i="34" s="1"/>
  <c r="P343" i="34"/>
  <c r="O27" i="36"/>
  <c r="O50" i="36" s="1"/>
  <c r="N27" i="36"/>
  <c r="N50" i="36" s="1"/>
  <c r="M27" i="36"/>
  <c r="M50" i="36" s="1"/>
  <c r="L27" i="36"/>
  <c r="L50" i="36" s="1"/>
  <c r="K27" i="36"/>
  <c r="K50" i="36" s="1"/>
  <c r="J27" i="36"/>
  <c r="J50" i="36" s="1"/>
  <c r="I27" i="36"/>
  <c r="I50" i="36" s="1"/>
  <c r="H27" i="36"/>
  <c r="H50" i="36" s="1"/>
  <c r="G27" i="36"/>
  <c r="G50" i="36" s="1"/>
  <c r="F27" i="36"/>
  <c r="F50" i="36" s="1"/>
  <c r="E27" i="36"/>
  <c r="E50" i="36" s="1"/>
  <c r="D27" i="36"/>
  <c r="D50" i="36" s="1"/>
  <c r="P340" i="34"/>
  <c r="Q340" i="34" s="1"/>
  <c r="P356" i="33"/>
  <c r="Q356" i="33" s="1"/>
  <c r="O105" i="36"/>
  <c r="N105" i="36"/>
  <c r="M105" i="36"/>
  <c r="L105" i="36"/>
  <c r="K105" i="36"/>
  <c r="J105" i="36"/>
  <c r="I105" i="36"/>
  <c r="H105" i="36"/>
  <c r="G105" i="36"/>
  <c r="F105" i="36"/>
  <c r="E105" i="36"/>
  <c r="P346" i="33"/>
  <c r="Q346" i="33" s="1"/>
  <c r="P344" i="33"/>
  <c r="Q344" i="33" s="1"/>
  <c r="P341" i="33"/>
  <c r="Q341" i="33" s="1"/>
  <c r="P340" i="33"/>
  <c r="Q340" i="33" s="1"/>
  <c r="P320" i="34"/>
  <c r="P296" i="34"/>
  <c r="P272" i="34"/>
  <c r="P176" i="34"/>
  <c r="P152" i="34"/>
  <c r="P128" i="34"/>
  <c r="P80" i="34"/>
  <c r="P56" i="34"/>
  <c r="P32" i="34"/>
  <c r="P200" i="34"/>
  <c r="P224" i="34"/>
  <c r="P104" i="34"/>
  <c r="P42" i="36" l="1"/>
  <c r="D65" i="36"/>
  <c r="P350" i="33"/>
  <c r="Q350" i="33" s="1"/>
  <c r="D105" i="36"/>
  <c r="P320" i="33"/>
  <c r="P353" i="34"/>
  <c r="Q353" i="34" s="1"/>
  <c r="P354" i="33"/>
  <c r="Q354" i="33" s="1"/>
  <c r="P353" i="33"/>
  <c r="Q353" i="33" s="1"/>
  <c r="P351" i="33"/>
  <c r="Q351" i="33" s="1"/>
  <c r="P50" i="36"/>
  <c r="P35" i="33"/>
  <c r="P33" i="33"/>
  <c r="P29" i="33"/>
  <c r="H32" i="33" l="1"/>
  <c r="H366" i="33" s="1"/>
  <c r="I32" i="33"/>
  <c r="P56" i="33"/>
  <c r="P128" i="33"/>
  <c r="P272" i="33"/>
  <c r="P152" i="33"/>
  <c r="P80" i="33"/>
  <c r="P176" i="33"/>
  <c r="P224" i="33"/>
  <c r="P200" i="33"/>
  <c r="P248" i="33"/>
  <c r="P296" i="33"/>
  <c r="O16" i="36"/>
  <c r="N16" i="36"/>
  <c r="M16" i="36"/>
  <c r="L16" i="36"/>
  <c r="K16" i="36"/>
  <c r="D16" i="36"/>
  <c r="D37" i="36" s="1"/>
  <c r="D16" i="4"/>
  <c r="O19" i="36"/>
  <c r="N19" i="36"/>
  <c r="M19" i="36"/>
  <c r="L19" i="36"/>
  <c r="K19" i="36"/>
  <c r="J19" i="36"/>
  <c r="I19" i="36"/>
  <c r="H19" i="36"/>
  <c r="G19" i="36"/>
  <c r="F19" i="36"/>
  <c r="E19" i="36"/>
  <c r="O18" i="36"/>
  <c r="N18" i="36"/>
  <c r="M18" i="36"/>
  <c r="L18" i="36"/>
  <c r="K18" i="36"/>
  <c r="J18" i="36"/>
  <c r="I18" i="36"/>
  <c r="H18" i="36"/>
  <c r="G18" i="36"/>
  <c r="F18" i="36"/>
  <c r="E18" i="36"/>
  <c r="D19" i="36"/>
  <c r="D18" i="36"/>
  <c r="O19" i="17"/>
  <c r="N19" i="17"/>
  <c r="M19" i="17"/>
  <c r="L19" i="17"/>
  <c r="K19" i="17"/>
  <c r="J19" i="17"/>
  <c r="I19" i="17"/>
  <c r="H19" i="17"/>
  <c r="G19" i="17"/>
  <c r="F19" i="17"/>
  <c r="E19" i="17"/>
  <c r="D19" i="17"/>
  <c r="O19" i="15"/>
  <c r="N19" i="15"/>
  <c r="M19" i="15"/>
  <c r="L19" i="15"/>
  <c r="K19" i="15"/>
  <c r="J19" i="15"/>
  <c r="I19" i="15"/>
  <c r="H19" i="15"/>
  <c r="G19" i="15"/>
  <c r="F19" i="15"/>
  <c r="E19" i="15"/>
  <c r="D19" i="15"/>
  <c r="O19" i="14"/>
  <c r="N19" i="14"/>
  <c r="M19" i="14"/>
  <c r="L19" i="14"/>
  <c r="K19" i="14"/>
  <c r="J19" i="14"/>
  <c r="I19" i="14"/>
  <c r="H19" i="14"/>
  <c r="G19" i="14"/>
  <c r="F19" i="14"/>
  <c r="E19" i="14"/>
  <c r="D19" i="14"/>
  <c r="O19" i="13"/>
  <c r="N19" i="13"/>
  <c r="M19" i="13"/>
  <c r="L19" i="13"/>
  <c r="K19" i="13"/>
  <c r="J19" i="13"/>
  <c r="I19" i="13"/>
  <c r="H19" i="13"/>
  <c r="G19" i="13"/>
  <c r="F19" i="13"/>
  <c r="E19" i="13"/>
  <c r="D19" i="13"/>
  <c r="O19" i="12"/>
  <c r="N19" i="12"/>
  <c r="M19" i="12"/>
  <c r="L19" i="12"/>
  <c r="K19" i="12"/>
  <c r="J19" i="12"/>
  <c r="I19" i="12"/>
  <c r="H19" i="12"/>
  <c r="G19" i="12"/>
  <c r="F19" i="12"/>
  <c r="E19" i="12"/>
  <c r="D19" i="12"/>
  <c r="O19" i="11"/>
  <c r="N19" i="11"/>
  <c r="M19" i="11"/>
  <c r="L19" i="11"/>
  <c r="K19" i="11"/>
  <c r="J19" i="11"/>
  <c r="I19" i="11"/>
  <c r="H19" i="11"/>
  <c r="G19" i="11"/>
  <c r="F19" i="11"/>
  <c r="E19" i="11"/>
  <c r="D19" i="11"/>
  <c r="O19" i="10"/>
  <c r="O17" i="10" s="1"/>
  <c r="N19" i="10"/>
  <c r="N17" i="10" s="1"/>
  <c r="M19" i="10"/>
  <c r="M17" i="10" s="1"/>
  <c r="L19" i="10"/>
  <c r="L17" i="10" s="1"/>
  <c r="K19" i="10"/>
  <c r="K17" i="10" s="1"/>
  <c r="J19" i="10"/>
  <c r="J17" i="10" s="1"/>
  <c r="I19" i="10"/>
  <c r="I17" i="10" s="1"/>
  <c r="H19" i="10"/>
  <c r="H17" i="10" s="1"/>
  <c r="G19" i="10"/>
  <c r="G17" i="10" s="1"/>
  <c r="F19" i="10"/>
  <c r="F17" i="10" s="1"/>
  <c r="E19" i="10"/>
  <c r="E17" i="10" s="1"/>
  <c r="D19" i="10"/>
  <c r="D17" i="10" s="1"/>
  <c r="I366" i="33" l="1"/>
  <c r="D14" i="4"/>
  <c r="K32" i="33"/>
  <c r="K366" i="33" s="1"/>
  <c r="L32" i="33"/>
  <c r="J32" i="33"/>
  <c r="F39" i="36"/>
  <c r="F62" i="36" s="1"/>
  <c r="F108" i="36"/>
  <c r="J39" i="36"/>
  <c r="J62" i="36" s="1"/>
  <c r="J108" i="36"/>
  <c r="N39" i="36"/>
  <c r="N62" i="36" s="1"/>
  <c r="N108" i="36"/>
  <c r="P19" i="19"/>
  <c r="Q19" i="19" s="1"/>
  <c r="D39" i="36"/>
  <c r="D62" i="36" s="1"/>
  <c r="D108" i="36"/>
  <c r="G39" i="36"/>
  <c r="G62" i="36" s="1"/>
  <c r="G108" i="36"/>
  <c r="K39" i="36"/>
  <c r="K62" i="36" s="1"/>
  <c r="K108" i="36"/>
  <c r="O39" i="36"/>
  <c r="O62" i="36" s="1"/>
  <c r="O108" i="36"/>
  <c r="H39" i="36"/>
  <c r="H62" i="36" s="1"/>
  <c r="H108" i="36"/>
  <c r="L39" i="36"/>
  <c r="L62" i="36" s="1"/>
  <c r="L108" i="36"/>
  <c r="E39" i="36"/>
  <c r="E62" i="36" s="1"/>
  <c r="E108" i="36"/>
  <c r="I39" i="36"/>
  <c r="I62" i="36" s="1"/>
  <c r="I108" i="36"/>
  <c r="M39" i="36"/>
  <c r="M62" i="36" s="1"/>
  <c r="M108" i="36"/>
  <c r="O37" i="36"/>
  <c r="O60" i="36" s="1"/>
  <c r="O106" i="36"/>
  <c r="H106" i="36"/>
  <c r="H60" i="36"/>
  <c r="E60" i="36"/>
  <c r="E106" i="36"/>
  <c r="I106" i="36"/>
  <c r="I60" i="36"/>
  <c r="M37" i="36"/>
  <c r="M60" i="36" s="1"/>
  <c r="M106" i="36"/>
  <c r="G60" i="36"/>
  <c r="G106" i="36"/>
  <c r="K37" i="36"/>
  <c r="K60" i="36" s="1"/>
  <c r="K106" i="36"/>
  <c r="D106" i="36"/>
  <c r="L106" i="36"/>
  <c r="L37" i="36"/>
  <c r="L60" i="36" s="1"/>
  <c r="F60" i="36"/>
  <c r="F106" i="36"/>
  <c r="J106" i="36"/>
  <c r="J37" i="36"/>
  <c r="J60" i="36" s="1"/>
  <c r="N37" i="36"/>
  <c r="N60" i="36" s="1"/>
  <c r="N106" i="36"/>
  <c r="G109" i="36"/>
  <c r="G40" i="36"/>
  <c r="G63" i="36" s="1"/>
  <c r="O109" i="36"/>
  <c r="O40" i="36"/>
  <c r="O63" i="36" s="1"/>
  <c r="H109" i="36"/>
  <c r="H40" i="36"/>
  <c r="H63" i="36" s="1"/>
  <c r="D109" i="36"/>
  <c r="D40" i="36"/>
  <c r="D63" i="36" s="1"/>
  <c r="E109" i="36"/>
  <c r="E40" i="36"/>
  <c r="E63" i="36" s="1"/>
  <c r="I109" i="36"/>
  <c r="I40" i="36"/>
  <c r="I63" i="36" s="1"/>
  <c r="M109" i="36"/>
  <c r="M40" i="36"/>
  <c r="M63" i="36" s="1"/>
  <c r="K109" i="36"/>
  <c r="K40" i="36"/>
  <c r="K63" i="36" s="1"/>
  <c r="L109" i="36"/>
  <c r="L40" i="36"/>
  <c r="L63" i="36" s="1"/>
  <c r="F109" i="36"/>
  <c r="F40" i="36"/>
  <c r="F63" i="36" s="1"/>
  <c r="J109" i="36"/>
  <c r="J40" i="36"/>
  <c r="J63" i="36" s="1"/>
  <c r="N109" i="36"/>
  <c r="N40" i="36"/>
  <c r="N63" i="36" s="1"/>
  <c r="O19" i="7"/>
  <c r="N19" i="7"/>
  <c r="M19" i="7"/>
  <c r="L19" i="7"/>
  <c r="K19" i="7"/>
  <c r="J19" i="7"/>
  <c r="I19" i="7"/>
  <c r="H19" i="7"/>
  <c r="G19" i="7"/>
  <c r="F19" i="7"/>
  <c r="E19" i="7"/>
  <c r="O18" i="7"/>
  <c r="N18" i="7"/>
  <c r="M18" i="7"/>
  <c r="L18" i="7"/>
  <c r="K18" i="7"/>
  <c r="J18" i="7"/>
  <c r="I18" i="7"/>
  <c r="H18" i="7"/>
  <c r="G18" i="7"/>
  <c r="F18" i="7"/>
  <c r="E18" i="7"/>
  <c r="D19" i="7"/>
  <c r="D18" i="7"/>
  <c r="O19" i="5"/>
  <c r="N19" i="5"/>
  <c r="N19" i="20" s="1"/>
  <c r="M19" i="5"/>
  <c r="L19" i="5"/>
  <c r="K19" i="5"/>
  <c r="J19" i="5"/>
  <c r="J19" i="20" s="1"/>
  <c r="I19" i="5"/>
  <c r="H19" i="5"/>
  <c r="G19" i="5"/>
  <c r="F19" i="5"/>
  <c r="F19" i="20" s="1"/>
  <c r="E19" i="5"/>
  <c r="O18" i="5"/>
  <c r="N18" i="5"/>
  <c r="M18" i="5"/>
  <c r="L18" i="5"/>
  <c r="K18" i="5"/>
  <c r="J18" i="5"/>
  <c r="I18" i="5"/>
  <c r="H18" i="5"/>
  <c r="G18" i="5"/>
  <c r="F18" i="5"/>
  <c r="E18" i="5"/>
  <c r="D18" i="5"/>
  <c r="O19" i="6"/>
  <c r="N19" i="6"/>
  <c r="M19" i="6"/>
  <c r="L19" i="6"/>
  <c r="K19" i="6"/>
  <c r="K19" i="20" s="1"/>
  <c r="J19" i="6"/>
  <c r="I19" i="6"/>
  <c r="H19" i="6"/>
  <c r="G19" i="6"/>
  <c r="F19" i="6"/>
  <c r="E19" i="6"/>
  <c r="D19" i="6"/>
  <c r="O18" i="6"/>
  <c r="N18" i="6"/>
  <c r="M18" i="6"/>
  <c r="L18" i="6"/>
  <c r="K18" i="6"/>
  <c r="J18" i="6"/>
  <c r="I18" i="6"/>
  <c r="H18" i="6"/>
  <c r="G18" i="6"/>
  <c r="F18" i="6"/>
  <c r="E18" i="6"/>
  <c r="D18" i="6"/>
  <c r="O19" i="20"/>
  <c r="F18" i="68"/>
  <c r="G18" i="68"/>
  <c r="H18" i="68"/>
  <c r="I18" i="68"/>
  <c r="J18" i="68"/>
  <c r="K18" i="68"/>
  <c r="L18" i="68"/>
  <c r="M18" i="68"/>
  <c r="N18" i="68"/>
  <c r="O18" i="68"/>
  <c r="P18" i="68"/>
  <c r="E18" i="68"/>
  <c r="D35" i="68"/>
  <c r="M19" i="20" l="1"/>
  <c r="E19" i="20"/>
  <c r="I19" i="20"/>
  <c r="H19" i="20"/>
  <c r="L19" i="20"/>
  <c r="D18" i="20"/>
  <c r="E18" i="20"/>
  <c r="I18" i="20"/>
  <c r="M18" i="20"/>
  <c r="H17" i="5"/>
  <c r="H108" i="5"/>
  <c r="H39" i="5"/>
  <c r="L17" i="5"/>
  <c r="L108" i="5"/>
  <c r="L39" i="5"/>
  <c r="E17" i="5"/>
  <c r="E108" i="5"/>
  <c r="E39" i="5"/>
  <c r="I17" i="5"/>
  <c r="I39" i="5"/>
  <c r="I108" i="5"/>
  <c r="M17" i="5"/>
  <c r="M39" i="5"/>
  <c r="M108" i="5"/>
  <c r="G18" i="20"/>
  <c r="K18" i="20"/>
  <c r="O18" i="20"/>
  <c r="F17" i="5"/>
  <c r="F108" i="5"/>
  <c r="F39" i="5"/>
  <c r="J17" i="5"/>
  <c r="J108" i="5"/>
  <c r="J39" i="5"/>
  <c r="N17" i="5"/>
  <c r="N39" i="5"/>
  <c r="N108" i="5"/>
  <c r="G17" i="5"/>
  <c r="G108" i="5"/>
  <c r="G39" i="5"/>
  <c r="K17" i="5"/>
  <c r="K39" i="5"/>
  <c r="K108" i="5"/>
  <c r="O17" i="5"/>
  <c r="O39" i="5"/>
  <c r="O108" i="5"/>
  <c r="P18" i="5"/>
  <c r="Q18" i="5" s="1"/>
  <c r="D17" i="5"/>
  <c r="D108" i="5"/>
  <c r="D39" i="5"/>
  <c r="F18" i="20"/>
  <c r="J18" i="20"/>
  <c r="N18" i="20"/>
  <c r="G19" i="20"/>
  <c r="J366" i="33"/>
  <c r="L366" i="33"/>
  <c r="H18" i="20"/>
  <c r="L18" i="20"/>
  <c r="D19" i="20"/>
  <c r="O32" i="33"/>
  <c r="O366" i="33" s="1"/>
  <c r="N32" i="33"/>
  <c r="N366" i="33" s="1"/>
  <c r="M32" i="33"/>
  <c r="M366" i="33" s="1"/>
  <c r="D60" i="36"/>
  <c r="M61" i="36"/>
  <c r="E61" i="36"/>
  <c r="L61" i="36"/>
  <c r="O61" i="36"/>
  <c r="G61" i="36"/>
  <c r="N61" i="36"/>
  <c r="F61" i="36"/>
  <c r="I61" i="36"/>
  <c r="H61" i="36"/>
  <c r="D17" i="4"/>
  <c r="K61" i="36"/>
  <c r="D61" i="36"/>
  <c r="J61" i="36"/>
  <c r="P366" i="33" l="1"/>
  <c r="Q366" i="34" s="1"/>
  <c r="P32" i="33"/>
  <c r="D18" i="68"/>
  <c r="D36" i="68"/>
  <c r="C66" i="20" l="1"/>
  <c r="B66" i="20"/>
  <c r="C64" i="20"/>
  <c r="B64" i="20"/>
  <c r="B140" i="20" l="1"/>
  <c r="C140" i="4"/>
  <c r="C184" i="4" s="1"/>
  <c r="B140" i="4"/>
  <c r="B184" i="4" s="1"/>
  <c r="B106" i="4"/>
  <c r="B105" i="4"/>
  <c r="B102" i="4"/>
  <c r="C96" i="20"/>
  <c r="B96" i="4"/>
  <c r="B97" i="4" s="1"/>
  <c r="B61" i="4"/>
  <c r="B58" i="4"/>
  <c r="B57" i="4"/>
  <c r="B51" i="4"/>
  <c r="C88" i="4"/>
  <c r="B88" i="4"/>
  <c r="C86" i="4"/>
  <c r="B86" i="4"/>
  <c r="B85" i="4"/>
  <c r="C83" i="4"/>
  <c r="C129" i="4" s="1"/>
  <c r="B37" i="4"/>
  <c r="B83" i="4" s="1"/>
  <c r="B129" i="4" s="1"/>
  <c r="B36" i="4"/>
  <c r="B82" i="4" s="1"/>
  <c r="C79" i="4"/>
  <c r="B33" i="4"/>
  <c r="B79" i="4" s="1"/>
  <c r="C78" i="4"/>
  <c r="B78" i="4"/>
  <c r="B124" i="4" s="1"/>
  <c r="C77" i="4"/>
  <c r="C123" i="4" s="1"/>
  <c r="B77" i="4"/>
  <c r="B76" i="4"/>
  <c r="C75" i="4"/>
  <c r="B75" i="4"/>
  <c r="C73" i="4"/>
  <c r="B27" i="4"/>
  <c r="B73" i="4" s="1"/>
  <c r="B119" i="4" s="1"/>
  <c r="C72" i="4"/>
  <c r="B72" i="4"/>
  <c r="B17" i="4"/>
  <c r="C17" i="4" s="1"/>
  <c r="B14" i="4"/>
  <c r="C5" i="39"/>
  <c r="Q5" i="39" s="1"/>
  <c r="B13" i="4"/>
  <c r="E5" i="10"/>
  <c r="D8" i="10"/>
  <c r="E8" i="10"/>
  <c r="E9" i="10"/>
  <c r="E11" i="10"/>
  <c r="E101" i="10" s="1"/>
  <c r="D16" i="10"/>
  <c r="E16" i="10"/>
  <c r="D96" i="10"/>
  <c r="E96" i="10"/>
  <c r="D102" i="10"/>
  <c r="E102" i="10"/>
  <c r="D111" i="10"/>
  <c r="E111" i="10"/>
  <c r="D140" i="10"/>
  <c r="D184" i="10" s="1"/>
  <c r="E140" i="10"/>
  <c r="E184" i="10" s="1"/>
  <c r="E7" i="11"/>
  <c r="D8" i="11"/>
  <c r="E8" i="11"/>
  <c r="E98" i="11" s="1"/>
  <c r="E101" i="11"/>
  <c r="D16" i="11"/>
  <c r="D14" i="11" s="1"/>
  <c r="E16" i="11"/>
  <c r="E14" i="11" s="1"/>
  <c r="D17" i="11"/>
  <c r="E17" i="11"/>
  <c r="D96" i="11"/>
  <c r="E96" i="11"/>
  <c r="D100" i="11"/>
  <c r="E100" i="11"/>
  <c r="D102" i="11"/>
  <c r="E102" i="11"/>
  <c r="D111" i="11"/>
  <c r="E111" i="11"/>
  <c r="D140" i="11"/>
  <c r="D184" i="11" s="1"/>
  <c r="E140" i="11"/>
  <c r="E184" i="11" s="1"/>
  <c r="B36" i="20"/>
  <c r="B95" i="20"/>
  <c r="C100" i="20"/>
  <c r="B42" i="20" l="1"/>
  <c r="B65" i="20" s="1"/>
  <c r="E98" i="10"/>
  <c r="E29" i="10"/>
  <c r="D98" i="10"/>
  <c r="D29" i="10"/>
  <c r="E95" i="10"/>
  <c r="E97" i="10" s="1"/>
  <c r="E26" i="10"/>
  <c r="E99" i="10"/>
  <c r="E103" i="10" s="1"/>
  <c r="E30" i="10"/>
  <c r="C125" i="4"/>
  <c r="B102" i="20"/>
  <c r="C98" i="20"/>
  <c r="C134" i="4"/>
  <c r="B96" i="20"/>
  <c r="B98" i="20"/>
  <c r="B123" i="4"/>
  <c r="B128" i="4"/>
  <c r="C33" i="20"/>
  <c r="B33" i="20"/>
  <c r="B79" i="20" s="1"/>
  <c r="B29" i="20"/>
  <c r="B75" i="20" s="1"/>
  <c r="C42" i="20"/>
  <c r="B184" i="20"/>
  <c r="B105" i="20"/>
  <c r="C111" i="20"/>
  <c r="B100" i="20"/>
  <c r="B111" i="20"/>
  <c r="C27" i="20"/>
  <c r="C102" i="20"/>
  <c r="B27" i="20"/>
  <c r="B50" i="20" s="1"/>
  <c r="B50" i="28" s="1"/>
  <c r="B48" i="4"/>
  <c r="B67" i="4" s="1"/>
  <c r="B178" i="4" s="1"/>
  <c r="B108" i="20"/>
  <c r="B109" i="20"/>
  <c r="B107" i="4"/>
  <c r="C101" i="20"/>
  <c r="B99" i="20"/>
  <c r="B101" i="20"/>
  <c r="B121" i="4"/>
  <c r="C40" i="20"/>
  <c r="B40" i="20"/>
  <c r="B31" i="20"/>
  <c r="C31" i="20"/>
  <c r="B39" i="20"/>
  <c r="B30" i="20"/>
  <c r="B26" i="20"/>
  <c r="B37" i="20"/>
  <c r="B32" i="20"/>
  <c r="C32" i="20"/>
  <c r="C29" i="20"/>
  <c r="C109" i="20"/>
  <c r="B106" i="20"/>
  <c r="C17" i="20"/>
  <c r="B14" i="39"/>
  <c r="B4" i="4"/>
  <c r="B5" i="39" s="1"/>
  <c r="B12" i="39"/>
  <c r="B16" i="39"/>
  <c r="B17" i="39"/>
  <c r="B14" i="20"/>
  <c r="C19" i="28"/>
  <c r="B17" i="20"/>
  <c r="D14" i="10"/>
  <c r="E14" i="10"/>
  <c r="B7" i="20"/>
  <c r="B8" i="39"/>
  <c r="B7" i="39"/>
  <c r="B6" i="39"/>
  <c r="B125" i="4"/>
  <c r="B13" i="39"/>
  <c r="B15" i="39"/>
  <c r="B13" i="20"/>
  <c r="C7" i="20"/>
  <c r="C118" i="4"/>
  <c r="C121" i="4"/>
  <c r="C85" i="4"/>
  <c r="C13" i="20"/>
  <c r="C12" i="39"/>
  <c r="B132" i="4"/>
  <c r="D101" i="11"/>
  <c r="E7" i="10"/>
  <c r="C140" i="20"/>
  <c r="C184" i="20" s="1"/>
  <c r="C124" i="4"/>
  <c r="C81" i="4"/>
  <c r="B131" i="4"/>
  <c r="B134" i="4"/>
  <c r="B103" i="4"/>
  <c r="B94" i="4" s="1"/>
  <c r="B104" i="4"/>
  <c r="B38" i="4"/>
  <c r="B84" i="4" s="1"/>
  <c r="C132" i="4"/>
  <c r="C119" i="4"/>
  <c r="C74" i="4"/>
  <c r="B118" i="4"/>
  <c r="B120" i="4" s="1"/>
  <c r="B74" i="4"/>
  <c r="B122" i="4"/>
  <c r="B80" i="4"/>
  <c r="C76" i="4"/>
  <c r="C82" i="4"/>
  <c r="C128" i="4" s="1"/>
  <c r="B35" i="4"/>
  <c r="B81" i="4" s="1"/>
  <c r="B28" i="4"/>
  <c r="B34" i="4"/>
  <c r="B9" i="39"/>
  <c r="B10" i="39"/>
  <c r="B11" i="39"/>
  <c r="E95" i="11"/>
  <c r="E97" i="11" s="1"/>
  <c r="E13" i="11"/>
  <c r="E4" i="11" s="1"/>
  <c r="B18" i="39"/>
  <c r="E13" i="10"/>
  <c r="E99" i="11"/>
  <c r="E103" i="11" s="1"/>
  <c r="D98" i="11"/>
  <c r="B126" i="4" l="1"/>
  <c r="B4" i="39"/>
  <c r="B51" i="20"/>
  <c r="B48" i="20" s="1"/>
  <c r="B67" i="20" s="1"/>
  <c r="B60" i="46"/>
  <c r="B51" i="28"/>
  <c r="B65" i="28"/>
  <c r="B76" i="20"/>
  <c r="B122" i="20" s="1"/>
  <c r="B78" i="20"/>
  <c r="B124" i="20" s="1"/>
  <c r="B72" i="20"/>
  <c r="B118" i="20" s="1"/>
  <c r="B127" i="4"/>
  <c r="C79" i="20"/>
  <c r="C125" i="20" s="1"/>
  <c r="B107" i="20"/>
  <c r="C107" i="20"/>
  <c r="B28" i="20"/>
  <c r="B121" i="20"/>
  <c r="B104" i="20"/>
  <c r="B34" i="20"/>
  <c r="B77" i="20"/>
  <c r="B123" i="20" s="1"/>
  <c r="B97" i="20"/>
  <c r="C103" i="20"/>
  <c r="B103" i="20"/>
  <c r="C97" i="20"/>
  <c r="C127" i="4"/>
  <c r="C181" i="4"/>
  <c r="C120" i="4"/>
  <c r="C84" i="4"/>
  <c r="C131" i="4"/>
  <c r="C34" i="20"/>
  <c r="C76" i="20"/>
  <c r="C122" i="20" s="1"/>
  <c r="C65" i="20"/>
  <c r="C65" i="28" s="1"/>
  <c r="C75" i="20"/>
  <c r="C121" i="20" s="1"/>
  <c r="C86" i="20"/>
  <c r="C132" i="20" s="1"/>
  <c r="B130" i="4"/>
  <c r="B125" i="20"/>
  <c r="C73" i="20"/>
  <c r="C119" i="20" s="1"/>
  <c r="C78" i="20"/>
  <c r="C124" i="20" s="1"/>
  <c r="C38" i="20"/>
  <c r="C85" i="20"/>
  <c r="C131" i="20" s="1"/>
  <c r="C28" i="20"/>
  <c r="C72" i="20"/>
  <c r="B73" i="20"/>
  <c r="B119" i="20" s="1"/>
  <c r="B85" i="20"/>
  <c r="B131" i="20" s="1"/>
  <c r="B38" i="20"/>
  <c r="C77" i="20"/>
  <c r="C123" i="20" s="1"/>
  <c r="B35" i="20"/>
  <c r="B86" i="20"/>
  <c r="B132" i="20" s="1"/>
  <c r="B113" i="4"/>
  <c r="B181" i="4" s="1"/>
  <c r="E4" i="10"/>
  <c r="B25" i="4"/>
  <c r="B44" i="4" s="1"/>
  <c r="B177" i="4" s="1"/>
  <c r="B71" i="4"/>
  <c r="B90" i="4" s="1"/>
  <c r="B117" i="4"/>
  <c r="C80" i="4"/>
  <c r="C122" i="4"/>
  <c r="C126" i="4" s="1"/>
  <c r="E94" i="11"/>
  <c r="E94" i="10"/>
  <c r="B180" i="4" l="1"/>
  <c r="B185" i="4" s="1"/>
  <c r="B61" i="46"/>
  <c r="B58" i="46" s="1"/>
  <c r="B77" i="46" s="1"/>
  <c r="B191" i="46" s="1"/>
  <c r="B48" i="28"/>
  <c r="B67" i="28" s="1"/>
  <c r="B178" i="28" s="1"/>
  <c r="C4" i="39"/>
  <c r="B25" i="20"/>
  <c r="B44" i="20" s="1"/>
  <c r="C88" i="20"/>
  <c r="B80" i="20"/>
  <c r="B94" i="20"/>
  <c r="B113" i="20" s="1"/>
  <c r="B181" i="20" s="1"/>
  <c r="C94" i="20"/>
  <c r="C130" i="20"/>
  <c r="C178" i="4"/>
  <c r="C117" i="4"/>
  <c r="C71" i="4"/>
  <c r="C130" i="4"/>
  <c r="C177" i="4"/>
  <c r="B126" i="20"/>
  <c r="B74" i="20"/>
  <c r="B120" i="20"/>
  <c r="B130" i="20"/>
  <c r="C80" i="20"/>
  <c r="C118" i="20"/>
  <c r="C120" i="20" s="1"/>
  <c r="C74" i="20"/>
  <c r="B84" i="20"/>
  <c r="C25" i="20"/>
  <c r="C48" i="20"/>
  <c r="C67" i="20" s="1"/>
  <c r="C126" i="20"/>
  <c r="C84" i="20"/>
  <c r="B136" i="4"/>
  <c r="B182" i="4" s="1"/>
  <c r="B186" i="4" s="1"/>
  <c r="B187" i="4" l="1"/>
  <c r="C71" i="20"/>
  <c r="B71" i="20"/>
  <c r="B183" i="4"/>
  <c r="C90" i="4"/>
  <c r="C180" i="4" s="1"/>
  <c r="C136" i="4"/>
  <c r="C182" i="4" s="1"/>
  <c r="C117" i="20"/>
  <c r="B117" i="20"/>
  <c r="C178" i="20"/>
  <c r="B177" i="20"/>
  <c r="C186" i="4" l="1"/>
  <c r="E5" i="19"/>
  <c r="D8" i="19"/>
  <c r="E8" i="19"/>
  <c r="E9" i="19"/>
  <c r="E11" i="19"/>
  <c r="E101" i="19" s="1"/>
  <c r="D14" i="19"/>
  <c r="E16" i="19"/>
  <c r="D17" i="19"/>
  <c r="E17" i="19"/>
  <c r="D96" i="19"/>
  <c r="E96" i="19"/>
  <c r="D102" i="19"/>
  <c r="E102" i="19"/>
  <c r="D111" i="19"/>
  <c r="E111" i="19"/>
  <c r="D140" i="19"/>
  <c r="D184" i="19" s="1"/>
  <c r="E140" i="19"/>
  <c r="E184" i="19" s="1"/>
  <c r="E98" i="19" l="1"/>
  <c r="E29" i="19"/>
  <c r="D98" i="19"/>
  <c r="D29" i="19"/>
  <c r="E7" i="19"/>
  <c r="E95" i="19"/>
  <c r="E26" i="19"/>
  <c r="E99" i="19"/>
  <c r="E30" i="19"/>
  <c r="E14" i="19"/>
  <c r="E106" i="19"/>
  <c r="C185" i="4"/>
  <c r="C183" i="4"/>
  <c r="C187" i="4"/>
  <c r="E13" i="19"/>
  <c r="E4" i="19" s="1"/>
  <c r="B88" i="20"/>
  <c r="B134" i="20" s="1"/>
  <c r="B4" i="20"/>
  <c r="B3" i="2" s="1"/>
  <c r="B25" i="46" s="1"/>
  <c r="E97" i="19" l="1"/>
  <c r="E103" i="19"/>
  <c r="C4" i="20"/>
  <c r="C3" i="2" s="1"/>
  <c r="P141" i="6"/>
  <c r="Q141" i="6" s="1"/>
  <c r="P142" i="6"/>
  <c r="Q142" i="6" s="1"/>
  <c r="P143" i="6"/>
  <c r="Q143" i="6" s="1"/>
  <c r="P144" i="6"/>
  <c r="Q144" i="6" s="1"/>
  <c r="P145" i="6"/>
  <c r="Q145" i="6" s="1"/>
  <c r="P146" i="6"/>
  <c r="Q146" i="6" s="1"/>
  <c r="P147" i="6"/>
  <c r="Q147" i="6" s="1"/>
  <c r="P148" i="6"/>
  <c r="Q148" i="6" s="1"/>
  <c r="P149" i="6"/>
  <c r="Q149" i="6" s="1"/>
  <c r="P150" i="6"/>
  <c r="Q150" i="6" s="1"/>
  <c r="E94" i="19" l="1"/>
  <c r="O8" i="36" l="1"/>
  <c r="N8" i="36"/>
  <c r="M8" i="36"/>
  <c r="L8" i="36"/>
  <c r="K8" i="36"/>
  <c r="J8" i="36"/>
  <c r="I8" i="36"/>
  <c r="H8" i="36"/>
  <c r="G8" i="36"/>
  <c r="F8" i="36"/>
  <c r="E8" i="36"/>
  <c r="D8" i="36"/>
  <c r="K98" i="36" l="1"/>
  <c r="K29" i="36"/>
  <c r="K52" i="36" s="1"/>
  <c r="D98" i="36"/>
  <c r="D29" i="36"/>
  <c r="D52" i="36" s="1"/>
  <c r="H98" i="36"/>
  <c r="H29" i="36"/>
  <c r="H52" i="36" s="1"/>
  <c r="E98" i="36"/>
  <c r="E29" i="36"/>
  <c r="E52" i="36" s="1"/>
  <c r="I98" i="36"/>
  <c r="I29" i="36"/>
  <c r="I52" i="36" s="1"/>
  <c r="M98" i="36"/>
  <c r="M29" i="36"/>
  <c r="M52" i="36" s="1"/>
  <c r="G98" i="36"/>
  <c r="G29" i="36"/>
  <c r="G52" i="36" s="1"/>
  <c r="O98" i="36"/>
  <c r="O29" i="36"/>
  <c r="O52" i="36" s="1"/>
  <c r="L98" i="36"/>
  <c r="L29" i="36"/>
  <c r="L52" i="36" s="1"/>
  <c r="F98" i="36"/>
  <c r="F29" i="36"/>
  <c r="F52" i="36" s="1"/>
  <c r="J98" i="36"/>
  <c r="J29" i="36"/>
  <c r="J52" i="36" s="1"/>
  <c r="N98" i="36"/>
  <c r="N29" i="36"/>
  <c r="N52" i="36" s="1"/>
  <c r="E99" i="36"/>
  <c r="E30" i="36"/>
  <c r="E53" i="36" s="1"/>
  <c r="I99" i="36"/>
  <c r="I30" i="36"/>
  <c r="I53" i="36" s="1"/>
  <c r="M99" i="36"/>
  <c r="M30" i="36"/>
  <c r="M53" i="36" s="1"/>
  <c r="F99" i="36"/>
  <c r="F30" i="36"/>
  <c r="F53" i="36" s="1"/>
  <c r="J99" i="36"/>
  <c r="J30" i="36"/>
  <c r="J53" i="36" s="1"/>
  <c r="N99" i="36"/>
  <c r="N30" i="36"/>
  <c r="N53" i="36" s="1"/>
  <c r="G99" i="36"/>
  <c r="G30" i="36"/>
  <c r="G53" i="36" s="1"/>
  <c r="K99" i="36"/>
  <c r="K30" i="36"/>
  <c r="K53" i="36" s="1"/>
  <c r="O99" i="36"/>
  <c r="O30" i="36"/>
  <c r="O53" i="36" s="1"/>
  <c r="H99" i="36"/>
  <c r="H30" i="36"/>
  <c r="H53" i="36" s="1"/>
  <c r="L99" i="36"/>
  <c r="L30" i="36"/>
  <c r="L53" i="36" s="1"/>
  <c r="D101" i="36"/>
  <c r="D32" i="36"/>
  <c r="D55" i="36" s="1"/>
  <c r="E101" i="36"/>
  <c r="E32" i="36"/>
  <c r="E55" i="36" s="1"/>
  <c r="E95" i="36"/>
  <c r="E26" i="36"/>
  <c r="E49" i="36" s="1"/>
  <c r="E51" i="36" s="1"/>
  <c r="I95" i="36"/>
  <c r="I26" i="36"/>
  <c r="I49" i="36" s="1"/>
  <c r="I51" i="36" s="1"/>
  <c r="M95" i="36"/>
  <c r="M26" i="36"/>
  <c r="M49" i="36" s="1"/>
  <c r="M51" i="36" s="1"/>
  <c r="F95" i="36"/>
  <c r="F26" i="36"/>
  <c r="F49" i="36" s="1"/>
  <c r="F51" i="36" s="1"/>
  <c r="J95" i="36"/>
  <c r="J26" i="36"/>
  <c r="J49" i="36" s="1"/>
  <c r="J51" i="36" s="1"/>
  <c r="N95" i="36"/>
  <c r="N26" i="36"/>
  <c r="N49" i="36" s="1"/>
  <c r="N51" i="36" s="1"/>
  <c r="G95" i="36"/>
  <c r="G26" i="36"/>
  <c r="G49" i="36" s="1"/>
  <c r="G51" i="36" s="1"/>
  <c r="K95" i="36"/>
  <c r="K26" i="36"/>
  <c r="K49" i="36" s="1"/>
  <c r="K51" i="36" s="1"/>
  <c r="O95" i="36"/>
  <c r="O26" i="36"/>
  <c r="O49" i="36" s="1"/>
  <c r="O51" i="36" s="1"/>
  <c r="D95" i="36"/>
  <c r="D97" i="36" s="1"/>
  <c r="D51" i="36"/>
  <c r="H95" i="36"/>
  <c r="H26" i="36"/>
  <c r="H49" i="36" s="1"/>
  <c r="H51" i="36" s="1"/>
  <c r="L95" i="36"/>
  <c r="L26" i="36"/>
  <c r="L49" i="36" s="1"/>
  <c r="L51" i="36" s="1"/>
  <c r="J101" i="36"/>
  <c r="J32" i="36"/>
  <c r="J55" i="36" s="1"/>
  <c r="N101" i="36"/>
  <c r="N32" i="36"/>
  <c r="N55" i="36" s="1"/>
  <c r="G101" i="36"/>
  <c r="G32" i="36"/>
  <c r="G55" i="36" s="1"/>
  <c r="K101" i="36"/>
  <c r="K32" i="36"/>
  <c r="K55" i="36" s="1"/>
  <c r="O101" i="36"/>
  <c r="O32" i="36"/>
  <c r="O55" i="36" s="1"/>
  <c r="F101" i="36"/>
  <c r="F32" i="36"/>
  <c r="F55" i="36" s="1"/>
  <c r="H101" i="36"/>
  <c r="H32" i="36"/>
  <c r="H55" i="36" s="1"/>
  <c r="L101" i="36"/>
  <c r="L32" i="36"/>
  <c r="L55" i="36" s="1"/>
  <c r="I101" i="36"/>
  <c r="I32" i="36"/>
  <c r="I55" i="36" s="1"/>
  <c r="M101" i="36"/>
  <c r="M32" i="36"/>
  <c r="M55" i="36" s="1"/>
  <c r="F57" i="36" l="1"/>
  <c r="P52" i="36"/>
  <c r="N57" i="36"/>
  <c r="K57" i="36"/>
  <c r="H57" i="36"/>
  <c r="L57" i="36"/>
  <c r="O57" i="36"/>
  <c r="G57" i="36"/>
  <c r="J57" i="36"/>
  <c r="M57" i="36"/>
  <c r="E57" i="36"/>
  <c r="I57" i="36"/>
  <c r="P49" i="36"/>
  <c r="P51" i="36"/>
  <c r="P212" i="46" l="1"/>
  <c r="Q212" i="46" s="1"/>
  <c r="P211" i="46"/>
  <c r="Q211" i="46" s="1"/>
  <c r="P209" i="46"/>
  <c r="Q209" i="46" s="1"/>
  <c r="D202" i="46"/>
  <c r="C202" i="46"/>
  <c r="B140" i="63"/>
  <c r="P173" i="26"/>
  <c r="P172" i="26"/>
  <c r="P171" i="26"/>
  <c r="P170" i="26"/>
  <c r="P169" i="26"/>
  <c r="P168" i="26"/>
  <c r="P167" i="26"/>
  <c r="P166" i="26"/>
  <c r="P165" i="26"/>
  <c r="P164" i="26"/>
  <c r="P163" i="26"/>
  <c r="P162" i="26"/>
  <c r="P161" i="26"/>
  <c r="P160" i="26"/>
  <c r="P159" i="26"/>
  <c r="P158" i="26"/>
  <c r="P157" i="26"/>
  <c r="P156" i="26"/>
  <c r="P155" i="26"/>
  <c r="P154" i="26"/>
  <c r="P153" i="26"/>
  <c r="P152" i="26"/>
  <c r="P151" i="26"/>
  <c r="P150" i="26"/>
  <c r="P149" i="26"/>
  <c r="P148" i="26"/>
  <c r="P147" i="26"/>
  <c r="P146" i="26"/>
  <c r="P145" i="26"/>
  <c r="P144" i="26"/>
  <c r="P143" i="26"/>
  <c r="P142" i="26"/>
  <c r="P141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B140" i="27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P145" i="4"/>
  <c r="Q145" i="4" s="1"/>
  <c r="P144" i="4"/>
  <c r="Q144" i="4" s="1"/>
  <c r="P143" i="4"/>
  <c r="Q143" i="4" s="1"/>
  <c r="P142" i="4"/>
  <c r="P141" i="4"/>
  <c r="Q141" i="4" s="1"/>
  <c r="O140" i="4"/>
  <c r="N140" i="4"/>
  <c r="M140" i="4"/>
  <c r="L140" i="4"/>
  <c r="K140" i="4"/>
  <c r="J140" i="4"/>
  <c r="I140" i="4"/>
  <c r="H140" i="4"/>
  <c r="G140" i="4"/>
  <c r="F140" i="4"/>
  <c r="E140" i="4"/>
  <c r="D140" i="4"/>
  <c r="P151" i="19"/>
  <c r="Q151" i="19" s="1"/>
  <c r="P141" i="19"/>
  <c r="Q141" i="19" s="1"/>
  <c r="D7" i="26"/>
  <c r="P2" i="70"/>
  <c r="D11" i="63"/>
  <c r="O16" i="4"/>
  <c r="N16" i="4"/>
  <c r="M16" i="4"/>
  <c r="L16" i="4"/>
  <c r="K16" i="4"/>
  <c r="J16" i="4"/>
  <c r="I16" i="4"/>
  <c r="H16" i="4"/>
  <c r="G16" i="4"/>
  <c r="F16" i="4"/>
  <c r="E16" i="4"/>
  <c r="O8" i="4"/>
  <c r="N8" i="4"/>
  <c r="M8" i="4"/>
  <c r="L8" i="4"/>
  <c r="K8" i="4"/>
  <c r="J8" i="4"/>
  <c r="I8" i="4"/>
  <c r="H8" i="4"/>
  <c r="G8" i="4"/>
  <c r="F8" i="4"/>
  <c r="E8" i="4"/>
  <c r="D8" i="4"/>
  <c r="O101" i="6"/>
  <c r="D101" i="6"/>
  <c r="O16" i="6"/>
  <c r="N16" i="6"/>
  <c r="M16" i="6"/>
  <c r="L16" i="6"/>
  <c r="K16" i="6"/>
  <c r="J16" i="6"/>
  <c r="I16" i="6"/>
  <c r="H16" i="6"/>
  <c r="G16" i="6"/>
  <c r="F16" i="6"/>
  <c r="E16" i="6"/>
  <c r="N101" i="6"/>
  <c r="M101" i="6"/>
  <c r="L101" i="6"/>
  <c r="K101" i="6"/>
  <c r="J101" i="6"/>
  <c r="I101" i="6"/>
  <c r="H101" i="6"/>
  <c r="G101" i="6"/>
  <c r="F101" i="6"/>
  <c r="E101" i="6"/>
  <c r="O8" i="6"/>
  <c r="O98" i="6" s="1"/>
  <c r="N8" i="6"/>
  <c r="N98" i="6" s="1"/>
  <c r="M8" i="6"/>
  <c r="M98" i="6" s="1"/>
  <c r="L8" i="6"/>
  <c r="L98" i="6" s="1"/>
  <c r="K8" i="6"/>
  <c r="K98" i="6" s="1"/>
  <c r="J8" i="6"/>
  <c r="J98" i="6" s="1"/>
  <c r="I8" i="6"/>
  <c r="I98" i="6" s="1"/>
  <c r="H8" i="6"/>
  <c r="H98" i="6" s="1"/>
  <c r="G8" i="6"/>
  <c r="G98" i="6" s="1"/>
  <c r="F8" i="6"/>
  <c r="F98" i="6" s="1"/>
  <c r="E8" i="6"/>
  <c r="E98" i="6" s="1"/>
  <c r="D16" i="6"/>
  <c r="D8" i="6"/>
  <c r="D98" i="6" s="1"/>
  <c r="O101" i="5"/>
  <c r="N101" i="5"/>
  <c r="M101" i="5"/>
  <c r="L101" i="5"/>
  <c r="K101" i="5"/>
  <c r="J101" i="5"/>
  <c r="I101" i="5"/>
  <c r="H101" i="5"/>
  <c r="G101" i="5"/>
  <c r="F101" i="5"/>
  <c r="E101" i="5"/>
  <c r="D101" i="5"/>
  <c r="O8" i="7"/>
  <c r="N8" i="7"/>
  <c r="M8" i="7"/>
  <c r="L8" i="7"/>
  <c r="K8" i="7"/>
  <c r="J8" i="7"/>
  <c r="I8" i="7"/>
  <c r="H8" i="7"/>
  <c r="G8" i="7"/>
  <c r="F8" i="7"/>
  <c r="E8" i="7"/>
  <c r="D8" i="7"/>
  <c r="O8" i="9"/>
  <c r="N8" i="9"/>
  <c r="M8" i="9"/>
  <c r="L8" i="9"/>
  <c r="K8" i="9"/>
  <c r="J8" i="9"/>
  <c r="I8" i="9"/>
  <c r="H8" i="9"/>
  <c r="G8" i="9"/>
  <c r="F8" i="9"/>
  <c r="E8" i="9"/>
  <c r="D8" i="9"/>
  <c r="O8" i="10"/>
  <c r="N8" i="10"/>
  <c r="M8" i="10"/>
  <c r="L8" i="10"/>
  <c r="K8" i="10"/>
  <c r="J8" i="10"/>
  <c r="I8" i="10"/>
  <c r="H8" i="10"/>
  <c r="G8" i="10"/>
  <c r="F8" i="10"/>
  <c r="O8" i="11"/>
  <c r="N8" i="11"/>
  <c r="M8" i="11"/>
  <c r="L8" i="11"/>
  <c r="K8" i="11"/>
  <c r="J8" i="11"/>
  <c r="I8" i="11"/>
  <c r="H8" i="11"/>
  <c r="G8" i="11"/>
  <c r="F8" i="11"/>
  <c r="O8" i="13"/>
  <c r="N8" i="13"/>
  <c r="M8" i="13"/>
  <c r="L8" i="13"/>
  <c r="K8" i="13"/>
  <c r="J8" i="13"/>
  <c r="I8" i="13"/>
  <c r="H8" i="13"/>
  <c r="G8" i="13"/>
  <c r="F8" i="13"/>
  <c r="E8" i="13"/>
  <c r="D8" i="13"/>
  <c r="O8" i="14"/>
  <c r="N8" i="14"/>
  <c r="M8" i="14"/>
  <c r="L8" i="14"/>
  <c r="K8" i="14"/>
  <c r="J8" i="14"/>
  <c r="I8" i="14"/>
  <c r="H8" i="14"/>
  <c r="G8" i="14"/>
  <c r="F8" i="14"/>
  <c r="E8" i="14"/>
  <c r="D8" i="14"/>
  <c r="O8" i="17"/>
  <c r="N8" i="17"/>
  <c r="M8" i="17"/>
  <c r="L8" i="17"/>
  <c r="K8" i="17"/>
  <c r="J8" i="17"/>
  <c r="I8" i="17"/>
  <c r="H8" i="17"/>
  <c r="G8" i="17"/>
  <c r="F8" i="17"/>
  <c r="E8" i="17"/>
  <c r="D8" i="17"/>
  <c r="O8" i="18"/>
  <c r="N8" i="18"/>
  <c r="M8" i="18"/>
  <c r="L8" i="18"/>
  <c r="K8" i="18"/>
  <c r="J8" i="18"/>
  <c r="I8" i="18"/>
  <c r="H8" i="18"/>
  <c r="G8" i="18"/>
  <c r="F8" i="18"/>
  <c r="E8" i="18"/>
  <c r="D8" i="18"/>
  <c r="O16" i="5"/>
  <c r="N16" i="5"/>
  <c r="M16" i="5"/>
  <c r="L16" i="5"/>
  <c r="K16" i="5"/>
  <c r="J16" i="5"/>
  <c r="I16" i="5"/>
  <c r="H16" i="5"/>
  <c r="G16" i="5"/>
  <c r="F16" i="5"/>
  <c r="E16" i="5"/>
  <c r="D16" i="5"/>
  <c r="O16" i="7"/>
  <c r="N16" i="7"/>
  <c r="M16" i="7"/>
  <c r="L16" i="7"/>
  <c r="K16" i="7"/>
  <c r="J16" i="7"/>
  <c r="I16" i="7"/>
  <c r="H16" i="7"/>
  <c r="G16" i="7"/>
  <c r="F16" i="7"/>
  <c r="E16" i="7"/>
  <c r="D16" i="7"/>
  <c r="O11" i="7"/>
  <c r="N11" i="7"/>
  <c r="M11" i="7"/>
  <c r="L11" i="7"/>
  <c r="K11" i="7"/>
  <c r="J11" i="7"/>
  <c r="I11" i="7"/>
  <c r="H11" i="7"/>
  <c r="G11" i="7"/>
  <c r="F11" i="7"/>
  <c r="E11" i="7"/>
  <c r="D11" i="7"/>
  <c r="O16" i="9"/>
  <c r="N16" i="9"/>
  <c r="M16" i="9"/>
  <c r="L16" i="9"/>
  <c r="K16" i="9"/>
  <c r="J16" i="9"/>
  <c r="I16" i="9"/>
  <c r="H16" i="9"/>
  <c r="G16" i="9"/>
  <c r="F16" i="9"/>
  <c r="E16" i="9"/>
  <c r="D16" i="9"/>
  <c r="O16" i="11"/>
  <c r="N16" i="11"/>
  <c r="M16" i="11"/>
  <c r="L16" i="11"/>
  <c r="K16" i="11"/>
  <c r="J16" i="11"/>
  <c r="I16" i="11"/>
  <c r="H16" i="11"/>
  <c r="G16" i="11"/>
  <c r="F16" i="11"/>
  <c r="O16" i="10"/>
  <c r="N16" i="10"/>
  <c r="M16" i="10"/>
  <c r="L16" i="10"/>
  <c r="K16" i="10"/>
  <c r="J16" i="10"/>
  <c r="I16" i="10"/>
  <c r="H16" i="10"/>
  <c r="G16" i="10"/>
  <c r="F16" i="10"/>
  <c r="O11" i="10"/>
  <c r="O101" i="10" s="1"/>
  <c r="N11" i="10"/>
  <c r="N101" i="10" s="1"/>
  <c r="M11" i="10"/>
  <c r="M101" i="10" s="1"/>
  <c r="L11" i="10"/>
  <c r="L101" i="10" s="1"/>
  <c r="K11" i="10"/>
  <c r="K101" i="10" s="1"/>
  <c r="J11" i="10"/>
  <c r="J101" i="10" s="1"/>
  <c r="I11" i="10"/>
  <c r="I101" i="10" s="1"/>
  <c r="H11" i="10"/>
  <c r="H101" i="10" s="1"/>
  <c r="G11" i="10"/>
  <c r="G101" i="10" s="1"/>
  <c r="F11" i="10"/>
  <c r="F101" i="10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O16" i="13"/>
  <c r="N16" i="13"/>
  <c r="M16" i="13"/>
  <c r="L16" i="13"/>
  <c r="K16" i="13"/>
  <c r="J16" i="13"/>
  <c r="I16" i="13"/>
  <c r="H16" i="13"/>
  <c r="G16" i="13"/>
  <c r="F16" i="13"/>
  <c r="E16" i="13"/>
  <c r="D16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O16" i="15"/>
  <c r="N16" i="15"/>
  <c r="M16" i="15"/>
  <c r="L16" i="15"/>
  <c r="K16" i="15"/>
  <c r="J16" i="15"/>
  <c r="I16" i="15"/>
  <c r="H16" i="15"/>
  <c r="G16" i="15"/>
  <c r="F16" i="15"/>
  <c r="E16" i="15"/>
  <c r="D16" i="15"/>
  <c r="O11" i="15"/>
  <c r="N11" i="15"/>
  <c r="M11" i="15"/>
  <c r="L11" i="15"/>
  <c r="K11" i="15"/>
  <c r="J11" i="15"/>
  <c r="I11" i="15"/>
  <c r="H11" i="15"/>
  <c r="G11" i="15"/>
  <c r="F11" i="15"/>
  <c r="E11" i="15"/>
  <c r="O16" i="14"/>
  <c r="N16" i="14"/>
  <c r="M16" i="14"/>
  <c r="L16" i="14"/>
  <c r="K16" i="14"/>
  <c r="J16" i="14"/>
  <c r="I16" i="14"/>
  <c r="H16" i="14"/>
  <c r="G16" i="14"/>
  <c r="F16" i="14"/>
  <c r="E16" i="14"/>
  <c r="D16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O16" i="17"/>
  <c r="N16" i="17"/>
  <c r="M16" i="17"/>
  <c r="L16" i="17"/>
  <c r="K16" i="17"/>
  <c r="J16" i="17"/>
  <c r="I16" i="17"/>
  <c r="H16" i="17"/>
  <c r="G16" i="17"/>
  <c r="F16" i="17"/>
  <c r="E16" i="17"/>
  <c r="D16" i="17"/>
  <c r="E16" i="18"/>
  <c r="D16" i="18"/>
  <c r="O16" i="18"/>
  <c r="N16" i="18"/>
  <c r="M16" i="18"/>
  <c r="L16" i="18"/>
  <c r="K16" i="18"/>
  <c r="J16" i="18"/>
  <c r="I16" i="18"/>
  <c r="H16" i="18"/>
  <c r="G16" i="18"/>
  <c r="F16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O16" i="19"/>
  <c r="N16" i="19"/>
  <c r="M16" i="19"/>
  <c r="L16" i="19"/>
  <c r="K16" i="19"/>
  <c r="J16" i="19"/>
  <c r="I16" i="19"/>
  <c r="H16" i="19"/>
  <c r="G16" i="19"/>
  <c r="F16" i="19"/>
  <c r="F106" i="19" s="1"/>
  <c r="O8" i="19"/>
  <c r="N8" i="19"/>
  <c r="M8" i="19"/>
  <c r="L8" i="19"/>
  <c r="K8" i="19"/>
  <c r="J8" i="19"/>
  <c r="I8" i="19"/>
  <c r="H8" i="19"/>
  <c r="G8" i="19"/>
  <c r="F8" i="19"/>
  <c r="O11" i="19"/>
  <c r="O101" i="19" s="1"/>
  <c r="N11" i="19"/>
  <c r="N101" i="19" s="1"/>
  <c r="M11" i="19"/>
  <c r="M101" i="19" s="1"/>
  <c r="L11" i="19"/>
  <c r="L101" i="19" s="1"/>
  <c r="K11" i="19"/>
  <c r="K101" i="19" s="1"/>
  <c r="J11" i="19"/>
  <c r="J101" i="19" s="1"/>
  <c r="I11" i="19"/>
  <c r="I101" i="19" s="1"/>
  <c r="H11" i="19"/>
  <c r="H101" i="19" s="1"/>
  <c r="G11" i="19"/>
  <c r="G101" i="19" s="1"/>
  <c r="F11" i="19"/>
  <c r="F101" i="19" s="1"/>
  <c r="P140" i="26" l="1"/>
  <c r="H98" i="10"/>
  <c r="H29" i="10"/>
  <c r="L98" i="10"/>
  <c r="L29" i="10"/>
  <c r="I98" i="10"/>
  <c r="I29" i="10"/>
  <c r="M98" i="10"/>
  <c r="M29" i="10"/>
  <c r="F98" i="10"/>
  <c r="F29" i="10"/>
  <c r="J98" i="10"/>
  <c r="J29" i="10"/>
  <c r="N98" i="10"/>
  <c r="N29" i="10"/>
  <c r="G98" i="10"/>
  <c r="G29" i="10"/>
  <c r="K98" i="10"/>
  <c r="K29" i="10"/>
  <c r="O98" i="10"/>
  <c r="O29" i="10"/>
  <c r="F98" i="7"/>
  <c r="F29" i="7"/>
  <c r="J98" i="7"/>
  <c r="J29" i="7"/>
  <c r="D98" i="7"/>
  <c r="D29" i="7"/>
  <c r="H98" i="7"/>
  <c r="H29" i="7"/>
  <c r="L98" i="7"/>
  <c r="L29" i="7"/>
  <c r="E98" i="7"/>
  <c r="E29" i="7"/>
  <c r="I98" i="7"/>
  <c r="I29" i="7"/>
  <c r="M98" i="7"/>
  <c r="M29" i="7"/>
  <c r="N98" i="7"/>
  <c r="N29" i="7"/>
  <c r="G98" i="7"/>
  <c r="G29" i="7"/>
  <c r="K98" i="7"/>
  <c r="K29" i="7"/>
  <c r="O98" i="7"/>
  <c r="O29" i="7"/>
  <c r="F98" i="9"/>
  <c r="F29" i="9"/>
  <c r="J98" i="9"/>
  <c r="J29" i="9"/>
  <c r="N98" i="9"/>
  <c r="N29" i="9"/>
  <c r="G98" i="9"/>
  <c r="G29" i="9"/>
  <c r="K98" i="9"/>
  <c r="K29" i="9"/>
  <c r="O98" i="9"/>
  <c r="O29" i="9"/>
  <c r="H98" i="9"/>
  <c r="H29" i="9"/>
  <c r="L98" i="9"/>
  <c r="L29" i="9"/>
  <c r="E98" i="9"/>
  <c r="E29" i="9"/>
  <c r="I98" i="9"/>
  <c r="I29" i="9"/>
  <c r="M98" i="9"/>
  <c r="M29" i="9"/>
  <c r="D98" i="9"/>
  <c r="D29" i="9"/>
  <c r="Q142" i="4"/>
  <c r="I98" i="19"/>
  <c r="I29" i="19"/>
  <c r="M98" i="19"/>
  <c r="M29" i="19"/>
  <c r="F98" i="19"/>
  <c r="F29" i="19"/>
  <c r="J98" i="19"/>
  <c r="J29" i="19"/>
  <c r="N98" i="19"/>
  <c r="N29" i="19"/>
  <c r="G98" i="19"/>
  <c r="G29" i="19"/>
  <c r="K98" i="19"/>
  <c r="K29" i="19"/>
  <c r="O98" i="19"/>
  <c r="O29" i="19"/>
  <c r="H98" i="19"/>
  <c r="H29" i="19"/>
  <c r="L98" i="19"/>
  <c r="L29" i="19"/>
  <c r="E101" i="9"/>
  <c r="E32" i="9"/>
  <c r="I101" i="9"/>
  <c r="I32" i="9"/>
  <c r="M101" i="9"/>
  <c r="M32" i="9"/>
  <c r="F101" i="9"/>
  <c r="F32" i="9"/>
  <c r="J101" i="9"/>
  <c r="J32" i="9"/>
  <c r="N101" i="9"/>
  <c r="N32" i="9"/>
  <c r="G101" i="9"/>
  <c r="G32" i="9"/>
  <c r="K101" i="9"/>
  <c r="K32" i="9"/>
  <c r="O101" i="9"/>
  <c r="O32" i="9"/>
  <c r="H101" i="9"/>
  <c r="H32" i="9"/>
  <c r="L101" i="9"/>
  <c r="L32" i="9"/>
  <c r="F101" i="7"/>
  <c r="F32" i="7"/>
  <c r="J101" i="7"/>
  <c r="J32" i="7"/>
  <c r="N101" i="7"/>
  <c r="N32" i="7"/>
  <c r="G101" i="7"/>
  <c r="G32" i="7"/>
  <c r="K101" i="7"/>
  <c r="K32" i="7"/>
  <c r="O101" i="7"/>
  <c r="O32" i="7"/>
  <c r="D101" i="7"/>
  <c r="D32" i="7"/>
  <c r="H101" i="7"/>
  <c r="H32" i="7"/>
  <c r="L101" i="7"/>
  <c r="L32" i="7"/>
  <c r="E101" i="7"/>
  <c r="E32" i="7"/>
  <c r="I101" i="7"/>
  <c r="I32" i="7"/>
  <c r="M101" i="7"/>
  <c r="M32" i="7"/>
  <c r="E99" i="6"/>
  <c r="E30" i="6"/>
  <c r="F99" i="6"/>
  <c r="F30" i="6"/>
  <c r="J99" i="6"/>
  <c r="J30" i="6"/>
  <c r="N99" i="6"/>
  <c r="N30" i="6"/>
  <c r="I99" i="6"/>
  <c r="I30" i="6"/>
  <c r="G99" i="6"/>
  <c r="G30" i="6"/>
  <c r="K99" i="6"/>
  <c r="K30" i="6"/>
  <c r="O99" i="6"/>
  <c r="O30" i="6"/>
  <c r="M99" i="6"/>
  <c r="M30" i="6"/>
  <c r="H99" i="6"/>
  <c r="H30" i="6"/>
  <c r="L99" i="6"/>
  <c r="L30" i="6"/>
  <c r="D16" i="20"/>
  <c r="E11" i="20"/>
  <c r="I11" i="20"/>
  <c r="M11" i="20"/>
  <c r="E16" i="20"/>
  <c r="I16" i="20"/>
  <c r="M16" i="20"/>
  <c r="F11" i="20"/>
  <c r="J11" i="20"/>
  <c r="N11" i="20"/>
  <c r="F16" i="20"/>
  <c r="J16" i="20"/>
  <c r="N16" i="20"/>
  <c r="G11" i="20"/>
  <c r="K11" i="20"/>
  <c r="O11" i="20"/>
  <c r="G16" i="20"/>
  <c r="K16" i="20"/>
  <c r="O16" i="20"/>
  <c r="H11" i="20"/>
  <c r="L11" i="20"/>
  <c r="H16" i="20"/>
  <c r="L16" i="20"/>
  <c r="F8" i="20"/>
  <c r="J8" i="20"/>
  <c r="N8" i="20"/>
  <c r="G8" i="20"/>
  <c r="H8" i="20"/>
  <c r="L8" i="20"/>
  <c r="D8" i="20"/>
  <c r="K8" i="20"/>
  <c r="O8" i="20"/>
  <c r="E8" i="20"/>
  <c r="I8" i="20"/>
  <c r="M8" i="20"/>
  <c r="Q5" i="43"/>
  <c r="P140" i="4"/>
  <c r="Q140" i="4" s="1"/>
  <c r="D39" i="19"/>
  <c r="O5" i="19"/>
  <c r="N5" i="19"/>
  <c r="M5" i="19"/>
  <c r="L5" i="19"/>
  <c r="K5" i="19"/>
  <c r="J5" i="19"/>
  <c r="I5" i="19"/>
  <c r="H5" i="19"/>
  <c r="F5" i="19"/>
  <c r="O9" i="19"/>
  <c r="N9" i="19"/>
  <c r="M9" i="19"/>
  <c r="L9" i="19"/>
  <c r="K9" i="19"/>
  <c r="J9" i="19"/>
  <c r="I9" i="19"/>
  <c r="H9" i="19"/>
  <c r="G9" i="19"/>
  <c r="F9" i="19"/>
  <c r="O5" i="18"/>
  <c r="N5" i="18"/>
  <c r="M5" i="18"/>
  <c r="L5" i="18"/>
  <c r="K5" i="18"/>
  <c r="J5" i="18"/>
  <c r="I5" i="18"/>
  <c r="H5" i="18"/>
  <c r="G5" i="18"/>
  <c r="F5" i="18"/>
  <c r="E5" i="18"/>
  <c r="O5" i="14"/>
  <c r="N5" i="14"/>
  <c r="M5" i="14"/>
  <c r="L5" i="14"/>
  <c r="K5" i="14"/>
  <c r="J5" i="14"/>
  <c r="I5" i="14"/>
  <c r="H5" i="14"/>
  <c r="G5" i="14"/>
  <c r="F5" i="14"/>
  <c r="E5" i="14"/>
  <c r="O5" i="13"/>
  <c r="N5" i="13"/>
  <c r="M5" i="13"/>
  <c r="L5" i="13"/>
  <c r="K5" i="13"/>
  <c r="J5" i="13"/>
  <c r="I5" i="13"/>
  <c r="H5" i="13"/>
  <c r="G5" i="13"/>
  <c r="F5" i="13"/>
  <c r="E5" i="13"/>
  <c r="O5" i="12"/>
  <c r="N5" i="12"/>
  <c r="M5" i="12"/>
  <c r="L5" i="12"/>
  <c r="K5" i="12"/>
  <c r="J5" i="12"/>
  <c r="I5" i="12"/>
  <c r="H5" i="12"/>
  <c r="G5" i="12"/>
  <c r="F5" i="12"/>
  <c r="E5" i="12"/>
  <c r="D5" i="12"/>
  <c r="O5" i="10"/>
  <c r="N5" i="10"/>
  <c r="M5" i="10"/>
  <c r="L5" i="10"/>
  <c r="K5" i="10"/>
  <c r="J5" i="10"/>
  <c r="I5" i="10"/>
  <c r="H5" i="10"/>
  <c r="G5" i="10"/>
  <c r="F5" i="10"/>
  <c r="O9" i="10"/>
  <c r="N9" i="10"/>
  <c r="M9" i="10"/>
  <c r="L9" i="10"/>
  <c r="K9" i="10"/>
  <c r="J9" i="10"/>
  <c r="I9" i="10"/>
  <c r="H9" i="10"/>
  <c r="G9" i="10"/>
  <c r="F9" i="10"/>
  <c r="D9" i="10"/>
  <c r="F99" i="19" l="1"/>
  <c r="F30" i="19"/>
  <c r="J99" i="19"/>
  <c r="J30" i="19"/>
  <c r="N99" i="19"/>
  <c r="N30" i="19"/>
  <c r="I95" i="19"/>
  <c r="I26" i="19"/>
  <c r="M95" i="19"/>
  <c r="M26" i="19"/>
  <c r="G99" i="19"/>
  <c r="G30" i="19"/>
  <c r="K99" i="19"/>
  <c r="K30" i="19"/>
  <c r="O99" i="19"/>
  <c r="O30" i="19"/>
  <c r="J95" i="19"/>
  <c r="J26" i="19"/>
  <c r="N95" i="19"/>
  <c r="N26" i="19"/>
  <c r="H99" i="19"/>
  <c r="H30" i="19"/>
  <c r="L99" i="19"/>
  <c r="L30" i="19"/>
  <c r="F95" i="19"/>
  <c r="F26" i="19"/>
  <c r="K95" i="19"/>
  <c r="K26" i="19"/>
  <c r="O95" i="19"/>
  <c r="O26" i="19"/>
  <c r="I99" i="19"/>
  <c r="I30" i="19"/>
  <c r="M99" i="19"/>
  <c r="M30" i="19"/>
  <c r="H95" i="19"/>
  <c r="H26" i="19"/>
  <c r="L95" i="19"/>
  <c r="L26" i="19"/>
  <c r="D99" i="10"/>
  <c r="D30" i="10"/>
  <c r="G99" i="10"/>
  <c r="G30" i="10"/>
  <c r="K99" i="10"/>
  <c r="K30" i="10"/>
  <c r="O99" i="10"/>
  <c r="O30" i="10"/>
  <c r="H95" i="10"/>
  <c r="H26" i="10"/>
  <c r="L95" i="10"/>
  <c r="L26" i="10"/>
  <c r="H99" i="10"/>
  <c r="H30" i="10"/>
  <c r="L99" i="10"/>
  <c r="L30" i="10"/>
  <c r="I95" i="10"/>
  <c r="I26" i="10"/>
  <c r="M95" i="10"/>
  <c r="M26" i="10"/>
  <c r="M99" i="10"/>
  <c r="M30" i="10"/>
  <c r="F95" i="10"/>
  <c r="F26" i="10"/>
  <c r="J95" i="10"/>
  <c r="J26" i="10"/>
  <c r="N95" i="10"/>
  <c r="N26" i="10"/>
  <c r="I99" i="10"/>
  <c r="I30" i="10"/>
  <c r="F99" i="10"/>
  <c r="F30" i="10"/>
  <c r="J99" i="10"/>
  <c r="J30" i="10"/>
  <c r="N99" i="10"/>
  <c r="N30" i="10"/>
  <c r="G95" i="10"/>
  <c r="G26" i="10"/>
  <c r="K95" i="10"/>
  <c r="K26" i="10"/>
  <c r="O95" i="10"/>
  <c r="O26" i="10"/>
  <c r="F99" i="9"/>
  <c r="F30" i="9"/>
  <c r="J99" i="9"/>
  <c r="J30" i="9"/>
  <c r="N99" i="9"/>
  <c r="N30" i="9"/>
  <c r="F95" i="9"/>
  <c r="F26" i="9"/>
  <c r="J95" i="9"/>
  <c r="J26" i="9"/>
  <c r="N95" i="9"/>
  <c r="N26" i="9"/>
  <c r="G99" i="9"/>
  <c r="G30" i="9"/>
  <c r="K99" i="9"/>
  <c r="K30" i="9"/>
  <c r="O99" i="9"/>
  <c r="O30" i="9"/>
  <c r="G95" i="9"/>
  <c r="G26" i="9"/>
  <c r="K95" i="9"/>
  <c r="K26" i="9"/>
  <c r="O95" i="9"/>
  <c r="O26" i="9"/>
  <c r="H99" i="9"/>
  <c r="H30" i="9"/>
  <c r="L99" i="9"/>
  <c r="L30" i="9"/>
  <c r="H95" i="9"/>
  <c r="H26" i="9"/>
  <c r="L95" i="9"/>
  <c r="L26" i="9"/>
  <c r="E99" i="9"/>
  <c r="E30" i="9"/>
  <c r="I99" i="9"/>
  <c r="I30" i="9"/>
  <c r="M99" i="9"/>
  <c r="M30" i="9"/>
  <c r="E95" i="9"/>
  <c r="E26" i="9"/>
  <c r="I95" i="9"/>
  <c r="I26" i="9"/>
  <c r="M95" i="9"/>
  <c r="M26" i="9"/>
  <c r="F95" i="6"/>
  <c r="F26" i="6"/>
  <c r="G95" i="6"/>
  <c r="G26" i="6"/>
  <c r="K95" i="6"/>
  <c r="K26" i="6"/>
  <c r="O95" i="6"/>
  <c r="O26" i="6"/>
  <c r="N95" i="6"/>
  <c r="N26" i="6"/>
  <c r="L95" i="6"/>
  <c r="L26" i="6"/>
  <c r="J95" i="6"/>
  <c r="J26" i="6"/>
  <c r="H95" i="6"/>
  <c r="H26" i="6"/>
  <c r="E95" i="6"/>
  <c r="E26" i="6"/>
  <c r="I95" i="6"/>
  <c r="I26" i="6"/>
  <c r="M95" i="6"/>
  <c r="M26" i="6"/>
  <c r="P16" i="20"/>
  <c r="D62" i="19"/>
  <c r="K5" i="15"/>
  <c r="H5" i="15"/>
  <c r="E5" i="15"/>
  <c r="I5" i="15"/>
  <c r="M5" i="15"/>
  <c r="G5" i="15"/>
  <c r="O5" i="15"/>
  <c r="L5" i="15"/>
  <c r="F5" i="15"/>
  <c r="J5" i="15"/>
  <c r="N5" i="15"/>
  <c r="D85" i="19" l="1"/>
  <c r="P294" i="33" l="1"/>
  <c r="Q294" i="33" s="1"/>
  <c r="P150" i="33"/>
  <c r="Q150" i="33" s="1"/>
  <c r="Q102" i="33"/>
  <c r="P318" i="33"/>
  <c r="Q318" i="33" s="1"/>
  <c r="P174" i="33"/>
  <c r="Q174" i="33" s="1"/>
  <c r="P275" i="33"/>
  <c r="Q275" i="33" s="1"/>
  <c r="P270" i="33"/>
  <c r="Q270" i="33" s="1"/>
  <c r="P246" i="33"/>
  <c r="Q246" i="33" s="1"/>
  <c r="P9" i="33" l="1"/>
  <c r="P11" i="33"/>
  <c r="D31" i="7" l="1"/>
  <c r="P221" i="46" l="1"/>
  <c r="Q206" i="46" l="1"/>
  <c r="C173" i="46" l="1"/>
  <c r="C174" i="46"/>
  <c r="C171" i="46"/>
  <c r="C168" i="46"/>
  <c r="C177" i="46"/>
  <c r="C178" i="46"/>
  <c r="C175" i="46"/>
  <c r="C156" i="46"/>
  <c r="C172" i="46"/>
  <c r="C165" i="46"/>
  <c r="C181" i="46"/>
  <c r="C166" i="46"/>
  <c r="C182" i="46"/>
  <c r="C163" i="46"/>
  <c r="C179" i="46"/>
  <c r="C160" i="46"/>
  <c r="C176" i="46"/>
  <c r="C158" i="46"/>
  <c r="C155" i="46"/>
  <c r="C152" i="46"/>
  <c r="C161" i="46"/>
  <c r="C162" i="46"/>
  <c r="C159" i="46"/>
  <c r="C153" i="46"/>
  <c r="C169" i="46"/>
  <c r="C154" i="46"/>
  <c r="C170" i="46"/>
  <c r="C151" i="46"/>
  <c r="C167" i="46"/>
  <c r="C183" i="46"/>
  <c r="C164" i="46"/>
  <c r="C180" i="46"/>
  <c r="C150" i="46" l="1"/>
  <c r="C200" i="46" s="1"/>
  <c r="P152" i="19"/>
  <c r="Q152" i="19" s="1"/>
  <c r="P141" i="7"/>
  <c r="Q141" i="7" s="1"/>
  <c r="P142" i="7"/>
  <c r="Q142" i="7" s="1"/>
  <c r="P143" i="7"/>
  <c r="Q143" i="7" s="1"/>
  <c r="P144" i="7"/>
  <c r="Q144" i="7" s="1"/>
  <c r="P145" i="7"/>
  <c r="Q145" i="7" s="1"/>
  <c r="P146" i="7"/>
  <c r="Q146" i="7" s="1"/>
  <c r="P147" i="7"/>
  <c r="Q147" i="7" s="1"/>
  <c r="P148" i="7"/>
  <c r="Q148" i="7" s="1"/>
  <c r="P149" i="7"/>
  <c r="Q149" i="7" s="1"/>
  <c r="P150" i="7"/>
  <c r="Q150" i="7" s="1"/>
  <c r="P152" i="7"/>
  <c r="Q152" i="7" s="1"/>
  <c r="P153" i="7"/>
  <c r="Q153" i="7" s="1"/>
  <c r="P154" i="7"/>
  <c r="Q154" i="7" s="1"/>
  <c r="P155" i="7"/>
  <c r="Q155" i="7" s="1"/>
  <c r="P156" i="7"/>
  <c r="Q156" i="7" s="1"/>
  <c r="P157" i="7"/>
  <c r="Q157" i="7" s="1"/>
  <c r="P158" i="7"/>
  <c r="Q158" i="7" s="1"/>
  <c r="P159" i="7"/>
  <c r="Q159" i="7" s="1"/>
  <c r="P160" i="7"/>
  <c r="Q160" i="7" s="1"/>
  <c r="P161" i="7"/>
  <c r="Q161" i="7" s="1"/>
  <c r="P162" i="7"/>
  <c r="Q162" i="7" s="1"/>
  <c r="P163" i="7"/>
  <c r="Q163" i="7" s="1"/>
  <c r="P164" i="7"/>
  <c r="Q164" i="7" s="1"/>
  <c r="P165" i="7"/>
  <c r="Q165" i="7" s="1"/>
  <c r="P166" i="7"/>
  <c r="Q166" i="7" s="1"/>
  <c r="P167" i="7"/>
  <c r="Q167" i="7" s="1"/>
  <c r="P168" i="7"/>
  <c r="Q168" i="7" s="1"/>
  <c r="P169" i="7"/>
  <c r="Q169" i="7" s="1"/>
  <c r="P170" i="7"/>
  <c r="Q170" i="7" s="1"/>
  <c r="P171" i="7"/>
  <c r="Q171" i="7" s="1"/>
  <c r="P172" i="7"/>
  <c r="Q172" i="7" s="1"/>
  <c r="P173" i="7"/>
  <c r="Q173" i="7" s="1"/>
  <c r="P142" i="19"/>
  <c r="Q142" i="19" s="1"/>
  <c r="P143" i="19"/>
  <c r="Q143" i="19" s="1"/>
  <c r="P144" i="19"/>
  <c r="Q144" i="19" s="1"/>
  <c r="P145" i="19"/>
  <c r="Q145" i="19" s="1"/>
  <c r="P146" i="19"/>
  <c r="Q146" i="19" s="1"/>
  <c r="P147" i="19"/>
  <c r="Q147" i="19" s="1"/>
  <c r="P148" i="19"/>
  <c r="Q148" i="19" s="1"/>
  <c r="P149" i="19"/>
  <c r="Q149" i="19" s="1"/>
  <c r="P150" i="19"/>
  <c r="Q150" i="19" s="1"/>
  <c r="P151" i="7"/>
  <c r="Q151" i="7" s="1"/>
  <c r="P140" i="7" l="1"/>
  <c r="Q140" i="7" s="1"/>
  <c r="P141" i="15" l="1"/>
  <c r="Q141" i="15" s="1"/>
  <c r="M36" i="36" l="1"/>
  <c r="M59" i="36" s="1"/>
  <c r="M58" i="36" s="1"/>
  <c r="I36" i="36"/>
  <c r="I59" i="36" s="1"/>
  <c r="I58" i="36" s="1"/>
  <c r="E36" i="36"/>
  <c r="E59" i="36" s="1"/>
  <c r="E58" i="36" s="1"/>
  <c r="L36" i="36"/>
  <c r="L59" i="36" s="1"/>
  <c r="L58" i="36" s="1"/>
  <c r="H36" i="36"/>
  <c r="H59" i="36" s="1"/>
  <c r="H58" i="36" s="1"/>
  <c r="O36" i="36"/>
  <c r="O59" i="36" s="1"/>
  <c r="O58" i="36" s="1"/>
  <c r="K36" i="36"/>
  <c r="K59" i="36" s="1"/>
  <c r="K58" i="36" s="1"/>
  <c r="G36" i="36"/>
  <c r="G59" i="36" s="1"/>
  <c r="G58" i="36" s="1"/>
  <c r="N36" i="36"/>
  <c r="N59" i="36" s="1"/>
  <c r="N58" i="36" s="1"/>
  <c r="J36" i="36"/>
  <c r="J59" i="36" s="1"/>
  <c r="J58" i="36" s="1"/>
  <c r="F36" i="36"/>
  <c r="F59" i="36" s="1"/>
  <c r="F58" i="36" s="1"/>
  <c r="P350" i="34" l="1"/>
  <c r="Q350" i="34" s="1"/>
  <c r="D36" i="36"/>
  <c r="D59" i="36" s="1"/>
  <c r="Q8" i="33"/>
  <c r="P59" i="36" l="1"/>
  <c r="D58" i="36"/>
  <c r="D7" i="35"/>
  <c r="E23" i="81" l="1"/>
  <c r="I23" i="81"/>
  <c r="M23" i="81"/>
  <c r="J39" i="81"/>
  <c r="F23" i="81"/>
  <c r="J23" i="81"/>
  <c r="G23" i="81"/>
  <c r="K23" i="81"/>
  <c r="L39" i="81"/>
  <c r="D23" i="81"/>
  <c r="H23" i="81"/>
  <c r="L23" i="81"/>
  <c r="D39" i="81" l="1"/>
  <c r="F39" i="81"/>
  <c r="G39" i="81"/>
  <c r="C39" i="81"/>
  <c r="M39" i="81"/>
  <c r="K39" i="81"/>
  <c r="I39" i="81"/>
  <c r="H39" i="81"/>
  <c r="E39" i="81"/>
  <c r="N23" i="81"/>
  <c r="Q219" i="46"/>
  <c r="C119" i="58"/>
  <c r="N39" i="81" l="1"/>
  <c r="C185" i="58"/>
  <c r="D55" i="25" l="1"/>
  <c r="D27" i="19" l="1"/>
  <c r="D33" i="19"/>
  <c r="E27" i="19"/>
  <c r="E31" i="19"/>
  <c r="F31" i="19"/>
  <c r="G31" i="19"/>
  <c r="H31" i="19"/>
  <c r="I31" i="19"/>
  <c r="J31" i="19"/>
  <c r="K31" i="19"/>
  <c r="L31" i="19"/>
  <c r="M31" i="19"/>
  <c r="N31" i="19"/>
  <c r="O31" i="19"/>
  <c r="E33" i="19"/>
  <c r="D31" i="19"/>
  <c r="D27" i="11"/>
  <c r="E33" i="11"/>
  <c r="E56" i="11" s="1"/>
  <c r="E31" i="11"/>
  <c r="E54" i="11" s="1"/>
  <c r="E29" i="11"/>
  <c r="E52" i="11" s="1"/>
  <c r="E27" i="11"/>
  <c r="D33" i="11"/>
  <c r="D31" i="11"/>
  <c r="D29" i="11"/>
  <c r="O31" i="10"/>
  <c r="E33" i="10"/>
  <c r="E56" i="10" s="1"/>
  <c r="N31" i="10"/>
  <c r="M31" i="10"/>
  <c r="L31" i="10"/>
  <c r="K31" i="10"/>
  <c r="J31" i="10"/>
  <c r="I31" i="10"/>
  <c r="H31" i="10"/>
  <c r="G31" i="10"/>
  <c r="F31" i="10"/>
  <c r="E31" i="10"/>
  <c r="E52" i="10"/>
  <c r="D33" i="10"/>
  <c r="D56" i="10" s="1"/>
  <c r="D52" i="10"/>
  <c r="D31" i="9"/>
  <c r="E31" i="9"/>
  <c r="F31" i="9"/>
  <c r="G31" i="9"/>
  <c r="H31" i="9"/>
  <c r="I31" i="9"/>
  <c r="J31" i="9"/>
  <c r="K31" i="9"/>
  <c r="L31" i="9"/>
  <c r="M31" i="9"/>
  <c r="N31" i="9"/>
  <c r="O31" i="9"/>
  <c r="E31" i="7"/>
  <c r="F31" i="7"/>
  <c r="G31" i="7"/>
  <c r="H31" i="7"/>
  <c r="I31" i="7"/>
  <c r="J31" i="7"/>
  <c r="K31" i="7"/>
  <c r="L31" i="7"/>
  <c r="M31" i="7"/>
  <c r="N31" i="7"/>
  <c r="O31" i="7"/>
  <c r="O33" i="5"/>
  <c r="N33" i="5"/>
  <c r="M33" i="5"/>
  <c r="L33" i="5"/>
  <c r="K33" i="5"/>
  <c r="J33" i="5"/>
  <c r="I33" i="5"/>
  <c r="H33" i="5"/>
  <c r="G33" i="5"/>
  <c r="F33" i="5"/>
  <c r="E33" i="5"/>
  <c r="O31" i="5"/>
  <c r="N31" i="5"/>
  <c r="M31" i="5"/>
  <c r="L31" i="5"/>
  <c r="K31" i="5"/>
  <c r="J31" i="5"/>
  <c r="I31" i="5"/>
  <c r="H31" i="5"/>
  <c r="G31" i="5"/>
  <c r="F31" i="5"/>
  <c r="E31" i="5"/>
  <c r="D33" i="5"/>
  <c r="D31" i="5"/>
  <c r="O31" i="6"/>
  <c r="O27" i="6"/>
  <c r="E27" i="6"/>
  <c r="F27" i="6"/>
  <c r="G27" i="6"/>
  <c r="H27" i="6"/>
  <c r="I27" i="6"/>
  <c r="J27" i="6"/>
  <c r="K27" i="6"/>
  <c r="L27" i="6"/>
  <c r="M27" i="6"/>
  <c r="N27" i="6"/>
  <c r="E31" i="6"/>
  <c r="F31" i="6"/>
  <c r="G31" i="6"/>
  <c r="H31" i="6"/>
  <c r="I31" i="6"/>
  <c r="J31" i="6"/>
  <c r="K31" i="6"/>
  <c r="L31" i="6"/>
  <c r="M31" i="6"/>
  <c r="N31" i="6"/>
  <c r="D31" i="6"/>
  <c r="D27" i="6"/>
  <c r="I36" i="10"/>
  <c r="I59" i="10" s="1"/>
  <c r="D31" i="10" l="1"/>
  <c r="D54" i="10" s="1"/>
  <c r="D77" i="10" s="1"/>
  <c r="D123" i="10" s="1"/>
  <c r="E50" i="11"/>
  <c r="E73" i="11" s="1"/>
  <c r="E119" i="11" s="1"/>
  <c r="D54" i="11"/>
  <c r="D77" i="11" s="1"/>
  <c r="D123" i="11" s="1"/>
  <c r="E54" i="19"/>
  <c r="E77" i="19" s="1"/>
  <c r="E123" i="19" s="1"/>
  <c r="D56" i="11"/>
  <c r="D79" i="11" s="1"/>
  <c r="D125" i="11" s="1"/>
  <c r="D50" i="11"/>
  <c r="D73" i="11" s="1"/>
  <c r="D119" i="11" s="1"/>
  <c r="E56" i="19"/>
  <c r="E79" i="19" s="1"/>
  <c r="E125" i="19" s="1"/>
  <c r="E54" i="10"/>
  <c r="E77" i="10" s="1"/>
  <c r="E123" i="10" s="1"/>
  <c r="D52" i="19"/>
  <c r="D75" i="19" s="1"/>
  <c r="D50" i="19"/>
  <c r="D73" i="19" s="1"/>
  <c r="D119" i="19" s="1"/>
  <c r="D52" i="11"/>
  <c r="D75" i="11" s="1"/>
  <c r="D121" i="11" s="1"/>
  <c r="D56" i="19"/>
  <c r="D79" i="19" s="1"/>
  <c r="D125" i="19" s="1"/>
  <c r="D54" i="19"/>
  <c r="D77" i="19" s="1"/>
  <c r="D123" i="19" s="1"/>
  <c r="E79" i="11"/>
  <c r="E125" i="11" s="1"/>
  <c r="E77" i="11"/>
  <c r="E123" i="11" s="1"/>
  <c r="E79" i="10"/>
  <c r="E125" i="10" s="1"/>
  <c r="D79" i="10"/>
  <c r="D125" i="10" s="1"/>
  <c r="E50" i="19"/>
  <c r="E73" i="19" s="1"/>
  <c r="E119" i="19" s="1"/>
  <c r="E52" i="19"/>
  <c r="P248" i="34"/>
  <c r="E37" i="11"/>
  <c r="E60" i="11" s="1"/>
  <c r="E37" i="19"/>
  <c r="M37" i="10"/>
  <c r="M60" i="10" s="1"/>
  <c r="L36" i="10"/>
  <c r="L59" i="10" s="1"/>
  <c r="O37" i="10"/>
  <c r="O60" i="10" s="1"/>
  <c r="K37" i="10"/>
  <c r="K60" i="10" s="1"/>
  <c r="G37" i="10"/>
  <c r="G60" i="10" s="1"/>
  <c r="N37" i="10"/>
  <c r="N60" i="10" s="1"/>
  <c r="J37" i="10"/>
  <c r="J60" i="10" s="1"/>
  <c r="F37" i="10"/>
  <c r="F60" i="10" s="1"/>
  <c r="D37" i="19"/>
  <c r="D37" i="11"/>
  <c r="D60" i="11" s="1"/>
  <c r="L37" i="10"/>
  <c r="L60" i="10" s="1"/>
  <c r="D37" i="10"/>
  <c r="D60" i="10" s="1"/>
  <c r="I37" i="10"/>
  <c r="I60" i="10" s="1"/>
  <c r="I58" i="10" s="1"/>
  <c r="D36" i="10"/>
  <c r="D59" i="10" s="1"/>
  <c r="H37" i="10"/>
  <c r="H60" i="10" s="1"/>
  <c r="O36" i="10"/>
  <c r="O59" i="10" s="1"/>
  <c r="K36" i="10"/>
  <c r="K59" i="10" s="1"/>
  <c r="G36" i="10"/>
  <c r="G59" i="10" s="1"/>
  <c r="N36" i="10"/>
  <c r="N59" i="10" s="1"/>
  <c r="J36" i="10"/>
  <c r="J59" i="10" s="1"/>
  <c r="F36" i="10"/>
  <c r="F59" i="10" s="1"/>
  <c r="H36" i="10"/>
  <c r="H59" i="10" s="1"/>
  <c r="E36" i="19"/>
  <c r="E36" i="11"/>
  <c r="E59" i="11" s="1"/>
  <c r="M36" i="10"/>
  <c r="M59" i="10" s="1"/>
  <c r="E36" i="10"/>
  <c r="E59" i="10" s="1"/>
  <c r="D36" i="11"/>
  <c r="D59" i="11" s="1"/>
  <c r="D36" i="19"/>
  <c r="E37" i="10"/>
  <c r="E60" i="10" s="1"/>
  <c r="D26" i="25"/>
  <c r="D49" i="25" s="1"/>
  <c r="D26" i="26"/>
  <c r="E32" i="19"/>
  <c r="F32" i="19"/>
  <c r="G32" i="19"/>
  <c r="H32" i="19"/>
  <c r="I32" i="19"/>
  <c r="J32" i="19"/>
  <c r="K32" i="19"/>
  <c r="L32" i="19"/>
  <c r="M32" i="19"/>
  <c r="N32" i="19"/>
  <c r="O32" i="19"/>
  <c r="E32" i="11"/>
  <c r="E55" i="11" s="1"/>
  <c r="D32" i="11"/>
  <c r="D55" i="11" s="1"/>
  <c r="E30" i="11"/>
  <c r="E53" i="11" s="1"/>
  <c r="E26" i="11"/>
  <c r="E49" i="11" s="1"/>
  <c r="E51" i="11" s="1"/>
  <c r="E32" i="10"/>
  <c r="F32" i="10"/>
  <c r="G32" i="10"/>
  <c r="H32" i="10"/>
  <c r="I32" i="10"/>
  <c r="J32" i="10"/>
  <c r="K32" i="10"/>
  <c r="L32" i="10"/>
  <c r="M32" i="10"/>
  <c r="N32" i="10"/>
  <c r="O32" i="10"/>
  <c r="E53" i="10"/>
  <c r="D53" i="10"/>
  <c r="E27" i="10"/>
  <c r="E50" i="10" s="1"/>
  <c r="D27" i="10"/>
  <c r="E49" i="10"/>
  <c r="E32" i="5"/>
  <c r="F32" i="5"/>
  <c r="G32" i="5"/>
  <c r="H32" i="5"/>
  <c r="I32" i="5"/>
  <c r="J32" i="5"/>
  <c r="K32" i="5"/>
  <c r="L32" i="5"/>
  <c r="M32" i="5"/>
  <c r="N32" i="5"/>
  <c r="O32" i="5"/>
  <c r="D32" i="5"/>
  <c r="E27" i="5"/>
  <c r="F27" i="5"/>
  <c r="G27" i="5"/>
  <c r="H27" i="5"/>
  <c r="I27" i="5"/>
  <c r="J27" i="5"/>
  <c r="K27" i="5"/>
  <c r="L27" i="5"/>
  <c r="M27" i="5"/>
  <c r="N27" i="5"/>
  <c r="O27" i="5"/>
  <c r="D27" i="5"/>
  <c r="E32" i="6"/>
  <c r="F32" i="6"/>
  <c r="G32" i="6"/>
  <c r="H32" i="6"/>
  <c r="I32" i="6"/>
  <c r="J32" i="6"/>
  <c r="K32" i="6"/>
  <c r="L32" i="6"/>
  <c r="M32" i="6"/>
  <c r="N32" i="6"/>
  <c r="O32" i="6"/>
  <c r="D32" i="6"/>
  <c r="D30" i="4"/>
  <c r="E57" i="11" l="1"/>
  <c r="E51" i="10"/>
  <c r="D53" i="4"/>
  <c r="D49" i="26"/>
  <c r="L58" i="10"/>
  <c r="E58" i="10"/>
  <c r="D58" i="11"/>
  <c r="N58" i="10"/>
  <c r="E60" i="19"/>
  <c r="D50" i="10"/>
  <c r="D73" i="10" s="1"/>
  <c r="D119" i="10" s="1"/>
  <c r="E49" i="19"/>
  <c r="E51" i="19" s="1"/>
  <c r="D60" i="19"/>
  <c r="D83" i="19" s="1"/>
  <c r="G58" i="10"/>
  <c r="E58" i="11"/>
  <c r="E59" i="19"/>
  <c r="E82" i="19" s="1"/>
  <c r="H58" i="10"/>
  <c r="D58" i="10"/>
  <c r="F58" i="10"/>
  <c r="K58" i="10"/>
  <c r="D59" i="19"/>
  <c r="D82" i="19" s="1"/>
  <c r="J58" i="10"/>
  <c r="O58" i="10"/>
  <c r="M58" i="10"/>
  <c r="E55" i="10"/>
  <c r="E57" i="10" s="1"/>
  <c r="E55" i="19"/>
  <c r="E78" i="19" s="1"/>
  <c r="E124" i="19" s="1"/>
  <c r="E53" i="19"/>
  <c r="E34" i="19"/>
  <c r="E28" i="19"/>
  <c r="E78" i="11"/>
  <c r="E124" i="11" s="1"/>
  <c r="D78" i="11"/>
  <c r="D124" i="11" s="1"/>
  <c r="E34" i="11"/>
  <c r="E28" i="11"/>
  <c r="E34" i="10"/>
  <c r="E28" i="10"/>
  <c r="E73" i="10"/>
  <c r="E119" i="10" s="1"/>
  <c r="E75" i="19"/>
  <c r="D121" i="19"/>
  <c r="E75" i="11"/>
  <c r="E121" i="11" s="1"/>
  <c r="E75" i="10"/>
  <c r="D75" i="10"/>
  <c r="D82" i="11"/>
  <c r="E82" i="11"/>
  <c r="E35" i="11"/>
  <c r="D82" i="10"/>
  <c r="E82" i="10"/>
  <c r="D35" i="10"/>
  <c r="E35" i="19"/>
  <c r="E35" i="10"/>
  <c r="D35" i="11"/>
  <c r="D35" i="19"/>
  <c r="D72" i="25"/>
  <c r="E39" i="19"/>
  <c r="E39" i="11"/>
  <c r="E62" i="11" s="1"/>
  <c r="D39" i="11"/>
  <c r="D62" i="11" s="1"/>
  <c r="E62" i="10"/>
  <c r="D62" i="10"/>
  <c r="E108" i="19"/>
  <c r="D108" i="19"/>
  <c r="E108" i="11"/>
  <c r="D108" i="11"/>
  <c r="E78" i="10" l="1"/>
  <c r="E124" i="10" s="1"/>
  <c r="E57" i="19"/>
  <c r="E48" i="19" s="1"/>
  <c r="E72" i="19"/>
  <c r="E118" i="19" s="1"/>
  <c r="E120" i="19" s="1"/>
  <c r="E58" i="19"/>
  <c r="E81" i="19" s="1"/>
  <c r="D76" i="10"/>
  <c r="D122" i="10" s="1"/>
  <c r="E83" i="10"/>
  <c r="D58" i="19"/>
  <c r="D81" i="19" s="1"/>
  <c r="E25" i="19"/>
  <c r="E76" i="19"/>
  <c r="E25" i="11"/>
  <c r="E76" i="11"/>
  <c r="E72" i="11"/>
  <c r="E25" i="10"/>
  <c r="E76" i="10"/>
  <c r="E72" i="10"/>
  <c r="E48" i="10"/>
  <c r="E121" i="19"/>
  <c r="E121" i="10"/>
  <c r="D121" i="10"/>
  <c r="D40" i="19"/>
  <c r="D109" i="19"/>
  <c r="D109" i="11"/>
  <c r="D107" i="11" s="1"/>
  <c r="D109" i="10"/>
  <c r="D107" i="10" s="1"/>
  <c r="E40" i="11"/>
  <c r="E40" i="10"/>
  <c r="E109" i="10"/>
  <c r="E107" i="10" s="1"/>
  <c r="D40" i="11"/>
  <c r="E40" i="19"/>
  <c r="E109" i="19"/>
  <c r="E109" i="11"/>
  <c r="E107" i="11" s="1"/>
  <c r="D40" i="10"/>
  <c r="E62" i="19"/>
  <c r="D131" i="19"/>
  <c r="D83" i="11"/>
  <c r="D81" i="11"/>
  <c r="D83" i="10"/>
  <c r="D81" i="10"/>
  <c r="E83" i="11"/>
  <c r="E81" i="11"/>
  <c r="E83" i="19"/>
  <c r="E81" i="10"/>
  <c r="E7" i="15"/>
  <c r="F7" i="15"/>
  <c r="G7" i="15"/>
  <c r="H7" i="15"/>
  <c r="I7" i="15"/>
  <c r="J7" i="15"/>
  <c r="K7" i="15"/>
  <c r="L7" i="15"/>
  <c r="M7" i="15"/>
  <c r="N7" i="15"/>
  <c r="O7" i="15"/>
  <c r="D38" i="10" l="1"/>
  <c r="D63" i="10"/>
  <c r="D61" i="10" s="1"/>
  <c r="E107" i="19"/>
  <c r="D38" i="11"/>
  <c r="D63" i="11"/>
  <c r="D61" i="11" s="1"/>
  <c r="E63" i="10"/>
  <c r="E61" i="10" s="1"/>
  <c r="D63" i="19"/>
  <c r="D61" i="19" s="1"/>
  <c r="E38" i="19"/>
  <c r="E63" i="11"/>
  <c r="E61" i="11" s="1"/>
  <c r="D107" i="19"/>
  <c r="E74" i="19"/>
  <c r="E80" i="19"/>
  <c r="E122" i="19"/>
  <c r="E126" i="19" s="1"/>
  <c r="E117" i="19" s="1"/>
  <c r="E122" i="11"/>
  <c r="E126" i="11" s="1"/>
  <c r="E80" i="11"/>
  <c r="E48" i="11"/>
  <c r="E74" i="11"/>
  <c r="E118" i="11"/>
  <c r="E120" i="11" s="1"/>
  <c r="E80" i="10"/>
  <c r="E122" i="10"/>
  <c r="E126" i="10" s="1"/>
  <c r="E118" i="10"/>
  <c r="E120" i="10" s="1"/>
  <c r="E74" i="10"/>
  <c r="E38" i="10"/>
  <c r="D38" i="19"/>
  <c r="E85" i="10"/>
  <c r="E131" i="10" s="1"/>
  <c r="E38" i="11"/>
  <c r="E63" i="19"/>
  <c r="E86" i="19" s="1"/>
  <c r="E132" i="19" s="1"/>
  <c r="E85" i="19"/>
  <c r="E131" i="19" s="1"/>
  <c r="D85" i="10"/>
  <c r="D131" i="10" s="1"/>
  <c r="D85" i="11"/>
  <c r="D131" i="11" s="1"/>
  <c r="E85" i="11"/>
  <c r="E131" i="11" s="1"/>
  <c r="C36" i="68"/>
  <c r="E84" i="11" l="1"/>
  <c r="D86" i="10"/>
  <c r="D132" i="10" s="1"/>
  <c r="D130" i="10" s="1"/>
  <c r="D86" i="11"/>
  <c r="D132" i="11" s="1"/>
  <c r="D130" i="11" s="1"/>
  <c r="E86" i="10"/>
  <c r="E132" i="10" s="1"/>
  <c r="E130" i="10" s="1"/>
  <c r="E86" i="11"/>
  <c r="E132" i="11" s="1"/>
  <c r="E130" i="11" s="1"/>
  <c r="E71" i="19"/>
  <c r="E117" i="11"/>
  <c r="E71" i="10"/>
  <c r="D86" i="19"/>
  <c r="D132" i="19" s="1"/>
  <c r="D130" i="19" s="1"/>
  <c r="E71" i="11"/>
  <c r="E61" i="19"/>
  <c r="E84" i="19" s="1"/>
  <c r="E84" i="10"/>
  <c r="D84" i="10"/>
  <c r="D84" i="11"/>
  <c r="D84" i="19"/>
  <c r="E130" i="19"/>
  <c r="P21" i="27" l="1"/>
  <c r="Q21" i="27" s="1"/>
  <c r="P20" i="27"/>
  <c r="P19" i="27"/>
  <c r="Q19" i="27" s="1"/>
  <c r="P18" i="27"/>
  <c r="Q18" i="27" s="1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B17" i="27"/>
  <c r="P16" i="27"/>
  <c r="Q16" i="27" s="1"/>
  <c r="P15" i="27"/>
  <c r="Q15" i="27" s="1"/>
  <c r="O14" i="27"/>
  <c r="N14" i="27"/>
  <c r="M14" i="27"/>
  <c r="L14" i="27"/>
  <c r="K14" i="27"/>
  <c r="J14" i="27"/>
  <c r="I14" i="27"/>
  <c r="H14" i="27"/>
  <c r="G14" i="27"/>
  <c r="F14" i="27"/>
  <c r="E14" i="27"/>
  <c r="D14" i="27"/>
  <c r="P14" i="27" s="1"/>
  <c r="Q14" i="27" s="1"/>
  <c r="C14" i="27"/>
  <c r="B14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3" i="27"/>
  <c r="B13" i="27"/>
  <c r="P12" i="27"/>
  <c r="Q12" i="27" s="1"/>
  <c r="P11" i="27"/>
  <c r="Q11" i="27" s="1"/>
  <c r="P10" i="27"/>
  <c r="Q10" i="27" s="1"/>
  <c r="P9" i="27"/>
  <c r="Q9" i="27" s="1"/>
  <c r="P8" i="27"/>
  <c r="Q8" i="27" s="1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P6" i="27"/>
  <c r="Q6" i="27" s="1"/>
  <c r="P5" i="27"/>
  <c r="Q5" i="27" s="1"/>
  <c r="L4" i="27"/>
  <c r="P21" i="26"/>
  <c r="Q21" i="26" s="1"/>
  <c r="P20" i="26"/>
  <c r="P19" i="26"/>
  <c r="Q19" i="26" s="1"/>
  <c r="P18" i="26"/>
  <c r="Q18" i="26" s="1"/>
  <c r="O17" i="26"/>
  <c r="N17" i="26"/>
  <c r="M17" i="26"/>
  <c r="L17" i="26"/>
  <c r="K17" i="26"/>
  <c r="J17" i="26"/>
  <c r="I17" i="26"/>
  <c r="H17" i="26"/>
  <c r="G17" i="26"/>
  <c r="F17" i="26"/>
  <c r="E17" i="26"/>
  <c r="D17" i="26"/>
  <c r="C17" i="26"/>
  <c r="B17" i="26"/>
  <c r="P16" i="26"/>
  <c r="Q16" i="26" s="1"/>
  <c r="P15" i="26"/>
  <c r="Q15" i="26" s="1"/>
  <c r="O14" i="26"/>
  <c r="N14" i="26"/>
  <c r="M14" i="26"/>
  <c r="L14" i="26"/>
  <c r="K14" i="26"/>
  <c r="J14" i="26"/>
  <c r="I14" i="26"/>
  <c r="H14" i="26"/>
  <c r="G14" i="26"/>
  <c r="F14" i="26"/>
  <c r="E14" i="26"/>
  <c r="D14" i="26"/>
  <c r="C14" i="26"/>
  <c r="B14" i="26"/>
  <c r="O13" i="26"/>
  <c r="N13" i="26"/>
  <c r="M13" i="26"/>
  <c r="L13" i="26"/>
  <c r="K13" i="26"/>
  <c r="J13" i="26"/>
  <c r="I13" i="26"/>
  <c r="H13" i="26"/>
  <c r="G13" i="26"/>
  <c r="F13" i="26"/>
  <c r="E13" i="26"/>
  <c r="D13" i="26"/>
  <c r="C13" i="26"/>
  <c r="B13" i="26"/>
  <c r="P12" i="26"/>
  <c r="Q12" i="26" s="1"/>
  <c r="P11" i="26"/>
  <c r="Q11" i="26" s="1"/>
  <c r="P10" i="26"/>
  <c r="Q10" i="26" s="1"/>
  <c r="P9" i="26"/>
  <c r="Q8" i="26"/>
  <c r="P8" i="26"/>
  <c r="O7" i="26"/>
  <c r="N7" i="26"/>
  <c r="M7" i="26"/>
  <c r="L7" i="26"/>
  <c r="K7" i="26"/>
  <c r="K4" i="26" s="1"/>
  <c r="J7" i="26"/>
  <c r="I7" i="26"/>
  <c r="H7" i="26"/>
  <c r="G7" i="26"/>
  <c r="F7" i="26"/>
  <c r="E7" i="26"/>
  <c r="C7" i="26"/>
  <c r="B7" i="26"/>
  <c r="P6" i="26"/>
  <c r="Q6" i="26" s="1"/>
  <c r="Q5" i="26"/>
  <c r="P5" i="26"/>
  <c r="P21" i="29"/>
  <c r="Q21" i="29" s="1"/>
  <c r="P20" i="29"/>
  <c r="P19" i="29"/>
  <c r="Q19" i="29" s="1"/>
  <c r="P18" i="29"/>
  <c r="Q18" i="29" s="1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P16" i="29"/>
  <c r="Q16" i="29" s="1"/>
  <c r="P15" i="29"/>
  <c r="Q15" i="29" s="1"/>
  <c r="O14" i="29"/>
  <c r="N14" i="29"/>
  <c r="M14" i="29"/>
  <c r="L14" i="29"/>
  <c r="K14" i="29"/>
  <c r="J14" i="29"/>
  <c r="I14" i="29"/>
  <c r="H14" i="29"/>
  <c r="G14" i="29"/>
  <c r="F14" i="29"/>
  <c r="E14" i="29"/>
  <c r="D14" i="29"/>
  <c r="P14" i="29" s="1"/>
  <c r="Q14" i="29" s="1"/>
  <c r="C14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B13" i="29"/>
  <c r="P12" i="29"/>
  <c r="Q12" i="29" s="1"/>
  <c r="P11" i="29"/>
  <c r="Q11" i="29" s="1"/>
  <c r="P10" i="29"/>
  <c r="Q10" i="29" s="1"/>
  <c r="P9" i="29"/>
  <c r="Q9" i="29" s="1"/>
  <c r="P8" i="29"/>
  <c r="Q8" i="29" s="1"/>
  <c r="O7" i="29"/>
  <c r="N7" i="29"/>
  <c r="M7" i="29"/>
  <c r="L7" i="29"/>
  <c r="K7" i="29"/>
  <c r="J7" i="29"/>
  <c r="I7" i="29"/>
  <c r="H7" i="29"/>
  <c r="G7" i="29"/>
  <c r="F7" i="29"/>
  <c r="E7" i="29"/>
  <c r="D7" i="29"/>
  <c r="B7" i="29"/>
  <c r="P6" i="29"/>
  <c r="Q6" i="29" s="1"/>
  <c r="P5" i="29"/>
  <c r="Q5" i="29" s="1"/>
  <c r="P21" i="36"/>
  <c r="Q21" i="36" s="1"/>
  <c r="P20" i="36"/>
  <c r="P19" i="36"/>
  <c r="Q19" i="36" s="1"/>
  <c r="P18" i="36"/>
  <c r="Q18" i="36" s="1"/>
  <c r="O17" i="36"/>
  <c r="N17" i="36"/>
  <c r="M17" i="36"/>
  <c r="L17" i="36"/>
  <c r="K17" i="36"/>
  <c r="J17" i="36"/>
  <c r="I17" i="36"/>
  <c r="H17" i="36"/>
  <c r="G17" i="36"/>
  <c r="F17" i="36"/>
  <c r="E17" i="36"/>
  <c r="D17" i="36"/>
  <c r="C17" i="36"/>
  <c r="B17" i="36"/>
  <c r="P16" i="36"/>
  <c r="Q16" i="36" s="1"/>
  <c r="P15" i="36"/>
  <c r="Q15" i="36" s="1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O13" i="36"/>
  <c r="N13" i="36"/>
  <c r="M13" i="36"/>
  <c r="L13" i="36"/>
  <c r="K13" i="36"/>
  <c r="J13" i="36"/>
  <c r="I13" i="36"/>
  <c r="H13" i="36"/>
  <c r="G13" i="36"/>
  <c r="F13" i="36"/>
  <c r="E13" i="36"/>
  <c r="C13" i="36"/>
  <c r="P12" i="36"/>
  <c r="Q12" i="36" s="1"/>
  <c r="P11" i="36"/>
  <c r="Q11" i="36" s="1"/>
  <c r="P10" i="36"/>
  <c r="Q10" i="36" s="1"/>
  <c r="P8" i="36"/>
  <c r="Q8" i="36" s="1"/>
  <c r="O7" i="36"/>
  <c r="N7" i="36"/>
  <c r="M7" i="36"/>
  <c r="L7" i="36"/>
  <c r="K7" i="36"/>
  <c r="J7" i="36"/>
  <c r="I7" i="36"/>
  <c r="H7" i="36"/>
  <c r="G7" i="36"/>
  <c r="F7" i="36"/>
  <c r="E7" i="36"/>
  <c r="D7" i="36"/>
  <c r="C7" i="36"/>
  <c r="P6" i="36"/>
  <c r="Q6" i="36" s="1"/>
  <c r="P5" i="36"/>
  <c r="Q5" i="36" s="1"/>
  <c r="P21" i="25"/>
  <c r="Q21" i="25" s="1"/>
  <c r="P20" i="25"/>
  <c r="P19" i="25"/>
  <c r="Q19" i="25" s="1"/>
  <c r="P18" i="25"/>
  <c r="Q18" i="25" s="1"/>
  <c r="O17" i="25"/>
  <c r="N17" i="25"/>
  <c r="M17" i="25"/>
  <c r="L17" i="25"/>
  <c r="K17" i="25"/>
  <c r="J17" i="25"/>
  <c r="I17" i="25"/>
  <c r="H17" i="25"/>
  <c r="G17" i="25"/>
  <c r="F17" i="25"/>
  <c r="E17" i="25"/>
  <c r="D17" i="25"/>
  <c r="P17" i="25" s="1"/>
  <c r="Q17" i="25" s="1"/>
  <c r="C17" i="25"/>
  <c r="B17" i="25"/>
  <c r="P16" i="25"/>
  <c r="Q16" i="25" s="1"/>
  <c r="P15" i="25"/>
  <c r="Q15" i="25" s="1"/>
  <c r="O14" i="25"/>
  <c r="N14" i="25"/>
  <c r="M14" i="25"/>
  <c r="L14" i="25"/>
  <c r="K14" i="25"/>
  <c r="J14" i="25"/>
  <c r="I14" i="25"/>
  <c r="H14" i="25"/>
  <c r="G14" i="25"/>
  <c r="F14" i="25"/>
  <c r="E14" i="25"/>
  <c r="D14" i="25"/>
  <c r="P14" i="25" s="1"/>
  <c r="Q14" i="25" s="1"/>
  <c r="C14" i="25"/>
  <c r="N13" i="25"/>
  <c r="M13" i="25"/>
  <c r="L13" i="25"/>
  <c r="K13" i="25"/>
  <c r="J13" i="25"/>
  <c r="I13" i="25"/>
  <c r="H13" i="25"/>
  <c r="G13" i="25"/>
  <c r="F13" i="25"/>
  <c r="E13" i="25"/>
  <c r="D13" i="25"/>
  <c r="P12" i="25"/>
  <c r="Q12" i="25" s="1"/>
  <c r="P11" i="25"/>
  <c r="Q11" i="25" s="1"/>
  <c r="P10" i="25"/>
  <c r="Q10" i="25" s="1"/>
  <c r="P8" i="25"/>
  <c r="Q8" i="25" s="1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P6" i="25"/>
  <c r="Q6" i="25" s="1"/>
  <c r="P5" i="25"/>
  <c r="Q5" i="25" s="1"/>
  <c r="P21" i="19"/>
  <c r="Q21" i="19" s="1"/>
  <c r="P20" i="19"/>
  <c r="Q20" i="19" s="1"/>
  <c r="P18" i="19"/>
  <c r="Q18" i="19" s="1"/>
  <c r="O17" i="19"/>
  <c r="N17" i="19"/>
  <c r="M17" i="19"/>
  <c r="L17" i="19"/>
  <c r="K17" i="19"/>
  <c r="J17" i="19"/>
  <c r="I17" i="19"/>
  <c r="H17" i="19"/>
  <c r="G17" i="19"/>
  <c r="F17" i="19"/>
  <c r="P16" i="19"/>
  <c r="Q16" i="19" s="1"/>
  <c r="P15" i="19"/>
  <c r="Q15" i="19" s="1"/>
  <c r="O14" i="19"/>
  <c r="N14" i="19"/>
  <c r="M14" i="19"/>
  <c r="L14" i="19"/>
  <c r="K14" i="19"/>
  <c r="J14" i="19"/>
  <c r="I14" i="19"/>
  <c r="H14" i="19"/>
  <c r="G14" i="19"/>
  <c r="F14" i="19"/>
  <c r="O13" i="19"/>
  <c r="N13" i="19"/>
  <c r="M13" i="19"/>
  <c r="L13" i="19"/>
  <c r="K13" i="19"/>
  <c r="J13" i="19"/>
  <c r="I13" i="19"/>
  <c r="H13" i="19"/>
  <c r="G13" i="19"/>
  <c r="F13" i="19"/>
  <c r="P12" i="19"/>
  <c r="Q12" i="19" s="1"/>
  <c r="P10" i="19"/>
  <c r="Q10" i="19" s="1"/>
  <c r="P8" i="19"/>
  <c r="Q8" i="19" s="1"/>
  <c r="O7" i="19"/>
  <c r="N7" i="19"/>
  <c r="M7" i="19"/>
  <c r="L7" i="19"/>
  <c r="K7" i="19"/>
  <c r="J7" i="19"/>
  <c r="I7" i="19"/>
  <c r="H7" i="19"/>
  <c r="G7" i="19"/>
  <c r="F7" i="19"/>
  <c r="P6" i="19"/>
  <c r="Q6" i="19" s="1"/>
  <c r="P21" i="18"/>
  <c r="Q21" i="18" s="1"/>
  <c r="P20" i="18"/>
  <c r="Q20" i="18" s="1"/>
  <c r="P19" i="18"/>
  <c r="Q19" i="18" s="1"/>
  <c r="P18" i="18"/>
  <c r="Q18" i="18" s="1"/>
  <c r="O17" i="18"/>
  <c r="N17" i="18"/>
  <c r="M17" i="18"/>
  <c r="L17" i="18"/>
  <c r="K17" i="18"/>
  <c r="J17" i="18"/>
  <c r="I17" i="18"/>
  <c r="H17" i="18"/>
  <c r="G17" i="18"/>
  <c r="F17" i="18"/>
  <c r="E17" i="18"/>
  <c r="D17" i="18"/>
  <c r="P16" i="18"/>
  <c r="Q16" i="18" s="1"/>
  <c r="P15" i="18"/>
  <c r="Q15" i="18" s="1"/>
  <c r="O14" i="18"/>
  <c r="N14" i="18"/>
  <c r="M14" i="18"/>
  <c r="L14" i="18"/>
  <c r="K14" i="18"/>
  <c r="J14" i="18"/>
  <c r="I14" i="18"/>
  <c r="H14" i="18"/>
  <c r="G14" i="18"/>
  <c r="F14" i="18"/>
  <c r="E14" i="18"/>
  <c r="D14" i="18"/>
  <c r="O13" i="18"/>
  <c r="N13" i="18"/>
  <c r="M13" i="18"/>
  <c r="L13" i="18"/>
  <c r="K13" i="18"/>
  <c r="J13" i="18"/>
  <c r="I13" i="18"/>
  <c r="H13" i="18"/>
  <c r="G13" i="18"/>
  <c r="F13" i="18"/>
  <c r="E13" i="18"/>
  <c r="P12" i="18"/>
  <c r="Q12" i="18" s="1"/>
  <c r="P11" i="18"/>
  <c r="Q11" i="18" s="1"/>
  <c r="P10" i="18"/>
  <c r="Q10" i="18" s="1"/>
  <c r="P8" i="18"/>
  <c r="Q8" i="18" s="1"/>
  <c r="O7" i="18"/>
  <c r="O4" i="18" s="1"/>
  <c r="N7" i="18"/>
  <c r="N4" i="18" s="1"/>
  <c r="M7" i="18"/>
  <c r="L7" i="18"/>
  <c r="K7" i="18"/>
  <c r="J7" i="18"/>
  <c r="I7" i="18"/>
  <c r="H7" i="18"/>
  <c r="H4" i="18" s="1"/>
  <c r="G7" i="18"/>
  <c r="G4" i="18" s="1"/>
  <c r="F7" i="18"/>
  <c r="F4" i="18" s="1"/>
  <c r="E7" i="18"/>
  <c r="E4" i="18" s="1"/>
  <c r="P6" i="18"/>
  <c r="Q6" i="18" s="1"/>
  <c r="P21" i="17"/>
  <c r="Q21" i="17" s="1"/>
  <c r="P20" i="17"/>
  <c r="Q20" i="17" s="1"/>
  <c r="P19" i="17"/>
  <c r="Q19" i="17" s="1"/>
  <c r="P18" i="17"/>
  <c r="Q18" i="17" s="1"/>
  <c r="O17" i="17"/>
  <c r="N17" i="17"/>
  <c r="M17" i="17"/>
  <c r="L17" i="17"/>
  <c r="K17" i="17"/>
  <c r="J17" i="17"/>
  <c r="I17" i="17"/>
  <c r="H17" i="17"/>
  <c r="G17" i="17"/>
  <c r="F17" i="17"/>
  <c r="E17" i="17"/>
  <c r="D17" i="17"/>
  <c r="P16" i="17"/>
  <c r="Q16" i="17" s="1"/>
  <c r="P15" i="17"/>
  <c r="Q15" i="17" s="1"/>
  <c r="O14" i="17"/>
  <c r="N14" i="17"/>
  <c r="M14" i="17"/>
  <c r="L14" i="17"/>
  <c r="K14" i="17"/>
  <c r="J14" i="17"/>
  <c r="I14" i="17"/>
  <c r="H14" i="17"/>
  <c r="G14" i="17"/>
  <c r="F14" i="17"/>
  <c r="E14" i="17"/>
  <c r="D14" i="17"/>
  <c r="P12" i="17"/>
  <c r="Q12" i="17" s="1"/>
  <c r="P10" i="17"/>
  <c r="Q10" i="17" s="1"/>
  <c r="P8" i="17"/>
  <c r="Q8" i="17" s="1"/>
  <c r="O7" i="17"/>
  <c r="N7" i="17"/>
  <c r="M7" i="17"/>
  <c r="L7" i="17"/>
  <c r="K7" i="17"/>
  <c r="J7" i="17"/>
  <c r="I7" i="17"/>
  <c r="H7" i="17"/>
  <c r="G7" i="17"/>
  <c r="F7" i="17"/>
  <c r="E7" i="17"/>
  <c r="D7" i="17"/>
  <c r="P6" i="17"/>
  <c r="Q6" i="17" s="1"/>
  <c r="P5" i="17"/>
  <c r="Q5" i="17" s="1"/>
  <c r="P21" i="14"/>
  <c r="Q21" i="14" s="1"/>
  <c r="P20" i="14"/>
  <c r="Q20" i="14" s="1"/>
  <c r="P19" i="14"/>
  <c r="Q19" i="14" s="1"/>
  <c r="P18" i="14"/>
  <c r="Q18" i="14" s="1"/>
  <c r="O17" i="14"/>
  <c r="N17" i="14"/>
  <c r="M17" i="14"/>
  <c r="L17" i="14"/>
  <c r="K17" i="14"/>
  <c r="J17" i="14"/>
  <c r="I17" i="14"/>
  <c r="H17" i="14"/>
  <c r="G17" i="14"/>
  <c r="F17" i="14"/>
  <c r="E17" i="14"/>
  <c r="D17" i="14"/>
  <c r="P16" i="14"/>
  <c r="Q16" i="14" s="1"/>
  <c r="P15" i="14"/>
  <c r="Q15" i="14" s="1"/>
  <c r="O14" i="14"/>
  <c r="N14" i="14"/>
  <c r="M14" i="14"/>
  <c r="L14" i="14"/>
  <c r="K14" i="14"/>
  <c r="J14" i="14"/>
  <c r="I14" i="14"/>
  <c r="H14" i="14"/>
  <c r="G14" i="14"/>
  <c r="F14" i="14"/>
  <c r="E14" i="14"/>
  <c r="D14" i="14"/>
  <c r="O13" i="14"/>
  <c r="N13" i="14"/>
  <c r="M13" i="14"/>
  <c r="L13" i="14"/>
  <c r="K13" i="14"/>
  <c r="J13" i="14"/>
  <c r="I13" i="14"/>
  <c r="H13" i="14"/>
  <c r="G13" i="14"/>
  <c r="F13" i="14"/>
  <c r="E13" i="14"/>
  <c r="P12" i="14"/>
  <c r="Q12" i="14" s="1"/>
  <c r="P11" i="14"/>
  <c r="Q11" i="14" s="1"/>
  <c r="P10" i="14"/>
  <c r="Q10" i="14" s="1"/>
  <c r="P8" i="14"/>
  <c r="Q8" i="14" s="1"/>
  <c r="O7" i="14"/>
  <c r="N7" i="14"/>
  <c r="M7" i="14"/>
  <c r="L7" i="14"/>
  <c r="K7" i="14"/>
  <c r="J7" i="14"/>
  <c r="I7" i="14"/>
  <c r="H7" i="14"/>
  <c r="G7" i="14"/>
  <c r="F7" i="14"/>
  <c r="E7" i="14"/>
  <c r="P6" i="14"/>
  <c r="Q6" i="14" s="1"/>
  <c r="P21" i="15"/>
  <c r="P20" i="15"/>
  <c r="Q20" i="15" s="1"/>
  <c r="P19" i="15"/>
  <c r="Q19" i="15" s="1"/>
  <c r="P18" i="15"/>
  <c r="Q18" i="15" s="1"/>
  <c r="O17" i="15"/>
  <c r="N17" i="15"/>
  <c r="M17" i="15"/>
  <c r="L17" i="15"/>
  <c r="K17" i="15"/>
  <c r="J17" i="15"/>
  <c r="I17" i="15"/>
  <c r="H17" i="15"/>
  <c r="G17" i="15"/>
  <c r="F17" i="15"/>
  <c r="E17" i="15"/>
  <c r="D17" i="15"/>
  <c r="P16" i="15"/>
  <c r="Q16" i="15" s="1"/>
  <c r="P15" i="15"/>
  <c r="Q15" i="15" s="1"/>
  <c r="O14" i="15"/>
  <c r="N14" i="15"/>
  <c r="M14" i="15"/>
  <c r="L14" i="15"/>
  <c r="K14" i="15"/>
  <c r="J14" i="15"/>
  <c r="I14" i="15"/>
  <c r="H14" i="15"/>
  <c r="G14" i="15"/>
  <c r="F14" i="15"/>
  <c r="E14" i="15"/>
  <c r="D14" i="15"/>
  <c r="P12" i="15"/>
  <c r="Q12" i="15" s="1"/>
  <c r="P10" i="15"/>
  <c r="Q10" i="15" s="1"/>
  <c r="P6" i="15"/>
  <c r="Q6" i="15" s="1"/>
  <c r="P21" i="13"/>
  <c r="Q21" i="13" s="1"/>
  <c r="P20" i="13"/>
  <c r="Q20" i="13" s="1"/>
  <c r="P19" i="13"/>
  <c r="Q19" i="13" s="1"/>
  <c r="P18" i="13"/>
  <c r="Q18" i="13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P16" i="13"/>
  <c r="Q16" i="13" s="1"/>
  <c r="P15" i="13"/>
  <c r="Q15" i="13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O13" i="13"/>
  <c r="N13" i="13"/>
  <c r="M13" i="13"/>
  <c r="L13" i="13"/>
  <c r="K13" i="13"/>
  <c r="J13" i="13"/>
  <c r="I13" i="13"/>
  <c r="H13" i="13"/>
  <c r="G13" i="13"/>
  <c r="F13" i="13"/>
  <c r="E13" i="13"/>
  <c r="P12" i="13"/>
  <c r="Q12" i="13" s="1"/>
  <c r="P11" i="13"/>
  <c r="Q11" i="13" s="1"/>
  <c r="P10" i="13"/>
  <c r="Q10" i="13" s="1"/>
  <c r="P8" i="13"/>
  <c r="Q8" i="13" s="1"/>
  <c r="O7" i="13"/>
  <c r="N7" i="13"/>
  <c r="M7" i="13"/>
  <c r="L7" i="13"/>
  <c r="K7" i="13"/>
  <c r="J7" i="13"/>
  <c r="I7" i="13"/>
  <c r="H7" i="13"/>
  <c r="G7" i="13"/>
  <c r="F7" i="13"/>
  <c r="E7" i="13"/>
  <c r="P6" i="13"/>
  <c r="Q6" i="13" s="1"/>
  <c r="P21" i="12"/>
  <c r="Q21" i="12" s="1"/>
  <c r="P20" i="12"/>
  <c r="Q20" i="12" s="1"/>
  <c r="P19" i="12"/>
  <c r="Q19" i="12" s="1"/>
  <c r="P18" i="12"/>
  <c r="Q18" i="12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P16" i="12"/>
  <c r="Q16" i="12" s="1"/>
  <c r="P15" i="12"/>
  <c r="Q15" i="12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P12" i="12"/>
  <c r="Q12" i="12" s="1"/>
  <c r="P11" i="12"/>
  <c r="Q11" i="12" s="1"/>
  <c r="P10" i="12"/>
  <c r="Q10" i="12" s="1"/>
  <c r="P8" i="12"/>
  <c r="Q8" i="12" s="1"/>
  <c r="O7" i="12"/>
  <c r="N7" i="12"/>
  <c r="M7" i="12"/>
  <c r="L7" i="12"/>
  <c r="K7" i="12"/>
  <c r="J7" i="12"/>
  <c r="I7" i="12"/>
  <c r="H7" i="12"/>
  <c r="G7" i="12"/>
  <c r="F7" i="12"/>
  <c r="E7" i="12"/>
  <c r="D7" i="12"/>
  <c r="P6" i="12"/>
  <c r="Q6" i="12" s="1"/>
  <c r="P5" i="12"/>
  <c r="Q5" i="12" s="1"/>
  <c r="P21" i="11"/>
  <c r="Q21" i="11" s="1"/>
  <c r="P20" i="11"/>
  <c r="Q20" i="11" s="1"/>
  <c r="P19" i="11"/>
  <c r="Q19" i="11" s="1"/>
  <c r="P18" i="11"/>
  <c r="Q18" i="11" s="1"/>
  <c r="O17" i="11"/>
  <c r="N17" i="11"/>
  <c r="M17" i="11"/>
  <c r="L17" i="11"/>
  <c r="K17" i="11"/>
  <c r="J17" i="11"/>
  <c r="I17" i="11"/>
  <c r="H17" i="11"/>
  <c r="G17" i="11"/>
  <c r="F17" i="11"/>
  <c r="P16" i="11"/>
  <c r="Q16" i="11" s="1"/>
  <c r="P15" i="11"/>
  <c r="Q15" i="11" s="1"/>
  <c r="O14" i="11"/>
  <c r="N14" i="11"/>
  <c r="M14" i="11"/>
  <c r="L14" i="11"/>
  <c r="K14" i="11"/>
  <c r="J14" i="11"/>
  <c r="I14" i="11"/>
  <c r="H14" i="11"/>
  <c r="G14" i="11"/>
  <c r="F14" i="11"/>
  <c r="O13" i="11"/>
  <c r="N13" i="11"/>
  <c r="M13" i="11"/>
  <c r="L13" i="11"/>
  <c r="K13" i="11"/>
  <c r="J13" i="11"/>
  <c r="I13" i="11"/>
  <c r="H13" i="11"/>
  <c r="G13" i="11"/>
  <c r="F13" i="11"/>
  <c r="P12" i="11"/>
  <c r="Q12" i="11" s="1"/>
  <c r="P11" i="11"/>
  <c r="Q11" i="11" s="1"/>
  <c r="P10" i="11"/>
  <c r="Q10" i="11" s="1"/>
  <c r="P8" i="11"/>
  <c r="Q8" i="11" s="1"/>
  <c r="O7" i="11"/>
  <c r="N7" i="11"/>
  <c r="M7" i="11"/>
  <c r="L7" i="11"/>
  <c r="K7" i="11"/>
  <c r="J7" i="11"/>
  <c r="I7" i="11"/>
  <c r="H7" i="11"/>
  <c r="G7" i="11"/>
  <c r="F7" i="11"/>
  <c r="P6" i="11"/>
  <c r="Q6" i="11" s="1"/>
  <c r="P21" i="10"/>
  <c r="Q21" i="10" s="1"/>
  <c r="P20" i="10"/>
  <c r="Q20" i="10" s="1"/>
  <c r="P19" i="10"/>
  <c r="Q19" i="10" s="1"/>
  <c r="P16" i="10"/>
  <c r="Q16" i="10" s="1"/>
  <c r="P15" i="10"/>
  <c r="Q15" i="10" s="1"/>
  <c r="O14" i="10"/>
  <c r="N14" i="10"/>
  <c r="M14" i="10"/>
  <c r="L14" i="10"/>
  <c r="K14" i="10"/>
  <c r="J14" i="10"/>
  <c r="I14" i="10"/>
  <c r="H14" i="10"/>
  <c r="G14" i="10"/>
  <c r="F14" i="10"/>
  <c r="O13" i="10"/>
  <c r="N13" i="10"/>
  <c r="M13" i="10"/>
  <c r="L13" i="10"/>
  <c r="K13" i="10"/>
  <c r="J13" i="10"/>
  <c r="I13" i="10"/>
  <c r="H13" i="10"/>
  <c r="G13" i="10"/>
  <c r="F13" i="10"/>
  <c r="P12" i="10"/>
  <c r="Q12" i="10" s="1"/>
  <c r="P10" i="10"/>
  <c r="Q10" i="10" s="1"/>
  <c r="P9" i="10"/>
  <c r="Q9" i="10" s="1"/>
  <c r="P8" i="10"/>
  <c r="Q8" i="10" s="1"/>
  <c r="O7" i="10"/>
  <c r="N7" i="10"/>
  <c r="M7" i="10"/>
  <c r="L7" i="10"/>
  <c r="K7" i="10"/>
  <c r="J7" i="10"/>
  <c r="I7" i="10"/>
  <c r="H7" i="10"/>
  <c r="G7" i="10"/>
  <c r="F7" i="10"/>
  <c r="P6" i="10"/>
  <c r="Q6" i="10" s="1"/>
  <c r="P21" i="9"/>
  <c r="Q21" i="9" s="1"/>
  <c r="P20" i="9"/>
  <c r="Q20" i="9" s="1"/>
  <c r="P19" i="9"/>
  <c r="Q19" i="9" s="1"/>
  <c r="P18" i="9"/>
  <c r="Q18" i="9" s="1"/>
  <c r="O17" i="9"/>
  <c r="N17" i="9"/>
  <c r="M17" i="9"/>
  <c r="L17" i="9"/>
  <c r="K17" i="9"/>
  <c r="J17" i="9"/>
  <c r="I17" i="9"/>
  <c r="H17" i="9"/>
  <c r="G17" i="9"/>
  <c r="F17" i="9"/>
  <c r="E17" i="9"/>
  <c r="D17" i="9"/>
  <c r="P16" i="9"/>
  <c r="Q16" i="9" s="1"/>
  <c r="P15" i="9"/>
  <c r="Q15" i="9" s="1"/>
  <c r="O14" i="9"/>
  <c r="N14" i="9"/>
  <c r="M14" i="9"/>
  <c r="L14" i="9"/>
  <c r="K14" i="9"/>
  <c r="J14" i="9"/>
  <c r="I14" i="9"/>
  <c r="H14" i="9"/>
  <c r="G14" i="9"/>
  <c r="F14" i="9"/>
  <c r="E14" i="9"/>
  <c r="D14" i="9"/>
  <c r="O13" i="9"/>
  <c r="N13" i="9"/>
  <c r="M13" i="9"/>
  <c r="L13" i="9"/>
  <c r="K13" i="9"/>
  <c r="J13" i="9"/>
  <c r="I13" i="9"/>
  <c r="H13" i="9"/>
  <c r="G13" i="9"/>
  <c r="F13" i="9"/>
  <c r="E13" i="9"/>
  <c r="P12" i="9"/>
  <c r="Q12" i="9" s="1"/>
  <c r="P8" i="9"/>
  <c r="Q8" i="9" s="1"/>
  <c r="O7" i="9"/>
  <c r="N7" i="9"/>
  <c r="M7" i="9"/>
  <c r="L7" i="9"/>
  <c r="K7" i="9"/>
  <c r="J7" i="9"/>
  <c r="I7" i="9"/>
  <c r="H7" i="9"/>
  <c r="G7" i="9"/>
  <c r="F7" i="9"/>
  <c r="E7" i="9"/>
  <c r="P6" i="9"/>
  <c r="Q6" i="9" s="1"/>
  <c r="P21" i="7"/>
  <c r="Q21" i="7" s="1"/>
  <c r="P20" i="7"/>
  <c r="Q20" i="7" s="1"/>
  <c r="P19" i="7"/>
  <c r="Q19" i="7" s="1"/>
  <c r="P18" i="7"/>
  <c r="Q18" i="7" s="1"/>
  <c r="O17" i="7"/>
  <c r="N17" i="7"/>
  <c r="M17" i="7"/>
  <c r="L17" i="7"/>
  <c r="K17" i="7"/>
  <c r="J17" i="7"/>
  <c r="I17" i="7"/>
  <c r="H17" i="7"/>
  <c r="G17" i="7"/>
  <c r="F17" i="7"/>
  <c r="E17" i="7"/>
  <c r="D17" i="7"/>
  <c r="P16" i="7"/>
  <c r="Q16" i="7" s="1"/>
  <c r="P15" i="7"/>
  <c r="Q15" i="7" s="1"/>
  <c r="O14" i="7"/>
  <c r="N14" i="7"/>
  <c r="M14" i="7"/>
  <c r="L14" i="7"/>
  <c r="K14" i="7"/>
  <c r="J14" i="7"/>
  <c r="I14" i="7"/>
  <c r="H14" i="7"/>
  <c r="G14" i="7"/>
  <c r="F14" i="7"/>
  <c r="E14" i="7"/>
  <c r="D14" i="7"/>
  <c r="P12" i="7"/>
  <c r="Q12" i="7" s="1"/>
  <c r="P11" i="7"/>
  <c r="Q11" i="7" s="1"/>
  <c r="P10" i="7"/>
  <c r="Q10" i="7" s="1"/>
  <c r="P8" i="7"/>
  <c r="Q8" i="7" s="1"/>
  <c r="P6" i="7"/>
  <c r="Q6" i="7" s="1"/>
  <c r="P21" i="5"/>
  <c r="Q21" i="5" s="1"/>
  <c r="P20" i="5"/>
  <c r="Q20" i="5" s="1"/>
  <c r="P19" i="5"/>
  <c r="Q19" i="5" s="1"/>
  <c r="P16" i="5"/>
  <c r="Q16" i="5" s="1"/>
  <c r="P15" i="5"/>
  <c r="Q15" i="5" s="1"/>
  <c r="O14" i="5"/>
  <c r="N14" i="5"/>
  <c r="M14" i="5"/>
  <c r="L14" i="5"/>
  <c r="K14" i="5"/>
  <c r="J14" i="5"/>
  <c r="I14" i="5"/>
  <c r="H14" i="5"/>
  <c r="G14" i="5"/>
  <c r="F14" i="5"/>
  <c r="E14" i="5"/>
  <c r="D14" i="5"/>
  <c r="P12" i="5"/>
  <c r="Q12" i="5" s="1"/>
  <c r="P11" i="5"/>
  <c r="Q11" i="5" s="1"/>
  <c r="P10" i="5"/>
  <c r="Q10" i="5" s="1"/>
  <c r="P8" i="5"/>
  <c r="Q8" i="5" s="1"/>
  <c r="P6" i="5"/>
  <c r="Q6" i="5" s="1"/>
  <c r="P21" i="6"/>
  <c r="Q21" i="6" s="1"/>
  <c r="P20" i="6"/>
  <c r="Q20" i="6" s="1"/>
  <c r="P19" i="6"/>
  <c r="Q19" i="6" s="1"/>
  <c r="P18" i="6"/>
  <c r="Q18" i="6" s="1"/>
  <c r="O17" i="6"/>
  <c r="N17" i="6"/>
  <c r="M17" i="6"/>
  <c r="L17" i="6"/>
  <c r="K17" i="6"/>
  <c r="J17" i="6"/>
  <c r="I17" i="6"/>
  <c r="H17" i="6"/>
  <c r="G17" i="6"/>
  <c r="F17" i="6"/>
  <c r="E17" i="6"/>
  <c r="D17" i="6"/>
  <c r="P16" i="6"/>
  <c r="Q16" i="6" s="1"/>
  <c r="P15" i="6"/>
  <c r="Q15" i="6" s="1"/>
  <c r="O14" i="6"/>
  <c r="N14" i="6"/>
  <c r="M14" i="6"/>
  <c r="L14" i="6"/>
  <c r="K14" i="6"/>
  <c r="J14" i="6"/>
  <c r="I14" i="6"/>
  <c r="H14" i="6"/>
  <c r="G14" i="6"/>
  <c r="F14" i="6"/>
  <c r="E14" i="6"/>
  <c r="D14" i="6"/>
  <c r="O13" i="6"/>
  <c r="N13" i="6"/>
  <c r="M13" i="6"/>
  <c r="L13" i="6"/>
  <c r="K13" i="6"/>
  <c r="J13" i="6"/>
  <c r="I13" i="6"/>
  <c r="H13" i="6"/>
  <c r="G13" i="6"/>
  <c r="F13" i="6"/>
  <c r="E13" i="6"/>
  <c r="P12" i="6"/>
  <c r="Q12" i="6" s="1"/>
  <c r="P11" i="6"/>
  <c r="Q11" i="6" s="1"/>
  <c r="P10" i="6"/>
  <c r="Q10" i="6" s="1"/>
  <c r="P8" i="6"/>
  <c r="Q8" i="6" s="1"/>
  <c r="O7" i="6"/>
  <c r="N7" i="6"/>
  <c r="M7" i="6"/>
  <c r="L7" i="6"/>
  <c r="K7" i="6"/>
  <c r="J7" i="6"/>
  <c r="I7" i="6"/>
  <c r="H7" i="6"/>
  <c r="G7" i="6"/>
  <c r="F7" i="6"/>
  <c r="E7" i="6"/>
  <c r="P6" i="6"/>
  <c r="Q6" i="6" s="1"/>
  <c r="O13" i="4"/>
  <c r="N13" i="4"/>
  <c r="M13" i="4"/>
  <c r="L13" i="4"/>
  <c r="K13" i="4"/>
  <c r="J13" i="4"/>
  <c r="I13" i="4"/>
  <c r="H13" i="4"/>
  <c r="G13" i="4"/>
  <c r="F13" i="4"/>
  <c r="E13" i="4"/>
  <c r="L4" i="18" l="1"/>
  <c r="M4" i="18"/>
  <c r="J4" i="18"/>
  <c r="I4" i="18"/>
  <c r="K4" i="18"/>
  <c r="P17" i="27"/>
  <c r="Q17" i="27" s="1"/>
  <c r="P14" i="26"/>
  <c r="Q14" i="26" s="1"/>
  <c r="P17" i="26"/>
  <c r="Q17" i="26" s="1"/>
  <c r="P17" i="29"/>
  <c r="Q17" i="29" s="1"/>
  <c r="Q21" i="15"/>
  <c r="H4" i="27"/>
  <c r="C4" i="27"/>
  <c r="B4" i="29"/>
  <c r="B4" i="27"/>
  <c r="J4" i="27"/>
  <c r="F4" i="27"/>
  <c r="Q9" i="26"/>
  <c r="P14" i="36"/>
  <c r="Q14" i="36" s="1"/>
  <c r="P17" i="36"/>
  <c r="Q17" i="36" s="1"/>
  <c r="B22" i="39"/>
  <c r="E4" i="25"/>
  <c r="I4" i="25"/>
  <c r="M4" i="25"/>
  <c r="C4" i="25"/>
  <c r="D4" i="29"/>
  <c r="D5" i="2" s="1"/>
  <c r="H4" i="29"/>
  <c r="L4" i="29"/>
  <c r="E4" i="29"/>
  <c r="I4" i="29"/>
  <c r="M4" i="29"/>
  <c r="C4" i="29"/>
  <c r="G4" i="29"/>
  <c r="K4" i="29"/>
  <c r="O4" i="29"/>
  <c r="L4" i="26"/>
  <c r="B4" i="26"/>
  <c r="P7" i="26"/>
  <c r="Q7" i="26" s="1"/>
  <c r="H4" i="26"/>
  <c r="C4" i="26"/>
  <c r="D4" i="27"/>
  <c r="C4" i="36"/>
  <c r="C22" i="39" s="1"/>
  <c r="C23" i="39" s="1"/>
  <c r="G4" i="36"/>
  <c r="K4" i="36"/>
  <c r="O4" i="36"/>
  <c r="K4" i="6"/>
  <c r="H4" i="36"/>
  <c r="P17" i="12"/>
  <c r="Q17" i="12" s="1"/>
  <c r="H4" i="9"/>
  <c r="I4" i="11"/>
  <c r="N4" i="11"/>
  <c r="I4" i="10"/>
  <c r="E4" i="9"/>
  <c r="I4" i="9"/>
  <c r="M4" i="9"/>
  <c r="F4" i="6"/>
  <c r="J4" i="6"/>
  <c r="N4" i="6"/>
  <c r="L4" i="36"/>
  <c r="G4" i="6"/>
  <c r="O4" i="6"/>
  <c r="P14" i="7"/>
  <c r="Q14" i="7" s="1"/>
  <c r="G4" i="9"/>
  <c r="O4" i="9"/>
  <c r="L4" i="9"/>
  <c r="P14" i="10"/>
  <c r="Q14" i="10" s="1"/>
  <c r="M4" i="10"/>
  <c r="G4" i="10"/>
  <c r="K4" i="10"/>
  <c r="O4" i="10"/>
  <c r="H4" i="10"/>
  <c r="L4" i="10"/>
  <c r="M4" i="11"/>
  <c r="J4" i="11"/>
  <c r="G4" i="11"/>
  <c r="K4" i="11"/>
  <c r="O4" i="11"/>
  <c r="F4" i="11"/>
  <c r="P14" i="12"/>
  <c r="Q14" i="12" s="1"/>
  <c r="P14" i="13"/>
  <c r="Q14" i="13" s="1"/>
  <c r="P14" i="15"/>
  <c r="Q14" i="15" s="1"/>
  <c r="P14" i="14"/>
  <c r="Q14" i="14" s="1"/>
  <c r="P17" i="5"/>
  <c r="Q17" i="5" s="1"/>
  <c r="P17" i="9"/>
  <c r="Q17" i="9" s="1"/>
  <c r="P17" i="10"/>
  <c r="Q17" i="10" s="1"/>
  <c r="P14" i="18"/>
  <c r="Q14" i="18" s="1"/>
  <c r="O4" i="14"/>
  <c r="P14" i="19"/>
  <c r="Q14" i="19" s="1"/>
  <c r="H4" i="14"/>
  <c r="L4" i="14"/>
  <c r="K4" i="14"/>
  <c r="G4" i="14"/>
  <c r="H4" i="19"/>
  <c r="L4" i="19"/>
  <c r="I4" i="13"/>
  <c r="G4" i="19"/>
  <c r="K4" i="19"/>
  <c r="J4" i="14"/>
  <c r="F4" i="19"/>
  <c r="J4" i="19"/>
  <c r="N4" i="19"/>
  <c r="N4" i="13"/>
  <c r="E4" i="14"/>
  <c r="I4" i="14"/>
  <c r="M4" i="14"/>
  <c r="O4" i="19"/>
  <c r="F4" i="14"/>
  <c r="N4" i="14"/>
  <c r="F4" i="13"/>
  <c r="G4" i="13"/>
  <c r="K4" i="13"/>
  <c r="O4" i="13"/>
  <c r="E4" i="13"/>
  <c r="M4" i="13"/>
  <c r="J4" i="13"/>
  <c r="L4" i="13"/>
  <c r="P7" i="17"/>
  <c r="Q7" i="17" s="1"/>
  <c r="G4" i="27"/>
  <c r="K4" i="27"/>
  <c r="O4" i="27"/>
  <c r="P13" i="27"/>
  <c r="Q13" i="27" s="1"/>
  <c r="E4" i="27"/>
  <c r="I4" i="27"/>
  <c r="M4" i="27"/>
  <c r="P7" i="27"/>
  <c r="Q7" i="27" s="1"/>
  <c r="N4" i="27"/>
  <c r="E4" i="36"/>
  <c r="I4" i="36"/>
  <c r="M4" i="36"/>
  <c r="P7" i="36"/>
  <c r="Q7" i="36" s="1"/>
  <c r="F4" i="36"/>
  <c r="J4" i="36"/>
  <c r="N4" i="36"/>
  <c r="D4" i="26"/>
  <c r="E4" i="26"/>
  <c r="I4" i="26"/>
  <c r="M4" i="26"/>
  <c r="F4" i="26"/>
  <c r="J4" i="26"/>
  <c r="N4" i="26"/>
  <c r="G4" i="26"/>
  <c r="O4" i="26"/>
  <c r="P13" i="26"/>
  <c r="K4" i="25"/>
  <c r="P7" i="25"/>
  <c r="Q7" i="25" s="1"/>
  <c r="D4" i="25"/>
  <c r="D8" i="2" s="1"/>
  <c r="H4" i="25"/>
  <c r="L4" i="25"/>
  <c r="F4" i="25"/>
  <c r="J4" i="25"/>
  <c r="N4" i="25"/>
  <c r="G4" i="25"/>
  <c r="P7" i="29"/>
  <c r="Q7" i="29" s="1"/>
  <c r="F4" i="29"/>
  <c r="J4" i="29"/>
  <c r="N4" i="29"/>
  <c r="P13" i="29"/>
  <c r="Q13" i="29" s="1"/>
  <c r="P14" i="5"/>
  <c r="Q14" i="5" s="1"/>
  <c r="P14" i="9"/>
  <c r="Q14" i="9" s="1"/>
  <c r="P14" i="17"/>
  <c r="Q14" i="17" s="1"/>
  <c r="P14" i="11"/>
  <c r="Q14" i="11" s="1"/>
  <c r="P14" i="6"/>
  <c r="Q14" i="6" s="1"/>
  <c r="P17" i="19"/>
  <c r="Q17" i="19" s="1"/>
  <c r="P17" i="18"/>
  <c r="Q17" i="18" s="1"/>
  <c r="P17" i="17"/>
  <c r="Q17" i="17" s="1"/>
  <c r="P17" i="15"/>
  <c r="Q17" i="15" s="1"/>
  <c r="P17" i="14"/>
  <c r="Q17" i="14" s="1"/>
  <c r="P17" i="13"/>
  <c r="Q17" i="13" s="1"/>
  <c r="P17" i="11"/>
  <c r="Q17" i="11" s="1"/>
  <c r="P17" i="7"/>
  <c r="Q17" i="7" s="1"/>
  <c r="P17" i="6"/>
  <c r="Q17" i="6" s="1"/>
  <c r="I4" i="19"/>
  <c r="M4" i="19"/>
  <c r="H4" i="13"/>
  <c r="P7" i="12"/>
  <c r="Q7" i="12" s="1"/>
  <c r="H4" i="11"/>
  <c r="L4" i="11"/>
  <c r="F4" i="10"/>
  <c r="J4" i="10"/>
  <c r="N4" i="10"/>
  <c r="K4" i="9"/>
  <c r="F4" i="9"/>
  <c r="J4" i="9"/>
  <c r="N4" i="9"/>
  <c r="H4" i="6"/>
  <c r="L4" i="6"/>
  <c r="E4" i="6"/>
  <c r="I4" i="6"/>
  <c r="M4" i="6"/>
  <c r="D4" i="2" l="1"/>
  <c r="Q13" i="26"/>
  <c r="R11" i="26"/>
  <c r="R9" i="26"/>
  <c r="P4" i="29"/>
  <c r="Q4" i="29" s="1"/>
  <c r="P4" i="27"/>
  <c r="Q4" i="27" s="1"/>
  <c r="P4" i="26"/>
  <c r="Q4" i="26" l="1"/>
  <c r="C134" i="20"/>
  <c r="I19" i="22" l="1"/>
  <c r="J19" i="22"/>
  <c r="K19" i="22"/>
  <c r="L19" i="22"/>
  <c r="M19" i="22"/>
  <c r="N19" i="22"/>
  <c r="O19" i="22"/>
  <c r="P19" i="22"/>
  <c r="Q19" i="22"/>
  <c r="R19" i="22"/>
  <c r="S19" i="22"/>
  <c r="T19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H76" i="22"/>
  <c r="G76" i="22"/>
  <c r="H57" i="22"/>
  <c r="G57" i="22"/>
  <c r="U57" i="22" s="1"/>
  <c r="U76" i="22" l="1"/>
  <c r="O11" i="64"/>
  <c r="G38" i="22" l="1"/>
  <c r="H38" i="22"/>
  <c r="G19" i="22"/>
  <c r="U38" i="22" l="1"/>
  <c r="N11" i="37"/>
  <c r="M12" i="37"/>
  <c r="N12" i="37" s="1"/>
  <c r="M13" i="37"/>
  <c r="N13" i="37"/>
  <c r="M14" i="37"/>
  <c r="N14" i="37" s="1"/>
  <c r="M15" i="37"/>
  <c r="N15" i="37" s="1"/>
  <c r="M16" i="37"/>
  <c r="N16" i="37" s="1"/>
  <c r="M17" i="37"/>
  <c r="N17" i="37"/>
  <c r="M18" i="37"/>
  <c r="N18" i="37" s="1"/>
  <c r="M19" i="37"/>
  <c r="N19" i="37" s="1"/>
  <c r="M20" i="37"/>
  <c r="N20" i="37" s="1"/>
  <c r="M21" i="37"/>
  <c r="N21" i="37"/>
  <c r="M22" i="37"/>
  <c r="N22" i="37" s="1"/>
  <c r="M23" i="37"/>
  <c r="N23" i="37" s="1"/>
  <c r="M24" i="37"/>
  <c r="N24" i="37" s="1"/>
  <c r="M25" i="37"/>
  <c r="N25" i="37"/>
  <c r="M26" i="37"/>
  <c r="N26" i="37" s="1"/>
  <c r="M27" i="37"/>
  <c r="N27" i="37" s="1"/>
  <c r="M28" i="37"/>
  <c r="N28" i="37" s="1"/>
  <c r="M29" i="37"/>
  <c r="N29" i="37"/>
  <c r="M30" i="37"/>
  <c r="N30" i="37" s="1"/>
  <c r="M31" i="37"/>
  <c r="N31" i="37" s="1"/>
  <c r="M32" i="37"/>
  <c r="N32" i="37" s="1"/>
  <c r="M33" i="37"/>
  <c r="N33" i="37"/>
  <c r="M34" i="37"/>
  <c r="N34" i="37" s="1"/>
  <c r="M35" i="37"/>
  <c r="N35" i="37" s="1"/>
  <c r="M36" i="37"/>
  <c r="N36" i="37" s="1"/>
  <c r="M37" i="37"/>
  <c r="N37" i="37"/>
  <c r="M38" i="37"/>
  <c r="N38" i="37" s="1"/>
  <c r="M39" i="37"/>
  <c r="N39" i="37" s="1"/>
  <c r="M40" i="37"/>
  <c r="N40" i="37" s="1"/>
  <c r="M41" i="37"/>
  <c r="N41" i="37"/>
  <c r="M42" i="37"/>
  <c r="N42" i="37" s="1"/>
  <c r="M43" i="37"/>
  <c r="N43" i="37" s="1"/>
  <c r="M44" i="37"/>
  <c r="N44" i="37" s="1"/>
  <c r="M45" i="37"/>
  <c r="N45" i="37"/>
  <c r="M46" i="37"/>
  <c r="N46" i="37" s="1"/>
  <c r="M47" i="37"/>
  <c r="N47" i="37" s="1"/>
  <c r="M48" i="37"/>
  <c r="N48" i="37" s="1"/>
  <c r="M49" i="37"/>
  <c r="N49" i="37"/>
  <c r="M50" i="37"/>
  <c r="N50" i="37" s="1"/>
  <c r="M51" i="37"/>
  <c r="N51" i="37" s="1"/>
  <c r="M52" i="37"/>
  <c r="N52" i="37" s="1"/>
  <c r="M53" i="37"/>
  <c r="N53" i="37"/>
  <c r="M54" i="37"/>
  <c r="N54" i="37" s="1"/>
  <c r="M55" i="37"/>
  <c r="N55" i="37" s="1"/>
  <c r="M56" i="37"/>
  <c r="N56" i="37" s="1"/>
  <c r="Q10" i="43" l="1"/>
  <c r="Q14" i="43"/>
  <c r="Q18" i="43"/>
  <c r="Q22" i="43"/>
  <c r="Q26" i="43"/>
  <c r="Q30" i="43"/>
  <c r="Q34" i="43"/>
  <c r="Q7" i="43"/>
  <c r="Q11" i="43"/>
  <c r="Q15" i="43"/>
  <c r="Q19" i="43"/>
  <c r="Q23" i="43"/>
  <c r="Q27" i="43"/>
  <c r="Q35" i="43"/>
  <c r="Q8" i="43"/>
  <c r="Q12" i="43"/>
  <c r="Q16" i="43"/>
  <c r="Q20" i="43"/>
  <c r="Q24" i="43"/>
  <c r="Q32" i="43"/>
  <c r="Q36" i="43"/>
  <c r="Q9" i="43"/>
  <c r="Q13" i="43"/>
  <c r="Q17" i="43"/>
  <c r="Q21" i="43"/>
  <c r="Q25" i="43"/>
  <c r="Q29" i="43"/>
  <c r="Q33" i="43"/>
  <c r="Q37" i="43"/>
  <c r="Q28" i="43"/>
  <c r="Q31" i="43"/>
  <c r="Q6" i="43"/>
  <c r="D185" i="58"/>
  <c r="E185" i="58"/>
  <c r="F185" i="58"/>
  <c r="G185" i="58"/>
  <c r="G201" i="58" s="1"/>
  <c r="H185" i="58"/>
  <c r="I185" i="58"/>
  <c r="J185" i="58"/>
  <c r="K185" i="58"/>
  <c r="K201" i="58" s="1"/>
  <c r="L185" i="58"/>
  <c r="M185" i="58"/>
  <c r="C186" i="58"/>
  <c r="D186" i="58"/>
  <c r="E186" i="58"/>
  <c r="F186" i="58"/>
  <c r="G186" i="58"/>
  <c r="H186" i="58"/>
  <c r="I186" i="58"/>
  <c r="J186" i="58"/>
  <c r="K186" i="58"/>
  <c r="L186" i="58"/>
  <c r="M186" i="58"/>
  <c r="C187" i="58"/>
  <c r="D187" i="58"/>
  <c r="E187" i="58"/>
  <c r="N187" i="58" s="1"/>
  <c r="F187" i="58"/>
  <c r="G187" i="58"/>
  <c r="H187" i="58"/>
  <c r="I187" i="58"/>
  <c r="J187" i="58"/>
  <c r="K187" i="58"/>
  <c r="L187" i="58"/>
  <c r="M187" i="58"/>
  <c r="C188" i="58"/>
  <c r="D188" i="58"/>
  <c r="E188" i="58"/>
  <c r="F188" i="58"/>
  <c r="G188" i="58"/>
  <c r="H188" i="58"/>
  <c r="I188" i="58"/>
  <c r="J188" i="58"/>
  <c r="K188" i="58"/>
  <c r="L188" i="58"/>
  <c r="M188" i="58"/>
  <c r="C189" i="58"/>
  <c r="D189" i="58"/>
  <c r="E189" i="58"/>
  <c r="F189" i="58"/>
  <c r="G189" i="58"/>
  <c r="H189" i="58"/>
  <c r="I189" i="58"/>
  <c r="J189" i="58"/>
  <c r="K189" i="58"/>
  <c r="L189" i="58"/>
  <c r="M189" i="58"/>
  <c r="C190" i="58"/>
  <c r="D190" i="58"/>
  <c r="E190" i="58"/>
  <c r="F190" i="58"/>
  <c r="G190" i="58"/>
  <c r="H190" i="58"/>
  <c r="I190" i="58"/>
  <c r="J190" i="58"/>
  <c r="K190" i="58"/>
  <c r="L190" i="58"/>
  <c r="M190" i="58"/>
  <c r="C191" i="58"/>
  <c r="D191" i="58"/>
  <c r="E191" i="58"/>
  <c r="F191" i="58"/>
  <c r="G191" i="58"/>
  <c r="H191" i="58"/>
  <c r="I191" i="58"/>
  <c r="J191" i="58"/>
  <c r="K191" i="58"/>
  <c r="L191" i="58"/>
  <c r="M191" i="58"/>
  <c r="C192" i="58"/>
  <c r="D192" i="58"/>
  <c r="E192" i="58"/>
  <c r="F192" i="58"/>
  <c r="G192" i="58"/>
  <c r="H192" i="58"/>
  <c r="I192" i="58"/>
  <c r="J192" i="58"/>
  <c r="K192" i="58"/>
  <c r="L192" i="58"/>
  <c r="M192" i="58"/>
  <c r="C193" i="58"/>
  <c r="D193" i="58"/>
  <c r="E193" i="58"/>
  <c r="F193" i="58"/>
  <c r="G193" i="58"/>
  <c r="H193" i="58"/>
  <c r="I193" i="58"/>
  <c r="J193" i="58"/>
  <c r="K193" i="58"/>
  <c r="L193" i="58"/>
  <c r="M193" i="58"/>
  <c r="C194" i="58"/>
  <c r="D194" i="58"/>
  <c r="E194" i="58"/>
  <c r="F194" i="58"/>
  <c r="G194" i="58"/>
  <c r="H194" i="58"/>
  <c r="I194" i="58"/>
  <c r="J194" i="58"/>
  <c r="K194" i="58"/>
  <c r="L194" i="58"/>
  <c r="M194" i="58"/>
  <c r="C195" i="58"/>
  <c r="D195" i="58"/>
  <c r="E195" i="58"/>
  <c r="N195" i="58" s="1"/>
  <c r="F195" i="58"/>
  <c r="G195" i="58"/>
  <c r="H195" i="58"/>
  <c r="I195" i="58"/>
  <c r="J195" i="58"/>
  <c r="K195" i="58"/>
  <c r="L195" i="58"/>
  <c r="M195" i="58"/>
  <c r="C196" i="58"/>
  <c r="D196" i="58"/>
  <c r="E196" i="58"/>
  <c r="F196" i="58"/>
  <c r="G196" i="58"/>
  <c r="H196" i="58"/>
  <c r="I196" i="58"/>
  <c r="J196" i="58"/>
  <c r="K196" i="58"/>
  <c r="L196" i="58"/>
  <c r="M196" i="58"/>
  <c r="C197" i="58"/>
  <c r="D197" i="58"/>
  <c r="E197" i="58"/>
  <c r="F197" i="58"/>
  <c r="G197" i="58"/>
  <c r="H197" i="58"/>
  <c r="I197" i="58"/>
  <c r="J197" i="58"/>
  <c r="K197" i="58"/>
  <c r="L197" i="58"/>
  <c r="M197" i="58"/>
  <c r="C198" i="58"/>
  <c r="D198" i="58"/>
  <c r="E198" i="58"/>
  <c r="F198" i="58"/>
  <c r="G198" i="58"/>
  <c r="H198" i="58"/>
  <c r="I198" i="58"/>
  <c r="J198" i="58"/>
  <c r="K198" i="58"/>
  <c r="L198" i="58"/>
  <c r="M198" i="58"/>
  <c r="C199" i="58"/>
  <c r="D199" i="58"/>
  <c r="E199" i="58"/>
  <c r="N199" i="58" s="1"/>
  <c r="F199" i="58"/>
  <c r="G199" i="58"/>
  <c r="H199" i="58"/>
  <c r="I199" i="58"/>
  <c r="J199" i="58"/>
  <c r="K199" i="58"/>
  <c r="L199" i="58"/>
  <c r="M199" i="58"/>
  <c r="C200" i="58"/>
  <c r="D200" i="58"/>
  <c r="E200" i="58"/>
  <c r="F200" i="58"/>
  <c r="G200" i="58"/>
  <c r="H200" i="58"/>
  <c r="I200" i="58"/>
  <c r="J200" i="58"/>
  <c r="K200" i="58"/>
  <c r="L200" i="58"/>
  <c r="M200" i="58"/>
  <c r="B200" i="58"/>
  <c r="B199" i="58"/>
  <c r="B198" i="58"/>
  <c r="B197" i="58"/>
  <c r="B196" i="58"/>
  <c r="B195" i="58"/>
  <c r="B194" i="58"/>
  <c r="B193" i="58"/>
  <c r="B192" i="58"/>
  <c r="B191" i="58"/>
  <c r="B190" i="58"/>
  <c r="B189" i="58"/>
  <c r="B188" i="58"/>
  <c r="B187" i="58"/>
  <c r="B186" i="58"/>
  <c r="B185" i="58"/>
  <c r="B201" i="58" s="1"/>
  <c r="C165" i="58"/>
  <c r="D165" i="58"/>
  <c r="E165" i="58"/>
  <c r="E181" i="58" s="1"/>
  <c r="F165" i="58"/>
  <c r="G165" i="58"/>
  <c r="H165" i="58"/>
  <c r="I165" i="58"/>
  <c r="J165" i="58"/>
  <c r="K165" i="58"/>
  <c r="L165" i="58"/>
  <c r="M165" i="58"/>
  <c r="C166" i="58"/>
  <c r="D166" i="58"/>
  <c r="E166" i="58"/>
  <c r="F166" i="58"/>
  <c r="G166" i="58"/>
  <c r="H166" i="58"/>
  <c r="I166" i="58"/>
  <c r="J166" i="58"/>
  <c r="K166" i="58"/>
  <c r="L166" i="58"/>
  <c r="M166" i="58"/>
  <c r="C167" i="58"/>
  <c r="D167" i="58"/>
  <c r="E167" i="58"/>
  <c r="F167" i="58"/>
  <c r="G167" i="58"/>
  <c r="H167" i="58"/>
  <c r="I167" i="58"/>
  <c r="J167" i="58"/>
  <c r="K167" i="58"/>
  <c r="L167" i="58"/>
  <c r="M167" i="58"/>
  <c r="C168" i="58"/>
  <c r="D168" i="58"/>
  <c r="D181" i="58" s="1"/>
  <c r="E168" i="58"/>
  <c r="F168" i="58"/>
  <c r="G168" i="58"/>
  <c r="H168" i="58"/>
  <c r="I168" i="58"/>
  <c r="J168" i="58"/>
  <c r="K168" i="58"/>
  <c r="L168" i="58"/>
  <c r="M168" i="58"/>
  <c r="C169" i="58"/>
  <c r="D169" i="58"/>
  <c r="E169" i="58"/>
  <c r="F169" i="58"/>
  <c r="G169" i="58"/>
  <c r="H169" i="58"/>
  <c r="I169" i="58"/>
  <c r="J169" i="58"/>
  <c r="K169" i="58"/>
  <c r="L169" i="58"/>
  <c r="M169" i="58"/>
  <c r="C170" i="58"/>
  <c r="D170" i="58"/>
  <c r="E170" i="58"/>
  <c r="F170" i="58"/>
  <c r="G170" i="58"/>
  <c r="H170" i="58"/>
  <c r="I170" i="58"/>
  <c r="J170" i="58"/>
  <c r="K170" i="58"/>
  <c r="L170" i="58"/>
  <c r="M170" i="58"/>
  <c r="C171" i="58"/>
  <c r="D171" i="58"/>
  <c r="E171" i="58"/>
  <c r="F171" i="58"/>
  <c r="G171" i="58"/>
  <c r="H171" i="58"/>
  <c r="I171" i="58"/>
  <c r="J171" i="58"/>
  <c r="K171" i="58"/>
  <c r="L171" i="58"/>
  <c r="M171" i="58"/>
  <c r="C172" i="58"/>
  <c r="D172" i="58"/>
  <c r="E172" i="58"/>
  <c r="F172" i="58"/>
  <c r="G172" i="58"/>
  <c r="H172" i="58"/>
  <c r="I172" i="58"/>
  <c r="J172" i="58"/>
  <c r="K172" i="58"/>
  <c r="L172" i="58"/>
  <c r="M172" i="58"/>
  <c r="C173" i="58"/>
  <c r="D173" i="58"/>
  <c r="E173" i="58"/>
  <c r="F173" i="58"/>
  <c r="G173" i="58"/>
  <c r="H173" i="58"/>
  <c r="I173" i="58"/>
  <c r="J173" i="58"/>
  <c r="K173" i="58"/>
  <c r="L173" i="58"/>
  <c r="M173" i="58"/>
  <c r="C174" i="58"/>
  <c r="D174" i="58"/>
  <c r="E174" i="58"/>
  <c r="F174" i="58"/>
  <c r="G174" i="58"/>
  <c r="H174" i="58"/>
  <c r="I174" i="58"/>
  <c r="J174" i="58"/>
  <c r="K174" i="58"/>
  <c r="L174" i="58"/>
  <c r="M174" i="58"/>
  <c r="C175" i="58"/>
  <c r="D175" i="58"/>
  <c r="E175" i="58"/>
  <c r="F175" i="58"/>
  <c r="G175" i="58"/>
  <c r="H175" i="58"/>
  <c r="I175" i="58"/>
  <c r="J175" i="58"/>
  <c r="K175" i="58"/>
  <c r="L175" i="58"/>
  <c r="M175" i="58"/>
  <c r="C176" i="58"/>
  <c r="D176" i="58"/>
  <c r="E176" i="58"/>
  <c r="F176" i="58"/>
  <c r="G176" i="58"/>
  <c r="H176" i="58"/>
  <c r="I176" i="58"/>
  <c r="J176" i="58"/>
  <c r="K176" i="58"/>
  <c r="L176" i="58"/>
  <c r="M176" i="58"/>
  <c r="C177" i="58"/>
  <c r="D177" i="58"/>
  <c r="E177" i="58"/>
  <c r="F177" i="58"/>
  <c r="G177" i="58"/>
  <c r="H177" i="58"/>
  <c r="I177" i="58"/>
  <c r="J177" i="58"/>
  <c r="K177" i="58"/>
  <c r="L177" i="58"/>
  <c r="M177" i="58"/>
  <c r="C178" i="58"/>
  <c r="D178" i="58"/>
  <c r="E178" i="58"/>
  <c r="F178" i="58"/>
  <c r="G178" i="58"/>
  <c r="H178" i="58"/>
  <c r="I178" i="58"/>
  <c r="J178" i="58"/>
  <c r="K178" i="58"/>
  <c r="L178" i="58"/>
  <c r="M178" i="58"/>
  <c r="C179" i="58"/>
  <c r="D179" i="58"/>
  <c r="E179" i="58"/>
  <c r="F179" i="58"/>
  <c r="G179" i="58"/>
  <c r="H179" i="58"/>
  <c r="I179" i="58"/>
  <c r="J179" i="58"/>
  <c r="K179" i="58"/>
  <c r="L179" i="58"/>
  <c r="M179" i="58"/>
  <c r="C180" i="58"/>
  <c r="D180" i="58"/>
  <c r="N180" i="58" s="1"/>
  <c r="E180" i="58"/>
  <c r="F180" i="58"/>
  <c r="G180" i="58"/>
  <c r="H180" i="58"/>
  <c r="I180" i="58"/>
  <c r="J180" i="58"/>
  <c r="K180" i="58"/>
  <c r="L180" i="58"/>
  <c r="M180" i="58"/>
  <c r="B180" i="58"/>
  <c r="B165" i="58"/>
  <c r="N165" i="58" s="1"/>
  <c r="B179" i="58"/>
  <c r="B178" i="58"/>
  <c r="B177" i="58"/>
  <c r="B176" i="58"/>
  <c r="B175" i="58"/>
  <c r="B174" i="58"/>
  <c r="B173" i="58"/>
  <c r="B172" i="58"/>
  <c r="B171" i="58"/>
  <c r="B170" i="58"/>
  <c r="B169" i="58"/>
  <c r="B168" i="58"/>
  <c r="B167" i="58"/>
  <c r="B166" i="58"/>
  <c r="N191" i="58"/>
  <c r="H181" i="58"/>
  <c r="B145" i="58"/>
  <c r="B146" i="58"/>
  <c r="B147" i="58"/>
  <c r="B148" i="58"/>
  <c r="B149" i="58"/>
  <c r="B150" i="58"/>
  <c r="B151" i="58"/>
  <c r="B152" i="58"/>
  <c r="B153" i="58"/>
  <c r="B154" i="58"/>
  <c r="B155" i="58"/>
  <c r="B156" i="58"/>
  <c r="B157" i="58"/>
  <c r="B158" i="58"/>
  <c r="B159" i="58"/>
  <c r="B160" i="58"/>
  <c r="C145" i="58"/>
  <c r="D145" i="58"/>
  <c r="E145" i="58"/>
  <c r="F145" i="58"/>
  <c r="G145" i="58"/>
  <c r="H145" i="58"/>
  <c r="I145" i="58"/>
  <c r="J145" i="58"/>
  <c r="K145" i="58"/>
  <c r="L145" i="58"/>
  <c r="M145" i="58"/>
  <c r="C146" i="58"/>
  <c r="D146" i="58"/>
  <c r="E146" i="58"/>
  <c r="F146" i="58"/>
  <c r="G146" i="58"/>
  <c r="H146" i="58"/>
  <c r="I146" i="58"/>
  <c r="J146" i="58"/>
  <c r="K146" i="58"/>
  <c r="L146" i="58"/>
  <c r="M146" i="58"/>
  <c r="C147" i="58"/>
  <c r="D147" i="58"/>
  <c r="E147" i="58"/>
  <c r="F147" i="58"/>
  <c r="G147" i="58"/>
  <c r="H147" i="58"/>
  <c r="I147" i="58"/>
  <c r="J147" i="58"/>
  <c r="K147" i="58"/>
  <c r="L147" i="58"/>
  <c r="M147" i="58"/>
  <c r="C148" i="58"/>
  <c r="D148" i="58"/>
  <c r="E148" i="58"/>
  <c r="F148" i="58"/>
  <c r="G148" i="58"/>
  <c r="H148" i="58"/>
  <c r="I148" i="58"/>
  <c r="J148" i="58"/>
  <c r="K148" i="58"/>
  <c r="L148" i="58"/>
  <c r="M148" i="58"/>
  <c r="C149" i="58"/>
  <c r="D149" i="58"/>
  <c r="E149" i="58"/>
  <c r="F149" i="58"/>
  <c r="G149" i="58"/>
  <c r="H149" i="58"/>
  <c r="I149" i="58"/>
  <c r="J149" i="58"/>
  <c r="K149" i="58"/>
  <c r="L149" i="58"/>
  <c r="M149" i="58"/>
  <c r="C150" i="58"/>
  <c r="D150" i="58"/>
  <c r="E150" i="58"/>
  <c r="F150" i="58"/>
  <c r="G150" i="58"/>
  <c r="H150" i="58"/>
  <c r="I150" i="58"/>
  <c r="J150" i="58"/>
  <c r="K150" i="58"/>
  <c r="L150" i="58"/>
  <c r="M150" i="58"/>
  <c r="C151" i="58"/>
  <c r="D151" i="58"/>
  <c r="E151" i="58"/>
  <c r="F151" i="58"/>
  <c r="N151" i="58" s="1"/>
  <c r="G151" i="58"/>
  <c r="H151" i="58"/>
  <c r="I151" i="58"/>
  <c r="J151" i="58"/>
  <c r="K151" i="58"/>
  <c r="L151" i="58"/>
  <c r="M151" i="58"/>
  <c r="C152" i="58"/>
  <c r="D152" i="58"/>
  <c r="E152" i="58"/>
  <c r="F152" i="58"/>
  <c r="G152" i="58"/>
  <c r="H152" i="58"/>
  <c r="I152" i="58"/>
  <c r="J152" i="58"/>
  <c r="K152" i="58"/>
  <c r="L152" i="58"/>
  <c r="M152" i="58"/>
  <c r="C153" i="58"/>
  <c r="D153" i="58"/>
  <c r="E153" i="58"/>
  <c r="F153" i="58"/>
  <c r="G153" i="58"/>
  <c r="H153" i="58"/>
  <c r="I153" i="58"/>
  <c r="J153" i="58"/>
  <c r="K153" i="58"/>
  <c r="L153" i="58"/>
  <c r="M153" i="58"/>
  <c r="C154" i="58"/>
  <c r="D154" i="58"/>
  <c r="E154" i="58"/>
  <c r="F154" i="58"/>
  <c r="G154" i="58"/>
  <c r="H154" i="58"/>
  <c r="I154" i="58"/>
  <c r="J154" i="58"/>
  <c r="K154" i="58"/>
  <c r="L154" i="58"/>
  <c r="M154" i="58"/>
  <c r="C155" i="58"/>
  <c r="D155" i="58"/>
  <c r="E155" i="58"/>
  <c r="F155" i="58"/>
  <c r="G155" i="58"/>
  <c r="H155" i="58"/>
  <c r="I155" i="58"/>
  <c r="J155" i="58"/>
  <c r="K155" i="58"/>
  <c r="L155" i="58"/>
  <c r="M155" i="58"/>
  <c r="C156" i="58"/>
  <c r="D156" i="58"/>
  <c r="E156" i="58"/>
  <c r="F156" i="58"/>
  <c r="G156" i="58"/>
  <c r="H156" i="58"/>
  <c r="I156" i="58"/>
  <c r="J156" i="58"/>
  <c r="K156" i="58"/>
  <c r="L156" i="58"/>
  <c r="M156" i="58"/>
  <c r="C157" i="58"/>
  <c r="D157" i="58"/>
  <c r="E157" i="58"/>
  <c r="F157" i="58"/>
  <c r="G157" i="58"/>
  <c r="H157" i="58"/>
  <c r="I157" i="58"/>
  <c r="J157" i="58"/>
  <c r="K157" i="58"/>
  <c r="L157" i="58"/>
  <c r="M157" i="58"/>
  <c r="C158" i="58"/>
  <c r="D158" i="58"/>
  <c r="E158" i="58"/>
  <c r="F158" i="58"/>
  <c r="G158" i="58"/>
  <c r="H158" i="58"/>
  <c r="I158" i="58"/>
  <c r="J158" i="58"/>
  <c r="K158" i="58"/>
  <c r="L158" i="58"/>
  <c r="M158" i="58"/>
  <c r="C159" i="58"/>
  <c r="D159" i="58"/>
  <c r="E159" i="58"/>
  <c r="F159" i="58"/>
  <c r="G159" i="58"/>
  <c r="H159" i="58"/>
  <c r="I159" i="58"/>
  <c r="J159" i="58"/>
  <c r="K159" i="58"/>
  <c r="L159" i="58"/>
  <c r="M159" i="58"/>
  <c r="C160" i="58"/>
  <c r="D160" i="58"/>
  <c r="E160" i="58"/>
  <c r="F160" i="58"/>
  <c r="G160" i="58"/>
  <c r="H160" i="58"/>
  <c r="I160" i="58"/>
  <c r="J160" i="58"/>
  <c r="K160" i="58"/>
  <c r="L160" i="58"/>
  <c r="M160" i="58"/>
  <c r="M119" i="58"/>
  <c r="L119" i="58"/>
  <c r="K119" i="58"/>
  <c r="J119" i="58"/>
  <c r="I119" i="58"/>
  <c r="H119" i="58"/>
  <c r="G119" i="58"/>
  <c r="F119" i="58"/>
  <c r="E119" i="58"/>
  <c r="D119" i="58"/>
  <c r="M118" i="58"/>
  <c r="L118" i="58"/>
  <c r="K118" i="58"/>
  <c r="J118" i="58"/>
  <c r="I118" i="58"/>
  <c r="H118" i="58"/>
  <c r="G118" i="58"/>
  <c r="F118" i="58"/>
  <c r="E118" i="58"/>
  <c r="D118" i="58"/>
  <c r="M117" i="58"/>
  <c r="L117" i="58"/>
  <c r="K117" i="58"/>
  <c r="J117" i="58"/>
  <c r="I117" i="58"/>
  <c r="H117" i="58"/>
  <c r="G117" i="58"/>
  <c r="F117" i="58"/>
  <c r="E117" i="58"/>
  <c r="E120" i="58" s="1"/>
  <c r="D117" i="58"/>
  <c r="C117" i="58"/>
  <c r="N117" i="58" s="1"/>
  <c r="B117" i="58"/>
  <c r="D116" i="58"/>
  <c r="C125" i="58"/>
  <c r="C116" i="58"/>
  <c r="N167" i="58" l="1"/>
  <c r="N198" i="58"/>
  <c r="N196" i="58"/>
  <c r="N194" i="58"/>
  <c r="N192" i="58"/>
  <c r="N190" i="58"/>
  <c r="N188" i="58"/>
  <c r="L201" i="58"/>
  <c r="H201" i="58"/>
  <c r="D201" i="58"/>
  <c r="N186" i="58"/>
  <c r="J201" i="58"/>
  <c r="F201" i="58"/>
  <c r="N175" i="58"/>
  <c r="I181" i="58"/>
  <c r="L181" i="58"/>
  <c r="K181" i="58"/>
  <c r="N197" i="58"/>
  <c r="N193" i="58"/>
  <c r="N189" i="58"/>
  <c r="M201" i="58"/>
  <c r="I201" i="58"/>
  <c r="E201" i="58"/>
  <c r="M181" i="58"/>
  <c r="N155" i="58"/>
  <c r="N147" i="58"/>
  <c r="N178" i="58"/>
  <c r="N170" i="58"/>
  <c r="G181" i="58"/>
  <c r="J181" i="58"/>
  <c r="F181" i="58"/>
  <c r="Q4" i="43"/>
  <c r="C201" i="58"/>
  <c r="N200" i="58"/>
  <c r="N168" i="58"/>
  <c r="N177" i="58"/>
  <c r="N174" i="58"/>
  <c r="N166" i="58"/>
  <c r="N171" i="58"/>
  <c r="N172" i="58"/>
  <c r="N176" i="58"/>
  <c r="N179" i="58"/>
  <c r="B181" i="58"/>
  <c r="F120" i="58"/>
  <c r="G120" i="58"/>
  <c r="N185" i="58"/>
  <c r="C181" i="58"/>
  <c r="N169" i="58"/>
  <c r="N173" i="58"/>
  <c r="N145" i="58"/>
  <c r="N148" i="58"/>
  <c r="B161" i="58"/>
  <c r="N154" i="58"/>
  <c r="N153" i="58"/>
  <c r="N150" i="58"/>
  <c r="N146" i="58"/>
  <c r="D120" i="58"/>
  <c r="N158" i="58"/>
  <c r="N160" i="58"/>
  <c r="N159" i="58"/>
  <c r="N157" i="58"/>
  <c r="N156" i="58"/>
  <c r="N152" i="58"/>
  <c r="N149" i="58"/>
  <c r="F161" i="58"/>
  <c r="N201" i="58" l="1"/>
  <c r="N181" i="58"/>
  <c r="N161" i="58"/>
  <c r="B153" i="53" l="1"/>
  <c r="O173" i="63" l="1"/>
  <c r="N173" i="63"/>
  <c r="M173" i="63"/>
  <c r="L173" i="63"/>
  <c r="K173" i="63"/>
  <c r="J173" i="63"/>
  <c r="I173" i="63"/>
  <c r="H173" i="63"/>
  <c r="G173" i="63"/>
  <c r="F173" i="63"/>
  <c r="E173" i="63"/>
  <c r="D173" i="63"/>
  <c r="O172" i="63"/>
  <c r="N172" i="63"/>
  <c r="M172" i="63"/>
  <c r="L172" i="63"/>
  <c r="K172" i="63"/>
  <c r="J172" i="63"/>
  <c r="I172" i="63"/>
  <c r="H172" i="63"/>
  <c r="G172" i="63"/>
  <c r="F172" i="63"/>
  <c r="E172" i="63"/>
  <c r="D172" i="63"/>
  <c r="O171" i="63"/>
  <c r="N171" i="63"/>
  <c r="M171" i="63"/>
  <c r="L171" i="63"/>
  <c r="K171" i="63"/>
  <c r="J171" i="63"/>
  <c r="I171" i="63"/>
  <c r="H171" i="63"/>
  <c r="G171" i="63"/>
  <c r="F171" i="63"/>
  <c r="E171" i="63"/>
  <c r="D171" i="63"/>
  <c r="O170" i="63"/>
  <c r="N170" i="63"/>
  <c r="M170" i="63"/>
  <c r="L170" i="63"/>
  <c r="K170" i="63"/>
  <c r="J170" i="63"/>
  <c r="I170" i="63"/>
  <c r="H170" i="63"/>
  <c r="G170" i="63"/>
  <c r="F170" i="63"/>
  <c r="E170" i="63"/>
  <c r="D170" i="63"/>
  <c r="O169" i="63"/>
  <c r="N169" i="63"/>
  <c r="M169" i="63"/>
  <c r="L169" i="63"/>
  <c r="K169" i="63"/>
  <c r="J169" i="63"/>
  <c r="I169" i="63"/>
  <c r="H169" i="63"/>
  <c r="G169" i="63"/>
  <c r="F169" i="63"/>
  <c r="E169" i="63"/>
  <c r="D169" i="63"/>
  <c r="O168" i="63"/>
  <c r="N168" i="63"/>
  <c r="M168" i="63"/>
  <c r="L168" i="63"/>
  <c r="K168" i="63"/>
  <c r="J168" i="63"/>
  <c r="I168" i="63"/>
  <c r="H168" i="63"/>
  <c r="G168" i="63"/>
  <c r="F168" i="63"/>
  <c r="E168" i="63"/>
  <c r="D168" i="63"/>
  <c r="O167" i="63"/>
  <c r="N167" i="63"/>
  <c r="M167" i="63"/>
  <c r="L167" i="63"/>
  <c r="K167" i="63"/>
  <c r="J167" i="63"/>
  <c r="I167" i="63"/>
  <c r="H167" i="63"/>
  <c r="G167" i="63"/>
  <c r="F167" i="63"/>
  <c r="E167" i="63"/>
  <c r="D167" i="63"/>
  <c r="O166" i="63"/>
  <c r="N166" i="63"/>
  <c r="M166" i="63"/>
  <c r="L166" i="63"/>
  <c r="K166" i="63"/>
  <c r="J166" i="63"/>
  <c r="I166" i="63"/>
  <c r="H166" i="63"/>
  <c r="G166" i="63"/>
  <c r="F166" i="63"/>
  <c r="E166" i="63"/>
  <c r="D166" i="63"/>
  <c r="O165" i="63"/>
  <c r="N165" i="63"/>
  <c r="M165" i="63"/>
  <c r="L165" i="63"/>
  <c r="K165" i="63"/>
  <c r="J165" i="63"/>
  <c r="I165" i="63"/>
  <c r="H165" i="63"/>
  <c r="G165" i="63"/>
  <c r="F165" i="63"/>
  <c r="E165" i="63"/>
  <c r="D165" i="63"/>
  <c r="O164" i="63"/>
  <c r="N164" i="63"/>
  <c r="M164" i="63"/>
  <c r="L164" i="63"/>
  <c r="K164" i="63"/>
  <c r="J164" i="63"/>
  <c r="I164" i="63"/>
  <c r="H164" i="63"/>
  <c r="G164" i="63"/>
  <c r="F164" i="63"/>
  <c r="E164" i="63"/>
  <c r="D164" i="63"/>
  <c r="O163" i="63"/>
  <c r="N163" i="63"/>
  <c r="M163" i="63"/>
  <c r="L163" i="63"/>
  <c r="K163" i="63"/>
  <c r="J163" i="63"/>
  <c r="I163" i="63"/>
  <c r="H163" i="63"/>
  <c r="G163" i="63"/>
  <c r="F163" i="63"/>
  <c r="E163" i="63"/>
  <c r="D163" i="63"/>
  <c r="O162" i="63"/>
  <c r="N162" i="63"/>
  <c r="M162" i="63"/>
  <c r="L162" i="63"/>
  <c r="K162" i="63"/>
  <c r="J162" i="63"/>
  <c r="I162" i="63"/>
  <c r="H162" i="63"/>
  <c r="G162" i="63"/>
  <c r="F162" i="63"/>
  <c r="E162" i="63"/>
  <c r="D162" i="63"/>
  <c r="O161" i="63"/>
  <c r="N161" i="63"/>
  <c r="M161" i="63"/>
  <c r="L161" i="63"/>
  <c r="K161" i="63"/>
  <c r="J161" i="63"/>
  <c r="I161" i="63"/>
  <c r="H161" i="63"/>
  <c r="G161" i="63"/>
  <c r="F161" i="63"/>
  <c r="E161" i="63"/>
  <c r="D161" i="63"/>
  <c r="O160" i="63"/>
  <c r="N160" i="63"/>
  <c r="M160" i="63"/>
  <c r="L160" i="63"/>
  <c r="K160" i="63"/>
  <c r="J160" i="63"/>
  <c r="I160" i="63"/>
  <c r="H160" i="63"/>
  <c r="G160" i="63"/>
  <c r="F160" i="63"/>
  <c r="E160" i="63"/>
  <c r="D160" i="63"/>
  <c r="O159" i="63"/>
  <c r="N159" i="63"/>
  <c r="M159" i="63"/>
  <c r="L159" i="63"/>
  <c r="K159" i="63"/>
  <c r="J159" i="63"/>
  <c r="I159" i="63"/>
  <c r="H159" i="63"/>
  <c r="G159" i="63"/>
  <c r="F159" i="63"/>
  <c r="E159" i="63"/>
  <c r="D159" i="63"/>
  <c r="O158" i="63"/>
  <c r="N158" i="63"/>
  <c r="M158" i="63"/>
  <c r="L158" i="63"/>
  <c r="K158" i="63"/>
  <c r="J158" i="63"/>
  <c r="I158" i="63"/>
  <c r="H158" i="63"/>
  <c r="G158" i="63"/>
  <c r="F158" i="63"/>
  <c r="E158" i="63"/>
  <c r="D158" i="63"/>
  <c r="O157" i="63"/>
  <c r="N157" i="63"/>
  <c r="M157" i="63"/>
  <c r="L157" i="63"/>
  <c r="K157" i="63"/>
  <c r="J157" i="63"/>
  <c r="I157" i="63"/>
  <c r="H157" i="63"/>
  <c r="G157" i="63"/>
  <c r="F157" i="63"/>
  <c r="E157" i="63"/>
  <c r="D157" i="63"/>
  <c r="O156" i="63"/>
  <c r="N156" i="63"/>
  <c r="M156" i="63"/>
  <c r="L156" i="63"/>
  <c r="K156" i="63"/>
  <c r="J156" i="63"/>
  <c r="I156" i="63"/>
  <c r="H156" i="63"/>
  <c r="G156" i="63"/>
  <c r="F156" i="63"/>
  <c r="E156" i="63"/>
  <c r="D156" i="63"/>
  <c r="O155" i="63"/>
  <c r="N155" i="63"/>
  <c r="M155" i="63"/>
  <c r="L155" i="63"/>
  <c r="K155" i="63"/>
  <c r="J155" i="63"/>
  <c r="I155" i="63"/>
  <c r="H155" i="63"/>
  <c r="G155" i="63"/>
  <c r="F155" i="63"/>
  <c r="E155" i="63"/>
  <c r="D155" i="63"/>
  <c r="O154" i="63"/>
  <c r="N154" i="63"/>
  <c r="M154" i="63"/>
  <c r="L154" i="63"/>
  <c r="K154" i="63"/>
  <c r="J154" i="63"/>
  <c r="I154" i="63"/>
  <c r="H154" i="63"/>
  <c r="G154" i="63"/>
  <c r="F154" i="63"/>
  <c r="E154" i="63"/>
  <c r="D154" i="63"/>
  <c r="O153" i="63"/>
  <c r="N153" i="63"/>
  <c r="M153" i="63"/>
  <c r="L153" i="63"/>
  <c r="K153" i="63"/>
  <c r="J153" i="63"/>
  <c r="I153" i="63"/>
  <c r="H153" i="63"/>
  <c r="G153" i="63"/>
  <c r="F153" i="63"/>
  <c r="E153" i="63"/>
  <c r="D153" i="63"/>
  <c r="O152" i="63"/>
  <c r="N152" i="63"/>
  <c r="M152" i="63"/>
  <c r="L152" i="63"/>
  <c r="K152" i="63"/>
  <c r="J152" i="63"/>
  <c r="I152" i="63"/>
  <c r="H152" i="63"/>
  <c r="G152" i="63"/>
  <c r="F152" i="63"/>
  <c r="E152" i="63"/>
  <c r="D152" i="63"/>
  <c r="O151" i="63"/>
  <c r="N151" i="63"/>
  <c r="M151" i="63"/>
  <c r="L151" i="63"/>
  <c r="K151" i="63"/>
  <c r="J151" i="63"/>
  <c r="I151" i="63"/>
  <c r="H151" i="63"/>
  <c r="G151" i="63"/>
  <c r="F151" i="63"/>
  <c r="E151" i="63"/>
  <c r="D151" i="63"/>
  <c r="O150" i="63"/>
  <c r="N150" i="63"/>
  <c r="M150" i="63"/>
  <c r="L150" i="63"/>
  <c r="K150" i="63"/>
  <c r="J150" i="63"/>
  <c r="I150" i="63"/>
  <c r="H150" i="63"/>
  <c r="G150" i="63"/>
  <c r="F150" i="63"/>
  <c r="E150" i="63"/>
  <c r="D150" i="63"/>
  <c r="O149" i="63"/>
  <c r="N149" i="63"/>
  <c r="M149" i="63"/>
  <c r="L149" i="63"/>
  <c r="K149" i="63"/>
  <c r="J149" i="63"/>
  <c r="I149" i="63"/>
  <c r="H149" i="63"/>
  <c r="G149" i="63"/>
  <c r="F149" i="63"/>
  <c r="E149" i="63"/>
  <c r="D149" i="63"/>
  <c r="O148" i="63"/>
  <c r="N148" i="63"/>
  <c r="M148" i="63"/>
  <c r="L148" i="63"/>
  <c r="K148" i="63"/>
  <c r="J148" i="63"/>
  <c r="I148" i="63"/>
  <c r="H148" i="63"/>
  <c r="G148" i="63"/>
  <c r="F148" i="63"/>
  <c r="E148" i="63"/>
  <c r="D148" i="63"/>
  <c r="O147" i="63"/>
  <c r="N147" i="63"/>
  <c r="M147" i="63"/>
  <c r="L147" i="63"/>
  <c r="K147" i="63"/>
  <c r="J147" i="63"/>
  <c r="I147" i="63"/>
  <c r="H147" i="63"/>
  <c r="G147" i="63"/>
  <c r="F147" i="63"/>
  <c r="E147" i="63"/>
  <c r="D147" i="63"/>
  <c r="O146" i="63"/>
  <c r="N146" i="63"/>
  <c r="M146" i="63"/>
  <c r="L146" i="63"/>
  <c r="K146" i="63"/>
  <c r="J146" i="63"/>
  <c r="I146" i="63"/>
  <c r="H146" i="63"/>
  <c r="G146" i="63"/>
  <c r="F146" i="63"/>
  <c r="E146" i="63"/>
  <c r="D146" i="63"/>
  <c r="O145" i="63"/>
  <c r="N145" i="63"/>
  <c r="M145" i="63"/>
  <c r="L145" i="63"/>
  <c r="K145" i="63"/>
  <c r="J145" i="63"/>
  <c r="I145" i="63"/>
  <c r="H145" i="63"/>
  <c r="G145" i="63"/>
  <c r="F145" i="63"/>
  <c r="E145" i="63"/>
  <c r="D145" i="63"/>
  <c r="O144" i="63"/>
  <c r="N144" i="63"/>
  <c r="M144" i="63"/>
  <c r="L144" i="63"/>
  <c r="K144" i="63"/>
  <c r="J144" i="63"/>
  <c r="I144" i="63"/>
  <c r="H144" i="63"/>
  <c r="G144" i="63"/>
  <c r="F144" i="63"/>
  <c r="E144" i="63"/>
  <c r="D144" i="63"/>
  <c r="O143" i="63"/>
  <c r="N143" i="63"/>
  <c r="M143" i="63"/>
  <c r="L143" i="63"/>
  <c r="K143" i="63"/>
  <c r="J143" i="63"/>
  <c r="I143" i="63"/>
  <c r="H143" i="63"/>
  <c r="G143" i="63"/>
  <c r="F143" i="63"/>
  <c r="E143" i="63"/>
  <c r="D143" i="63"/>
  <c r="O142" i="63"/>
  <c r="N142" i="63"/>
  <c r="M142" i="63"/>
  <c r="L142" i="63"/>
  <c r="K142" i="63"/>
  <c r="J142" i="63"/>
  <c r="I142" i="63"/>
  <c r="H142" i="63"/>
  <c r="G142" i="63"/>
  <c r="F142" i="63"/>
  <c r="E142" i="63"/>
  <c r="D142" i="63"/>
  <c r="C140" i="63"/>
  <c r="C184" i="63" s="1"/>
  <c r="O141" i="63"/>
  <c r="N141" i="63"/>
  <c r="M141" i="63"/>
  <c r="L141" i="63"/>
  <c r="K141" i="63"/>
  <c r="J141" i="63"/>
  <c r="I141" i="63"/>
  <c r="H141" i="63"/>
  <c r="G141" i="63"/>
  <c r="F141" i="63"/>
  <c r="E141" i="63"/>
  <c r="D141" i="63"/>
  <c r="B184" i="63"/>
  <c r="B51" i="27"/>
  <c r="C57" i="27"/>
  <c r="O12" i="63"/>
  <c r="O33" i="63" s="1"/>
  <c r="O56" i="63" s="1"/>
  <c r="N12" i="63"/>
  <c r="N33" i="63" s="1"/>
  <c r="M12" i="63"/>
  <c r="M102" i="63" s="1"/>
  <c r="L12" i="63"/>
  <c r="L102" i="63" s="1"/>
  <c r="K12" i="63"/>
  <c r="K33" i="63" s="1"/>
  <c r="K56" i="63" s="1"/>
  <c r="J12" i="63"/>
  <c r="J33" i="63" s="1"/>
  <c r="J56" i="63" s="1"/>
  <c r="I12" i="63"/>
  <c r="I102" i="63" s="1"/>
  <c r="H12" i="63"/>
  <c r="H102" i="63" s="1"/>
  <c r="G12" i="63"/>
  <c r="G102" i="63" s="1"/>
  <c r="F12" i="63"/>
  <c r="F33" i="63" s="1"/>
  <c r="F56" i="63" s="1"/>
  <c r="E12" i="63"/>
  <c r="E33" i="63" s="1"/>
  <c r="E56" i="63" s="1"/>
  <c r="D12" i="63"/>
  <c r="D33" i="63" s="1"/>
  <c r="D56" i="63" s="1"/>
  <c r="C12" i="63"/>
  <c r="C33" i="63" s="1"/>
  <c r="C79" i="63" s="1"/>
  <c r="B12" i="63"/>
  <c r="B33" i="63" s="1"/>
  <c r="B79" i="63" s="1"/>
  <c r="O11" i="63"/>
  <c r="N11" i="63"/>
  <c r="M11" i="63"/>
  <c r="L11" i="63"/>
  <c r="K11" i="63"/>
  <c r="J11" i="63"/>
  <c r="I11" i="63"/>
  <c r="H11" i="63"/>
  <c r="G11" i="63"/>
  <c r="F11" i="63"/>
  <c r="E11" i="63"/>
  <c r="C11" i="63"/>
  <c r="B11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B14" i="63"/>
  <c r="B17" i="63"/>
  <c r="P21" i="63"/>
  <c r="B36" i="63"/>
  <c r="B37" i="63"/>
  <c r="B83" i="63" s="1"/>
  <c r="B39" i="63"/>
  <c r="D39" i="63"/>
  <c r="D62" i="63" s="1"/>
  <c r="B40" i="63"/>
  <c r="B86" i="63" s="1"/>
  <c r="B42" i="63"/>
  <c r="B88" i="63" s="1"/>
  <c r="C42" i="63"/>
  <c r="D27" i="26"/>
  <c r="D50" i="26" s="1"/>
  <c r="D51" i="26" s="1"/>
  <c r="B51" i="63"/>
  <c r="C88" i="63"/>
  <c r="C105" i="63"/>
  <c r="O9" i="63"/>
  <c r="N9" i="63"/>
  <c r="M9" i="63"/>
  <c r="L9" i="63"/>
  <c r="K9" i="63"/>
  <c r="J9" i="63"/>
  <c r="I9" i="63"/>
  <c r="H9" i="63"/>
  <c r="G9" i="63"/>
  <c r="F9" i="63"/>
  <c r="E9" i="63"/>
  <c r="B9" i="63"/>
  <c r="O8" i="63"/>
  <c r="N8" i="63"/>
  <c r="M8" i="63"/>
  <c r="L8" i="63"/>
  <c r="K8" i="63"/>
  <c r="J8" i="63"/>
  <c r="I8" i="63"/>
  <c r="H8" i="63"/>
  <c r="G8" i="63"/>
  <c r="F8" i="63"/>
  <c r="E8" i="63"/>
  <c r="D8" i="63"/>
  <c r="C8" i="63"/>
  <c r="C98" i="63" s="1"/>
  <c r="B8" i="63"/>
  <c r="B29" i="63" s="1"/>
  <c r="B75" i="63" s="1"/>
  <c r="O6" i="63"/>
  <c r="O27" i="63" s="1"/>
  <c r="O50" i="63" s="1"/>
  <c r="N6" i="63"/>
  <c r="N96" i="63" s="1"/>
  <c r="M6" i="63"/>
  <c r="L6" i="63"/>
  <c r="L96" i="63" s="1"/>
  <c r="K6" i="63"/>
  <c r="K27" i="63" s="1"/>
  <c r="K50" i="63" s="1"/>
  <c r="J6" i="63"/>
  <c r="J96" i="63" s="1"/>
  <c r="I6" i="63"/>
  <c r="H6" i="63"/>
  <c r="H96" i="63" s="1"/>
  <c r="G6" i="63"/>
  <c r="G27" i="63" s="1"/>
  <c r="G50" i="63" s="1"/>
  <c r="F6" i="63"/>
  <c r="F27" i="63" s="1"/>
  <c r="F50" i="63" s="1"/>
  <c r="E6" i="63"/>
  <c r="E27" i="63" s="1"/>
  <c r="E50" i="63" s="1"/>
  <c r="D6" i="63"/>
  <c r="D96" i="63" s="1"/>
  <c r="C6" i="63"/>
  <c r="C27" i="63" s="1"/>
  <c r="B6" i="63"/>
  <c r="B96" i="63" s="1"/>
  <c r="C5" i="63"/>
  <c r="C95" i="63" s="1"/>
  <c r="B5" i="63"/>
  <c r="B111" i="63"/>
  <c r="B109" i="63"/>
  <c r="C106" i="63"/>
  <c r="B106" i="63"/>
  <c r="D105" i="63"/>
  <c r="K102" i="63"/>
  <c r="P89" i="63"/>
  <c r="P66" i="63"/>
  <c r="C61" i="63"/>
  <c r="B61" i="63"/>
  <c r="C58" i="63"/>
  <c r="B58" i="63"/>
  <c r="C57" i="63"/>
  <c r="B57" i="63"/>
  <c r="C51" i="63"/>
  <c r="P43" i="63"/>
  <c r="P20" i="63"/>
  <c r="P18" i="63"/>
  <c r="Q18" i="63" s="1"/>
  <c r="M17" i="63"/>
  <c r="L17" i="63"/>
  <c r="I17" i="63"/>
  <c r="H17" i="63"/>
  <c r="E17" i="63"/>
  <c r="D17" i="63"/>
  <c r="O14" i="63"/>
  <c r="N14" i="63"/>
  <c r="K14" i="63"/>
  <c r="J14" i="63"/>
  <c r="G14" i="63"/>
  <c r="F14" i="63"/>
  <c r="C14" i="63"/>
  <c r="P331" i="34"/>
  <c r="P330" i="34"/>
  <c r="P307" i="34"/>
  <c r="P306" i="34"/>
  <c r="P283" i="34"/>
  <c r="P282" i="34"/>
  <c r="P259" i="34"/>
  <c r="P258" i="34"/>
  <c r="P235" i="34"/>
  <c r="P234" i="34"/>
  <c r="P211" i="34"/>
  <c r="P210" i="34"/>
  <c r="P187" i="34"/>
  <c r="P186" i="34"/>
  <c r="P163" i="34"/>
  <c r="P162" i="34"/>
  <c r="P139" i="34"/>
  <c r="P138" i="34"/>
  <c r="P115" i="34"/>
  <c r="P114" i="34"/>
  <c r="P91" i="34"/>
  <c r="P90" i="34"/>
  <c r="P67" i="34"/>
  <c r="P66" i="34"/>
  <c r="P43" i="34"/>
  <c r="P42" i="34"/>
  <c r="B38" i="63" l="1"/>
  <c r="B102" i="63"/>
  <c r="B125" i="63" s="1"/>
  <c r="N56" i="63"/>
  <c r="N79" i="63" s="1"/>
  <c r="B48" i="63"/>
  <c r="C48" i="63"/>
  <c r="C67" i="63" s="1"/>
  <c r="C178" i="63" s="1"/>
  <c r="P162" i="63"/>
  <c r="E140" i="63"/>
  <c r="E184" i="63" s="1"/>
  <c r="P146" i="63"/>
  <c r="I140" i="63"/>
  <c r="I184" i="63" s="1"/>
  <c r="H140" i="63"/>
  <c r="H184" i="63" s="1"/>
  <c r="L140" i="63"/>
  <c r="L184" i="63" s="1"/>
  <c r="P141" i="63"/>
  <c r="G140" i="63"/>
  <c r="G184" i="63" s="1"/>
  <c r="K140" i="63"/>
  <c r="K184" i="63" s="1"/>
  <c r="O140" i="63"/>
  <c r="O184" i="63" s="1"/>
  <c r="E7" i="63"/>
  <c r="F96" i="63"/>
  <c r="K7" i="63"/>
  <c r="O96" i="63"/>
  <c r="B7" i="63"/>
  <c r="F7" i="63"/>
  <c r="N7" i="63"/>
  <c r="B95" i="63"/>
  <c r="B97" i="63" s="1"/>
  <c r="N27" i="63"/>
  <c r="N50" i="63" s="1"/>
  <c r="C96" i="63"/>
  <c r="C97" i="63" s="1"/>
  <c r="B132" i="63"/>
  <c r="I7" i="63"/>
  <c r="M7" i="63"/>
  <c r="P150" i="63"/>
  <c r="P166" i="63"/>
  <c r="G96" i="63"/>
  <c r="J7" i="63"/>
  <c r="H33" i="63"/>
  <c r="H56" i="63" s="1"/>
  <c r="J27" i="63"/>
  <c r="M140" i="63"/>
  <c r="M184" i="63" s="1"/>
  <c r="P142" i="63"/>
  <c r="P154" i="63"/>
  <c r="P158" i="63"/>
  <c r="P170" i="63"/>
  <c r="C29" i="63"/>
  <c r="C75" i="63" s="1"/>
  <c r="C121" i="63" s="1"/>
  <c r="E96" i="63"/>
  <c r="K96" i="63"/>
  <c r="F102" i="63"/>
  <c r="B13" i="63"/>
  <c r="D102" i="63"/>
  <c r="B27" i="63"/>
  <c r="B73" i="63" s="1"/>
  <c r="B119" i="63" s="1"/>
  <c r="C13" i="63"/>
  <c r="C7" i="63"/>
  <c r="P9" i="63"/>
  <c r="Q9" i="63" s="1"/>
  <c r="B98" i="63"/>
  <c r="B121" i="63" s="1"/>
  <c r="C102" i="63"/>
  <c r="C125" i="63" s="1"/>
  <c r="O102" i="63"/>
  <c r="D7" i="63"/>
  <c r="I27" i="63"/>
  <c r="C26" i="63"/>
  <c r="C72" i="63" s="1"/>
  <c r="C118" i="63" s="1"/>
  <c r="P145" i="63"/>
  <c r="P157" i="63"/>
  <c r="P161" i="63"/>
  <c r="P173" i="63"/>
  <c r="G7" i="63"/>
  <c r="O7" i="63"/>
  <c r="M96" i="63"/>
  <c r="P6" i="63"/>
  <c r="Q6" i="63" s="1"/>
  <c r="L33" i="63"/>
  <c r="L27" i="63"/>
  <c r="L50" i="63" s="1"/>
  <c r="H27" i="63"/>
  <c r="H50" i="63" s="1"/>
  <c r="D27" i="63"/>
  <c r="D50" i="63" s="1"/>
  <c r="B26" i="63"/>
  <c r="O13" i="63"/>
  <c r="P144" i="63"/>
  <c r="P148" i="63"/>
  <c r="P152" i="63"/>
  <c r="P156" i="63"/>
  <c r="P160" i="63"/>
  <c r="P164" i="63"/>
  <c r="P168" i="63"/>
  <c r="P172" i="63"/>
  <c r="G33" i="63"/>
  <c r="M27" i="63"/>
  <c r="P149" i="63"/>
  <c r="P153" i="63"/>
  <c r="P165" i="63"/>
  <c r="P169" i="63"/>
  <c r="I96" i="63"/>
  <c r="P5" i="63"/>
  <c r="Q5" i="63" s="1"/>
  <c r="P143" i="63"/>
  <c r="J140" i="63"/>
  <c r="J184" i="63" s="1"/>
  <c r="N140" i="63"/>
  <c r="N184" i="63" s="1"/>
  <c r="P147" i="63"/>
  <c r="P151" i="63"/>
  <c r="P155" i="63"/>
  <c r="P159" i="63"/>
  <c r="P163" i="63"/>
  <c r="P167" i="63"/>
  <c r="P171" i="63"/>
  <c r="F140" i="63"/>
  <c r="F184" i="63" s="1"/>
  <c r="D140" i="63"/>
  <c r="D184" i="63" s="1"/>
  <c r="K13" i="63"/>
  <c r="E102" i="63"/>
  <c r="J102" i="63"/>
  <c r="M33" i="63"/>
  <c r="I33" i="63"/>
  <c r="N102" i="63"/>
  <c r="P10" i="63"/>
  <c r="Q10" i="63" s="1"/>
  <c r="L13" i="63"/>
  <c r="B35" i="63"/>
  <c r="B134" i="63"/>
  <c r="Q21" i="63"/>
  <c r="P19" i="63"/>
  <c r="Q19" i="63" s="1"/>
  <c r="F17" i="63"/>
  <c r="J17" i="63"/>
  <c r="N17" i="63"/>
  <c r="C17" i="63"/>
  <c r="G17" i="63"/>
  <c r="K17" i="63"/>
  <c r="O17" i="63"/>
  <c r="B108" i="63"/>
  <c r="B107" i="63" s="1"/>
  <c r="C104" i="63"/>
  <c r="D14" i="63"/>
  <c r="H14" i="63"/>
  <c r="L14" i="63"/>
  <c r="P15" i="63"/>
  <c r="Q15" i="63" s="1"/>
  <c r="B105" i="63"/>
  <c r="B104" i="63" s="1"/>
  <c r="D106" i="63"/>
  <c r="D104" i="63" s="1"/>
  <c r="B129" i="63"/>
  <c r="E14" i="63"/>
  <c r="I14" i="63"/>
  <c r="M14" i="63"/>
  <c r="P16" i="63"/>
  <c r="Q16" i="63" s="1"/>
  <c r="F13" i="63"/>
  <c r="D79" i="63"/>
  <c r="D13" i="63"/>
  <c r="P12" i="63"/>
  <c r="Q12" i="63" s="1"/>
  <c r="G13" i="63"/>
  <c r="H13" i="63"/>
  <c r="E13" i="63"/>
  <c r="I13" i="63"/>
  <c r="P11" i="63"/>
  <c r="Q11" i="63" s="1"/>
  <c r="J13" i="63"/>
  <c r="M13" i="63"/>
  <c r="N13" i="63"/>
  <c r="P8" i="63"/>
  <c r="Q8" i="63" s="1"/>
  <c r="C73" i="63"/>
  <c r="H7" i="63"/>
  <c r="L7" i="63"/>
  <c r="O79" i="63"/>
  <c r="E79" i="63"/>
  <c r="E73" i="63"/>
  <c r="K79" i="63"/>
  <c r="K125" i="63" s="1"/>
  <c r="G73" i="63"/>
  <c r="K73" i="63"/>
  <c r="O73" i="63"/>
  <c r="F73" i="63"/>
  <c r="F79" i="63"/>
  <c r="J79" i="63"/>
  <c r="D85" i="63"/>
  <c r="C226" i="58"/>
  <c r="P17" i="63" l="1"/>
  <c r="B67" i="63"/>
  <c r="B178" i="63" s="1"/>
  <c r="O119" i="63"/>
  <c r="I56" i="63"/>
  <c r="I79" i="63" s="1"/>
  <c r="I125" i="63" s="1"/>
  <c r="M56" i="63"/>
  <c r="M79" i="63" s="1"/>
  <c r="M125" i="63" s="1"/>
  <c r="L56" i="63"/>
  <c r="L79" i="63" s="1"/>
  <c r="L125" i="63" s="1"/>
  <c r="G56" i="63"/>
  <c r="G79" i="63" s="1"/>
  <c r="G125" i="63" s="1"/>
  <c r="N125" i="63"/>
  <c r="C119" i="63"/>
  <c r="C120" i="63" s="1"/>
  <c r="J50" i="63"/>
  <c r="J73" i="63" s="1"/>
  <c r="J119" i="63" s="1"/>
  <c r="N4" i="63"/>
  <c r="K4" i="63"/>
  <c r="M50" i="63"/>
  <c r="M73" i="63" s="1"/>
  <c r="M119" i="63" s="1"/>
  <c r="I50" i="63"/>
  <c r="I73" i="63" s="1"/>
  <c r="I119" i="63" s="1"/>
  <c r="C4" i="63"/>
  <c r="F119" i="63"/>
  <c r="E4" i="63"/>
  <c r="E119" i="63"/>
  <c r="P140" i="63"/>
  <c r="P184" i="63" s="1"/>
  <c r="Q184" i="63" s="1"/>
  <c r="F4" i="63"/>
  <c r="H73" i="63"/>
  <c r="H119" i="63" s="1"/>
  <c r="B4" i="63"/>
  <c r="P27" i="63"/>
  <c r="Q27" i="63" s="1"/>
  <c r="G119" i="63"/>
  <c r="I4" i="63"/>
  <c r="O4" i="63"/>
  <c r="D73" i="63"/>
  <c r="D119" i="63" s="1"/>
  <c r="M4" i="63"/>
  <c r="K119" i="63"/>
  <c r="P96" i="63"/>
  <c r="Q96" i="63" s="1"/>
  <c r="L73" i="63"/>
  <c r="L119" i="63" s="1"/>
  <c r="F125" i="63"/>
  <c r="J4" i="63"/>
  <c r="D4" i="63"/>
  <c r="G4" i="63"/>
  <c r="B28" i="63"/>
  <c r="P102" i="63"/>
  <c r="Q102" i="63" s="1"/>
  <c r="C28" i="63"/>
  <c r="O125" i="63"/>
  <c r="B72" i="63"/>
  <c r="B118" i="63" s="1"/>
  <c r="B120" i="63" s="1"/>
  <c r="J125" i="63"/>
  <c r="E125" i="63"/>
  <c r="H4" i="63"/>
  <c r="L4" i="63"/>
  <c r="P14" i="63"/>
  <c r="Q14" i="63" s="1"/>
  <c r="Q17" i="63"/>
  <c r="B85" i="63"/>
  <c r="B131" i="63" s="1"/>
  <c r="B130" i="63" s="1"/>
  <c r="B84" i="63"/>
  <c r="B82" i="63"/>
  <c r="B128" i="63" s="1"/>
  <c r="B81" i="63"/>
  <c r="B127" i="63" s="1"/>
  <c r="P13" i="63"/>
  <c r="Q13" i="63" s="1"/>
  <c r="P33" i="63"/>
  <c r="Q33" i="63" s="1"/>
  <c r="H79" i="63"/>
  <c r="H125" i="63" s="1"/>
  <c r="C74" i="63"/>
  <c r="N73" i="63"/>
  <c r="P7" i="63"/>
  <c r="Q7" i="63" s="1"/>
  <c r="D125" i="63"/>
  <c r="P56" i="63" l="1"/>
  <c r="Q56" i="63" s="1"/>
  <c r="P50" i="63"/>
  <c r="P4" i="63"/>
  <c r="Q4" i="63" s="1"/>
  <c r="P73" i="63"/>
  <c r="Q73" i="63" s="1"/>
  <c r="B74" i="63"/>
  <c r="P79" i="63"/>
  <c r="Q79" i="63" s="1"/>
  <c r="P125" i="63"/>
  <c r="Q125" i="63" s="1"/>
  <c r="N119" i="63"/>
  <c r="Q50" i="63" l="1"/>
  <c r="P119" i="63"/>
  <c r="Q119" i="63" s="1"/>
  <c r="D151" i="46" l="1"/>
  <c r="B28" i="81" l="1"/>
  <c r="P164" i="19"/>
  <c r="Q164" i="19" s="1"/>
  <c r="P173" i="19"/>
  <c r="Q173" i="19" s="1"/>
  <c r="M285" i="59" l="1"/>
  <c r="L285" i="59"/>
  <c r="K285" i="59"/>
  <c r="J285" i="59"/>
  <c r="I285" i="59"/>
  <c r="H285" i="59"/>
  <c r="G285" i="59"/>
  <c r="F285" i="59"/>
  <c r="E285" i="59"/>
  <c r="D285" i="59"/>
  <c r="C285" i="59"/>
  <c r="B285" i="59"/>
  <c r="N285" i="59" s="1"/>
  <c r="M284" i="59"/>
  <c r="L284" i="59"/>
  <c r="K284" i="59"/>
  <c r="J284" i="59"/>
  <c r="I284" i="59"/>
  <c r="H284" i="59"/>
  <c r="G284" i="59"/>
  <c r="F284" i="59"/>
  <c r="E284" i="59"/>
  <c r="D284" i="59"/>
  <c r="C284" i="59"/>
  <c r="B284" i="59"/>
  <c r="M283" i="59"/>
  <c r="L283" i="59"/>
  <c r="K283" i="59"/>
  <c r="J283" i="59"/>
  <c r="I283" i="59"/>
  <c r="H283" i="59"/>
  <c r="G283" i="59"/>
  <c r="F283" i="59"/>
  <c r="E283" i="59"/>
  <c r="D283" i="59"/>
  <c r="C283" i="59"/>
  <c r="B283" i="59"/>
  <c r="N283" i="59" s="1"/>
  <c r="M282" i="59"/>
  <c r="L282" i="59"/>
  <c r="K282" i="59"/>
  <c r="J282" i="59"/>
  <c r="I282" i="59"/>
  <c r="H282" i="59"/>
  <c r="G282" i="59"/>
  <c r="F282" i="59"/>
  <c r="E282" i="59"/>
  <c r="D282" i="59"/>
  <c r="C282" i="59"/>
  <c r="B282" i="59"/>
  <c r="N282" i="59" s="1"/>
  <c r="M281" i="59"/>
  <c r="L281" i="59"/>
  <c r="K281" i="59"/>
  <c r="J281" i="59"/>
  <c r="I281" i="59"/>
  <c r="H281" i="59"/>
  <c r="G281" i="59"/>
  <c r="F281" i="59"/>
  <c r="E281" i="59"/>
  <c r="D281" i="59"/>
  <c r="C281" i="59"/>
  <c r="B281" i="59"/>
  <c r="N281" i="59" s="1"/>
  <c r="M280" i="59"/>
  <c r="L280" i="59"/>
  <c r="K280" i="59"/>
  <c r="J280" i="59"/>
  <c r="I280" i="59"/>
  <c r="H280" i="59"/>
  <c r="G280" i="59"/>
  <c r="F280" i="59"/>
  <c r="E280" i="59"/>
  <c r="D280" i="59"/>
  <c r="C280" i="59"/>
  <c r="B280" i="59"/>
  <c r="N280" i="59" s="1"/>
  <c r="M279" i="59"/>
  <c r="L279" i="59"/>
  <c r="K279" i="59"/>
  <c r="J279" i="59"/>
  <c r="I279" i="59"/>
  <c r="H279" i="59"/>
  <c r="G279" i="59"/>
  <c r="F279" i="59"/>
  <c r="E279" i="59"/>
  <c r="D279" i="59"/>
  <c r="C279" i="59"/>
  <c r="B279" i="59"/>
  <c r="N279" i="59" s="1"/>
  <c r="M278" i="59"/>
  <c r="L278" i="59"/>
  <c r="K278" i="59"/>
  <c r="J278" i="59"/>
  <c r="I278" i="59"/>
  <c r="H278" i="59"/>
  <c r="G278" i="59"/>
  <c r="F278" i="59"/>
  <c r="E278" i="59"/>
  <c r="D278" i="59"/>
  <c r="C278" i="59"/>
  <c r="B278" i="59"/>
  <c r="N278" i="59" s="1"/>
  <c r="M277" i="59"/>
  <c r="L277" i="59"/>
  <c r="K277" i="59"/>
  <c r="J277" i="59"/>
  <c r="I277" i="59"/>
  <c r="H277" i="59"/>
  <c r="G277" i="59"/>
  <c r="F277" i="59"/>
  <c r="E277" i="59"/>
  <c r="D277" i="59"/>
  <c r="C277" i="59"/>
  <c r="B277" i="59"/>
  <c r="N277" i="59" s="1"/>
  <c r="M276" i="59"/>
  <c r="L276" i="59"/>
  <c r="K276" i="59"/>
  <c r="J276" i="59"/>
  <c r="I276" i="59"/>
  <c r="H276" i="59"/>
  <c r="G276" i="59"/>
  <c r="F276" i="59"/>
  <c r="E276" i="59"/>
  <c r="D276" i="59"/>
  <c r="C276" i="59"/>
  <c r="B276" i="59"/>
  <c r="N276" i="59" s="1"/>
  <c r="M275" i="59"/>
  <c r="L275" i="59"/>
  <c r="K275" i="59"/>
  <c r="J275" i="59"/>
  <c r="I275" i="59"/>
  <c r="H275" i="59"/>
  <c r="G275" i="59"/>
  <c r="F275" i="59"/>
  <c r="E275" i="59"/>
  <c r="D275" i="59"/>
  <c r="C275" i="59"/>
  <c r="B275" i="59"/>
  <c r="N275" i="59" s="1"/>
  <c r="M274" i="59"/>
  <c r="L274" i="59"/>
  <c r="K274" i="59"/>
  <c r="J274" i="59"/>
  <c r="I274" i="59"/>
  <c r="H274" i="59"/>
  <c r="G274" i="59"/>
  <c r="F274" i="59"/>
  <c r="E274" i="59"/>
  <c r="D274" i="59"/>
  <c r="C274" i="59"/>
  <c r="B274" i="59"/>
  <c r="N274" i="59" s="1"/>
  <c r="M273" i="59"/>
  <c r="L273" i="59"/>
  <c r="K273" i="59"/>
  <c r="J273" i="59"/>
  <c r="I273" i="59"/>
  <c r="H273" i="59"/>
  <c r="G273" i="59"/>
  <c r="F273" i="59"/>
  <c r="E273" i="59"/>
  <c r="D273" i="59"/>
  <c r="C273" i="59"/>
  <c r="B273" i="59"/>
  <c r="N273" i="59" s="1"/>
  <c r="M272" i="59"/>
  <c r="L272" i="59"/>
  <c r="K272" i="59"/>
  <c r="J272" i="59"/>
  <c r="I272" i="59"/>
  <c r="H272" i="59"/>
  <c r="G272" i="59"/>
  <c r="F272" i="59"/>
  <c r="E272" i="59"/>
  <c r="D272" i="59"/>
  <c r="C272" i="59"/>
  <c r="B272" i="59"/>
  <c r="N272" i="59" s="1"/>
  <c r="M271" i="59"/>
  <c r="L271" i="59"/>
  <c r="K271" i="59"/>
  <c r="J271" i="59"/>
  <c r="I271" i="59"/>
  <c r="H271" i="59"/>
  <c r="G271" i="59"/>
  <c r="F271" i="59"/>
  <c r="E271" i="59"/>
  <c r="D271" i="59"/>
  <c r="C271" i="59"/>
  <c r="B271" i="59"/>
  <c r="N271" i="59" s="1"/>
  <c r="M270" i="59"/>
  <c r="L270" i="59"/>
  <c r="K270" i="59"/>
  <c r="J270" i="59"/>
  <c r="I270" i="59"/>
  <c r="H270" i="59"/>
  <c r="G270" i="59"/>
  <c r="F270" i="59"/>
  <c r="E270" i="59"/>
  <c r="D270" i="59"/>
  <c r="C270" i="59"/>
  <c r="B270" i="59"/>
  <c r="N270" i="59" s="1"/>
  <c r="M265" i="59"/>
  <c r="L265" i="59"/>
  <c r="K265" i="59"/>
  <c r="J265" i="59"/>
  <c r="I265" i="59"/>
  <c r="H265" i="59"/>
  <c r="G265" i="59"/>
  <c r="F265" i="59"/>
  <c r="E265" i="59"/>
  <c r="D265" i="59"/>
  <c r="C265" i="59"/>
  <c r="B265" i="59"/>
  <c r="N265" i="59" s="1"/>
  <c r="M264" i="59"/>
  <c r="L264" i="59"/>
  <c r="K264" i="59"/>
  <c r="J264" i="59"/>
  <c r="I264" i="59"/>
  <c r="H264" i="59"/>
  <c r="G264" i="59"/>
  <c r="F264" i="59"/>
  <c r="E264" i="59"/>
  <c r="D264" i="59"/>
  <c r="C264" i="59"/>
  <c r="B264" i="59"/>
  <c r="M263" i="59"/>
  <c r="L263" i="59"/>
  <c r="L266" i="59" s="1"/>
  <c r="K263" i="59"/>
  <c r="K266" i="59" s="1"/>
  <c r="J263" i="59"/>
  <c r="J266" i="59" s="1"/>
  <c r="I263" i="59"/>
  <c r="H263" i="59"/>
  <c r="H266" i="59" s="1"/>
  <c r="G263" i="59"/>
  <c r="G266" i="59" s="1"/>
  <c r="F263" i="59"/>
  <c r="F266" i="59" s="1"/>
  <c r="E263" i="59"/>
  <c r="D263" i="59"/>
  <c r="D266" i="59" s="1"/>
  <c r="C263" i="59"/>
  <c r="C266" i="59" s="1"/>
  <c r="B263" i="59"/>
  <c r="M262" i="59"/>
  <c r="L262" i="59"/>
  <c r="K262" i="59"/>
  <c r="J262" i="59"/>
  <c r="I262" i="59"/>
  <c r="H262" i="59"/>
  <c r="G262" i="59"/>
  <c r="F262" i="59"/>
  <c r="E262" i="59"/>
  <c r="D262" i="59"/>
  <c r="C262" i="59"/>
  <c r="B262" i="59"/>
  <c r="N262" i="59" s="1"/>
  <c r="N258" i="59"/>
  <c r="N257" i="59"/>
  <c r="N256" i="59"/>
  <c r="N255" i="59"/>
  <c r="N251" i="59"/>
  <c r="N250" i="59"/>
  <c r="N249" i="59"/>
  <c r="N248" i="59"/>
  <c r="N244" i="59"/>
  <c r="N243" i="59"/>
  <c r="N242" i="59"/>
  <c r="N241" i="59"/>
  <c r="N237" i="59"/>
  <c r="N236" i="59"/>
  <c r="N235" i="59"/>
  <c r="N234" i="59"/>
  <c r="N230" i="59"/>
  <c r="N229" i="59"/>
  <c r="N228" i="59"/>
  <c r="N227" i="59"/>
  <c r="N223" i="59"/>
  <c r="N222" i="59"/>
  <c r="N221" i="59"/>
  <c r="N220" i="59"/>
  <c r="N216" i="59"/>
  <c r="N215" i="59"/>
  <c r="N214" i="59"/>
  <c r="N213" i="59"/>
  <c r="N209" i="59"/>
  <c r="N208" i="59"/>
  <c r="N207" i="59"/>
  <c r="N206" i="59"/>
  <c r="N202" i="59"/>
  <c r="N201" i="59"/>
  <c r="N200" i="59"/>
  <c r="N199" i="59"/>
  <c r="N195" i="59"/>
  <c r="N194" i="59"/>
  <c r="N193" i="59"/>
  <c r="N192" i="59"/>
  <c r="N188" i="59"/>
  <c r="N187" i="59"/>
  <c r="N186" i="59"/>
  <c r="N185" i="59"/>
  <c r="N181" i="59"/>
  <c r="N180" i="59"/>
  <c r="N179" i="59"/>
  <c r="N178" i="59"/>
  <c r="N174" i="59"/>
  <c r="N173" i="59"/>
  <c r="N172" i="59"/>
  <c r="N171" i="59"/>
  <c r="N167" i="59"/>
  <c r="N166" i="59"/>
  <c r="N165" i="59"/>
  <c r="N164" i="59"/>
  <c r="N160" i="59"/>
  <c r="N159" i="59"/>
  <c r="N158" i="59"/>
  <c r="N157" i="59"/>
  <c r="N153" i="59"/>
  <c r="N152" i="59"/>
  <c r="N151" i="59"/>
  <c r="N150" i="59"/>
  <c r="M144" i="59"/>
  <c r="L144" i="59"/>
  <c r="K144" i="59"/>
  <c r="J144" i="59"/>
  <c r="I144" i="59"/>
  <c r="H144" i="59"/>
  <c r="G144" i="59"/>
  <c r="F144" i="59"/>
  <c r="E144" i="59"/>
  <c r="D144" i="59"/>
  <c r="C144" i="59"/>
  <c r="B144" i="59"/>
  <c r="M143" i="59"/>
  <c r="L143" i="59"/>
  <c r="K143" i="59"/>
  <c r="J143" i="59"/>
  <c r="I143" i="59"/>
  <c r="H143" i="59"/>
  <c r="G143" i="59"/>
  <c r="F143" i="59"/>
  <c r="E143" i="59"/>
  <c r="D143" i="59"/>
  <c r="C143" i="59"/>
  <c r="B143" i="59"/>
  <c r="N143" i="59" s="1"/>
  <c r="M142" i="59"/>
  <c r="L142" i="59"/>
  <c r="K142" i="59"/>
  <c r="J142" i="59"/>
  <c r="I142" i="59"/>
  <c r="H142" i="59"/>
  <c r="G142" i="59"/>
  <c r="F142" i="59"/>
  <c r="E142" i="59"/>
  <c r="D142" i="59"/>
  <c r="C142" i="59"/>
  <c r="B142" i="59"/>
  <c r="N142" i="59" s="1"/>
  <c r="M141" i="59"/>
  <c r="L141" i="59"/>
  <c r="K141" i="59"/>
  <c r="J141" i="59"/>
  <c r="I141" i="59"/>
  <c r="H141" i="59"/>
  <c r="G141" i="59"/>
  <c r="F141" i="59"/>
  <c r="E141" i="59"/>
  <c r="D141" i="59"/>
  <c r="C141" i="59"/>
  <c r="B141" i="59"/>
  <c r="N141" i="59" s="1"/>
  <c r="M140" i="59"/>
  <c r="M139" i="59" s="1"/>
  <c r="L140" i="59"/>
  <c r="L139" i="59" s="1"/>
  <c r="K140" i="59"/>
  <c r="J140" i="59"/>
  <c r="J139" i="59" s="1"/>
  <c r="I140" i="59"/>
  <c r="I139" i="59" s="1"/>
  <c r="H140" i="59"/>
  <c r="H139" i="59" s="1"/>
  <c r="G140" i="59"/>
  <c r="F140" i="59"/>
  <c r="F139" i="59" s="1"/>
  <c r="E140" i="59"/>
  <c r="E139" i="59" s="1"/>
  <c r="D140" i="59"/>
  <c r="D139" i="59" s="1"/>
  <c r="C140" i="59"/>
  <c r="B140" i="59"/>
  <c r="N140" i="59" s="1"/>
  <c r="N135" i="59"/>
  <c r="N134" i="59"/>
  <c r="N133" i="59"/>
  <c r="N132" i="59"/>
  <c r="N131" i="59"/>
  <c r="N130" i="59" s="1"/>
  <c r="M130" i="59"/>
  <c r="L130" i="59"/>
  <c r="K130" i="59"/>
  <c r="J130" i="59"/>
  <c r="I130" i="59"/>
  <c r="H130" i="59"/>
  <c r="G130" i="59"/>
  <c r="F130" i="59"/>
  <c r="E130" i="59"/>
  <c r="D130" i="59"/>
  <c r="C130" i="59"/>
  <c r="B130" i="59"/>
  <c r="N126" i="59"/>
  <c r="N125" i="59"/>
  <c r="N124" i="59"/>
  <c r="N123" i="59"/>
  <c r="N121" i="59" s="1"/>
  <c r="N122" i="59"/>
  <c r="M121" i="59"/>
  <c r="L121" i="59"/>
  <c r="K121" i="59"/>
  <c r="J121" i="59"/>
  <c r="I121" i="59"/>
  <c r="H121" i="59"/>
  <c r="G121" i="59"/>
  <c r="F121" i="59"/>
  <c r="E121" i="59"/>
  <c r="D121" i="59"/>
  <c r="C121" i="59"/>
  <c r="B121" i="59"/>
  <c r="N117" i="59"/>
  <c r="N116" i="59"/>
  <c r="N115" i="59"/>
  <c r="N114" i="59"/>
  <c r="N113" i="59"/>
  <c r="M112" i="59"/>
  <c r="L112" i="59"/>
  <c r="K112" i="59"/>
  <c r="J112" i="59"/>
  <c r="I112" i="59"/>
  <c r="H112" i="59"/>
  <c r="G112" i="59"/>
  <c r="F112" i="59"/>
  <c r="E112" i="59"/>
  <c r="D112" i="59"/>
  <c r="C112" i="59"/>
  <c r="B112" i="59"/>
  <c r="N108" i="59"/>
  <c r="N107" i="59"/>
  <c r="N106" i="59"/>
  <c r="N105" i="59"/>
  <c r="N104" i="59"/>
  <c r="N103" i="59" s="1"/>
  <c r="M103" i="59"/>
  <c r="L103" i="59"/>
  <c r="K103" i="59"/>
  <c r="J103" i="59"/>
  <c r="I103" i="59"/>
  <c r="H103" i="59"/>
  <c r="G103" i="59"/>
  <c r="F103" i="59"/>
  <c r="E103" i="59"/>
  <c r="D103" i="59"/>
  <c r="C103" i="59"/>
  <c r="B103" i="59"/>
  <c r="N99" i="59"/>
  <c r="N98" i="59"/>
  <c r="N97" i="59"/>
  <c r="N96" i="59"/>
  <c r="N95" i="59"/>
  <c r="M94" i="59"/>
  <c r="L94" i="59"/>
  <c r="K94" i="59"/>
  <c r="J94" i="59"/>
  <c r="I94" i="59"/>
  <c r="H94" i="59"/>
  <c r="G94" i="59"/>
  <c r="F94" i="59"/>
  <c r="E94" i="59"/>
  <c r="D94" i="59"/>
  <c r="C94" i="59"/>
  <c r="B94" i="59"/>
  <c r="N90" i="59"/>
  <c r="N89" i="59"/>
  <c r="N88" i="59"/>
  <c r="N87" i="59"/>
  <c r="N86" i="59"/>
  <c r="M85" i="59"/>
  <c r="L85" i="59"/>
  <c r="K85" i="59"/>
  <c r="J85" i="59"/>
  <c r="I85" i="59"/>
  <c r="H85" i="59"/>
  <c r="G85" i="59"/>
  <c r="F85" i="59"/>
  <c r="E85" i="59"/>
  <c r="D85" i="59"/>
  <c r="C85" i="59"/>
  <c r="B85" i="59"/>
  <c r="N81" i="59"/>
  <c r="N80" i="59"/>
  <c r="N79" i="59"/>
  <c r="N78" i="59"/>
  <c r="N77" i="59"/>
  <c r="N76" i="59" s="1"/>
  <c r="M76" i="59"/>
  <c r="L76" i="59"/>
  <c r="K76" i="59"/>
  <c r="J76" i="59"/>
  <c r="I76" i="59"/>
  <c r="H76" i="59"/>
  <c r="G76" i="59"/>
  <c r="F76" i="59"/>
  <c r="E76" i="59"/>
  <c r="D76" i="59"/>
  <c r="C76" i="59"/>
  <c r="B76" i="59"/>
  <c r="N72" i="59"/>
  <c r="N71" i="59"/>
  <c r="N70" i="59"/>
  <c r="N69" i="59"/>
  <c r="N68" i="59"/>
  <c r="M67" i="59"/>
  <c r="L67" i="59"/>
  <c r="K67" i="59"/>
  <c r="J67" i="59"/>
  <c r="I67" i="59"/>
  <c r="H67" i="59"/>
  <c r="G67" i="59"/>
  <c r="F67" i="59"/>
  <c r="E67" i="59"/>
  <c r="D67" i="59"/>
  <c r="C67" i="59"/>
  <c r="B67" i="59"/>
  <c r="N63" i="59"/>
  <c r="N62" i="59"/>
  <c r="N61" i="59"/>
  <c r="N60" i="59"/>
  <c r="N59" i="59"/>
  <c r="M58" i="59"/>
  <c r="L58" i="59"/>
  <c r="K58" i="59"/>
  <c r="J58" i="59"/>
  <c r="I58" i="59"/>
  <c r="H58" i="59"/>
  <c r="G58" i="59"/>
  <c r="F58" i="59"/>
  <c r="E58" i="59"/>
  <c r="D58" i="59"/>
  <c r="C58" i="59"/>
  <c r="B58" i="59"/>
  <c r="N54" i="59"/>
  <c r="N53" i="59"/>
  <c r="N49" i="59" s="1"/>
  <c r="N52" i="59"/>
  <c r="N51" i="59"/>
  <c r="N50" i="59"/>
  <c r="M49" i="59"/>
  <c r="L49" i="59"/>
  <c r="K49" i="59"/>
  <c r="J49" i="59"/>
  <c r="I49" i="59"/>
  <c r="H49" i="59"/>
  <c r="G49" i="59"/>
  <c r="F49" i="59"/>
  <c r="E49" i="59"/>
  <c r="D49" i="59"/>
  <c r="C49" i="59"/>
  <c r="B49" i="59"/>
  <c r="N45" i="59"/>
  <c r="N44" i="59"/>
  <c r="N43" i="59"/>
  <c r="N42" i="59"/>
  <c r="N41" i="59"/>
  <c r="N40" i="59" s="1"/>
  <c r="M40" i="59"/>
  <c r="L40" i="59"/>
  <c r="K40" i="59"/>
  <c r="J40" i="59"/>
  <c r="I40" i="59"/>
  <c r="H40" i="59"/>
  <c r="G40" i="59"/>
  <c r="F40" i="59"/>
  <c r="E40" i="59"/>
  <c r="D40" i="59"/>
  <c r="C40" i="59"/>
  <c r="B40" i="59"/>
  <c r="N36" i="59"/>
  <c r="N35" i="59"/>
  <c r="N34" i="59"/>
  <c r="N33" i="59"/>
  <c r="N31" i="59" s="1"/>
  <c r="N32" i="59"/>
  <c r="M31" i="59"/>
  <c r="L31" i="59"/>
  <c r="K31" i="59"/>
  <c r="J31" i="59"/>
  <c r="I31" i="59"/>
  <c r="H31" i="59"/>
  <c r="G31" i="59"/>
  <c r="F31" i="59"/>
  <c r="E31" i="59"/>
  <c r="D31" i="59"/>
  <c r="C31" i="59"/>
  <c r="B31" i="59"/>
  <c r="N27" i="59"/>
  <c r="N26" i="59"/>
  <c r="N25" i="59"/>
  <c r="N24" i="59"/>
  <c r="N23" i="59"/>
  <c r="M22" i="59"/>
  <c r="L22" i="59"/>
  <c r="K22" i="59"/>
  <c r="J22" i="59"/>
  <c r="I22" i="59"/>
  <c r="H22" i="59"/>
  <c r="G22" i="59"/>
  <c r="F22" i="59"/>
  <c r="E22" i="59"/>
  <c r="D22" i="59"/>
  <c r="C22" i="59"/>
  <c r="B22" i="59"/>
  <c r="N18" i="59"/>
  <c r="N17" i="59"/>
  <c r="N16" i="59"/>
  <c r="N15" i="59"/>
  <c r="N14" i="59"/>
  <c r="M13" i="59"/>
  <c r="L13" i="59"/>
  <c r="K13" i="59"/>
  <c r="J13" i="59"/>
  <c r="I13" i="59"/>
  <c r="H13" i="59"/>
  <c r="G13" i="59"/>
  <c r="F13" i="59"/>
  <c r="E13" i="59"/>
  <c r="D13" i="59"/>
  <c r="C13" i="59"/>
  <c r="B13" i="59"/>
  <c r="N9" i="59"/>
  <c r="N8" i="59"/>
  <c r="N7" i="59"/>
  <c r="N6" i="59"/>
  <c r="N5" i="59"/>
  <c r="M4" i="59"/>
  <c r="L4" i="59"/>
  <c r="K4" i="59"/>
  <c r="J4" i="59"/>
  <c r="I4" i="59"/>
  <c r="H4" i="59"/>
  <c r="G4" i="59"/>
  <c r="F4" i="59"/>
  <c r="E4" i="59"/>
  <c r="D4" i="59"/>
  <c r="C4" i="59"/>
  <c r="B4" i="59"/>
  <c r="M226" i="58"/>
  <c r="L226" i="58"/>
  <c r="K226" i="58"/>
  <c r="J226" i="58"/>
  <c r="I226" i="58"/>
  <c r="H226" i="58"/>
  <c r="G226" i="58"/>
  <c r="F226" i="58"/>
  <c r="E226" i="58"/>
  <c r="D226" i="58"/>
  <c r="B226" i="58"/>
  <c r="B227" i="58" s="1"/>
  <c r="N225" i="58"/>
  <c r="N224" i="58"/>
  <c r="N223" i="58"/>
  <c r="N222" i="58"/>
  <c r="N221" i="58"/>
  <c r="N220" i="58"/>
  <c r="N219" i="58"/>
  <c r="N218" i="58"/>
  <c r="N217" i="58"/>
  <c r="N216" i="58"/>
  <c r="N215" i="58"/>
  <c r="N214" i="58"/>
  <c r="N213" i="58"/>
  <c r="N212" i="58"/>
  <c r="N211" i="58"/>
  <c r="N210" i="58"/>
  <c r="M140" i="58"/>
  <c r="L140" i="58"/>
  <c r="K140" i="58"/>
  <c r="J140" i="58"/>
  <c r="I140" i="58"/>
  <c r="H140" i="58"/>
  <c r="G140" i="58"/>
  <c r="F140" i="58"/>
  <c r="E140" i="58"/>
  <c r="D140" i="58"/>
  <c r="C140" i="58"/>
  <c r="B140" i="58"/>
  <c r="M139" i="58"/>
  <c r="L139" i="58"/>
  <c r="K139" i="58"/>
  <c r="J139" i="58"/>
  <c r="I139" i="58"/>
  <c r="H139" i="58"/>
  <c r="G139" i="58"/>
  <c r="F139" i="58"/>
  <c r="E139" i="58"/>
  <c r="D139" i="58"/>
  <c r="C139" i="58"/>
  <c r="B139" i="58"/>
  <c r="M138" i="58"/>
  <c r="L138" i="58"/>
  <c r="K138" i="58"/>
  <c r="J138" i="58"/>
  <c r="I138" i="58"/>
  <c r="H138" i="58"/>
  <c r="G138" i="58"/>
  <c r="F138" i="58"/>
  <c r="E138" i="58"/>
  <c r="D138" i="58"/>
  <c r="C138" i="58"/>
  <c r="B138" i="58"/>
  <c r="M137" i="58"/>
  <c r="L137" i="58"/>
  <c r="K137" i="58"/>
  <c r="J137" i="58"/>
  <c r="I137" i="58"/>
  <c r="H137" i="58"/>
  <c r="G137" i="58"/>
  <c r="F137" i="58"/>
  <c r="E137" i="58"/>
  <c r="D137" i="58"/>
  <c r="C137" i="58"/>
  <c r="B137" i="58"/>
  <c r="M136" i="58"/>
  <c r="L136" i="58"/>
  <c r="K136" i="58"/>
  <c r="J136" i="58"/>
  <c r="I136" i="58"/>
  <c r="H136" i="58"/>
  <c r="G136" i="58"/>
  <c r="F136" i="58"/>
  <c r="E136" i="58"/>
  <c r="D136" i="58"/>
  <c r="C136" i="58"/>
  <c r="B136" i="58"/>
  <c r="M135" i="58"/>
  <c r="L135" i="58"/>
  <c r="K135" i="58"/>
  <c r="J135" i="58"/>
  <c r="I135" i="58"/>
  <c r="H135" i="58"/>
  <c r="G135" i="58"/>
  <c r="F135" i="58"/>
  <c r="E135" i="58"/>
  <c r="D135" i="58"/>
  <c r="C135" i="58"/>
  <c r="B135" i="58"/>
  <c r="M134" i="58"/>
  <c r="L134" i="58"/>
  <c r="K134" i="58"/>
  <c r="J134" i="58"/>
  <c r="I134" i="58"/>
  <c r="H134" i="58"/>
  <c r="G134" i="58"/>
  <c r="F134" i="58"/>
  <c r="E134" i="58"/>
  <c r="D134" i="58"/>
  <c r="C134" i="58"/>
  <c r="B134" i="58"/>
  <c r="M133" i="58"/>
  <c r="L133" i="58"/>
  <c r="K133" i="58"/>
  <c r="J133" i="58"/>
  <c r="I133" i="58"/>
  <c r="H133" i="58"/>
  <c r="G133" i="58"/>
  <c r="F133" i="58"/>
  <c r="E133" i="58"/>
  <c r="D133" i="58"/>
  <c r="C133" i="58"/>
  <c r="B133" i="58"/>
  <c r="M132" i="58"/>
  <c r="L132" i="58"/>
  <c r="K132" i="58"/>
  <c r="J132" i="58"/>
  <c r="I132" i="58"/>
  <c r="H132" i="58"/>
  <c r="G132" i="58"/>
  <c r="F132" i="58"/>
  <c r="E132" i="58"/>
  <c r="D132" i="58"/>
  <c r="C132" i="58"/>
  <c r="B132" i="58"/>
  <c r="M131" i="58"/>
  <c r="L131" i="58"/>
  <c r="K131" i="58"/>
  <c r="J131" i="58"/>
  <c r="I131" i="58"/>
  <c r="H131" i="58"/>
  <c r="G131" i="58"/>
  <c r="F131" i="58"/>
  <c r="E131" i="58"/>
  <c r="D131" i="58"/>
  <c r="C131" i="58"/>
  <c r="B131" i="58"/>
  <c r="M130" i="58"/>
  <c r="L130" i="58"/>
  <c r="K130" i="58"/>
  <c r="J130" i="58"/>
  <c r="I130" i="58"/>
  <c r="H130" i="58"/>
  <c r="G130" i="58"/>
  <c r="F130" i="58"/>
  <c r="E130" i="58"/>
  <c r="D130" i="58"/>
  <c r="C130" i="58"/>
  <c r="B130" i="58"/>
  <c r="M129" i="58"/>
  <c r="M161" i="58" s="1"/>
  <c r="L129" i="58"/>
  <c r="L161" i="58" s="1"/>
  <c r="K129" i="58"/>
  <c r="K161" i="58" s="1"/>
  <c r="J129" i="58"/>
  <c r="J161" i="58" s="1"/>
  <c r="I129" i="58"/>
  <c r="I161" i="58" s="1"/>
  <c r="H129" i="58"/>
  <c r="H161" i="58" s="1"/>
  <c r="G129" i="58"/>
  <c r="G161" i="58" s="1"/>
  <c r="F129" i="58"/>
  <c r="E129" i="58"/>
  <c r="E161" i="58" s="1"/>
  <c r="D129" i="58"/>
  <c r="D161" i="58" s="1"/>
  <c r="C129" i="58"/>
  <c r="C161" i="58" s="1"/>
  <c r="B129" i="58"/>
  <c r="M128" i="58"/>
  <c r="L128" i="58"/>
  <c r="K128" i="58"/>
  <c r="J128" i="58"/>
  <c r="I128" i="58"/>
  <c r="H128" i="58"/>
  <c r="G128" i="58"/>
  <c r="F128" i="58"/>
  <c r="E128" i="58"/>
  <c r="D128" i="58"/>
  <c r="C128" i="58"/>
  <c r="B128" i="58"/>
  <c r="M127" i="58"/>
  <c r="L127" i="58"/>
  <c r="K127" i="58"/>
  <c r="J127" i="58"/>
  <c r="I127" i="58"/>
  <c r="H127" i="58"/>
  <c r="G127" i="58"/>
  <c r="F127" i="58"/>
  <c r="E127" i="58"/>
  <c r="D127" i="58"/>
  <c r="C127" i="58"/>
  <c r="B127" i="58"/>
  <c r="M126" i="58"/>
  <c r="L126" i="58"/>
  <c r="K126" i="58"/>
  <c r="J126" i="58"/>
  <c r="I126" i="58"/>
  <c r="H126" i="58"/>
  <c r="G126" i="58"/>
  <c r="F126" i="58"/>
  <c r="E126" i="58"/>
  <c r="D126" i="58"/>
  <c r="C126" i="58"/>
  <c r="B126" i="58"/>
  <c r="M125" i="58"/>
  <c r="L125" i="58"/>
  <c r="L141" i="58" s="1"/>
  <c r="K125" i="58"/>
  <c r="J125" i="58"/>
  <c r="I125" i="58"/>
  <c r="I141" i="58" s="1"/>
  <c r="H125" i="58"/>
  <c r="H141" i="58" s="1"/>
  <c r="G125" i="58"/>
  <c r="F125" i="58"/>
  <c r="E125" i="58"/>
  <c r="D125" i="58"/>
  <c r="D141" i="58" s="1"/>
  <c r="B125" i="58"/>
  <c r="B119" i="58"/>
  <c r="C118" i="58"/>
  <c r="B118" i="58"/>
  <c r="N118" i="58" s="1"/>
  <c r="M120" i="58"/>
  <c r="L120" i="58"/>
  <c r="I120" i="58"/>
  <c r="H120" i="58"/>
  <c r="M116" i="58"/>
  <c r="L116" i="58"/>
  <c r="K116" i="58"/>
  <c r="J116" i="58"/>
  <c r="I116" i="58"/>
  <c r="H116" i="58"/>
  <c r="G116" i="58"/>
  <c r="F116" i="58"/>
  <c r="E116" i="58"/>
  <c r="B116" i="58"/>
  <c r="N112" i="58"/>
  <c r="N111" i="58"/>
  <c r="N110" i="58"/>
  <c r="N109" i="58"/>
  <c r="N105" i="58"/>
  <c r="N104" i="58"/>
  <c r="N103" i="58"/>
  <c r="N102" i="58"/>
  <c r="N98" i="58"/>
  <c r="N97" i="58"/>
  <c r="N96" i="58"/>
  <c r="N95" i="58"/>
  <c r="N91" i="58"/>
  <c r="N90" i="58"/>
  <c r="N89" i="58"/>
  <c r="N88" i="58"/>
  <c r="N84" i="58"/>
  <c r="N83" i="58"/>
  <c r="N82" i="58"/>
  <c r="N81" i="58"/>
  <c r="N77" i="58"/>
  <c r="N76" i="58"/>
  <c r="N75" i="58"/>
  <c r="N74" i="58"/>
  <c r="N70" i="58"/>
  <c r="N69" i="58"/>
  <c r="N68" i="58"/>
  <c r="N67" i="58"/>
  <c r="N63" i="58"/>
  <c r="N62" i="58"/>
  <c r="N61" i="58"/>
  <c r="N60" i="58"/>
  <c r="N56" i="58"/>
  <c r="N55" i="58"/>
  <c r="N54" i="58"/>
  <c r="N53" i="58"/>
  <c r="N49" i="58"/>
  <c r="N48" i="58"/>
  <c r="N47" i="58"/>
  <c r="N46" i="58"/>
  <c r="N42" i="58"/>
  <c r="N41" i="58"/>
  <c r="N40" i="58"/>
  <c r="N39" i="58"/>
  <c r="N35" i="58"/>
  <c r="N34" i="58"/>
  <c r="N33" i="58"/>
  <c r="N32" i="58"/>
  <c r="N28" i="58"/>
  <c r="N27" i="58"/>
  <c r="N26" i="58"/>
  <c r="N25" i="58"/>
  <c r="N21" i="58"/>
  <c r="N20" i="58"/>
  <c r="N19" i="58"/>
  <c r="N18" i="58"/>
  <c r="N14" i="58"/>
  <c r="N13" i="58"/>
  <c r="N12" i="58"/>
  <c r="N11" i="58"/>
  <c r="N7" i="58"/>
  <c r="N6" i="58"/>
  <c r="N5" i="58"/>
  <c r="N4" i="58"/>
  <c r="N144" i="59" l="1"/>
  <c r="N139" i="59" s="1"/>
  <c r="N263" i="59"/>
  <c r="N264" i="59"/>
  <c r="N284" i="59"/>
  <c r="N22" i="59"/>
  <c r="N112" i="59"/>
  <c r="B139" i="59"/>
  <c r="C139" i="59"/>
  <c r="G139" i="59"/>
  <c r="K139" i="59"/>
  <c r="N58" i="59"/>
  <c r="N67" i="59"/>
  <c r="N94" i="59"/>
  <c r="N85" i="59"/>
  <c r="N4" i="59"/>
  <c r="N13" i="59"/>
  <c r="E266" i="59"/>
  <c r="I266" i="59"/>
  <c r="M266" i="59"/>
  <c r="C120" i="58"/>
  <c r="C227" i="58"/>
  <c r="D227" i="58" s="1"/>
  <c r="E227" i="58" s="1"/>
  <c r="N116" i="58"/>
  <c r="N119" i="58"/>
  <c r="J120" i="58"/>
  <c r="K120" i="58"/>
  <c r="N128" i="58"/>
  <c r="N132" i="58"/>
  <c r="N136" i="58"/>
  <c r="N137" i="58"/>
  <c r="N125" i="58"/>
  <c r="N133" i="58"/>
  <c r="B141" i="58"/>
  <c r="J141" i="58"/>
  <c r="C141" i="58"/>
  <c r="G141" i="58"/>
  <c r="K141" i="58"/>
  <c r="N126" i="58"/>
  <c r="N127" i="58"/>
  <c r="N134" i="58"/>
  <c r="N135" i="58"/>
  <c r="E141" i="58"/>
  <c r="M141" i="58"/>
  <c r="N226" i="58"/>
  <c r="F227" i="58"/>
  <c r="G227" i="58" s="1"/>
  <c r="H227" i="58" s="1"/>
  <c r="I227" i="58" s="1"/>
  <c r="J227" i="58" s="1"/>
  <c r="K227" i="58" s="1"/>
  <c r="L227" i="58" s="1"/>
  <c r="M227" i="58" s="1"/>
  <c r="N129" i="58"/>
  <c r="F141" i="58"/>
  <c r="N130" i="58"/>
  <c r="N131" i="58"/>
  <c r="N138" i="58"/>
  <c r="N139" i="58"/>
  <c r="N140" i="58"/>
  <c r="N266" i="59" l="1"/>
  <c r="N227" i="58"/>
  <c r="N120" i="58"/>
  <c r="N141" i="58"/>
  <c r="Q221" i="46" l="1"/>
  <c r="E42" i="19" l="1"/>
  <c r="D42" i="19"/>
  <c r="Q331" i="34"/>
  <c r="Q330" i="34"/>
  <c r="Q283" i="34"/>
  <c r="Q282" i="34"/>
  <c r="Q259" i="34"/>
  <c r="Q258" i="34"/>
  <c r="Q235" i="34"/>
  <c r="Q234" i="34"/>
  <c r="Q211" i="34"/>
  <c r="Q210" i="34"/>
  <c r="Q187" i="34"/>
  <c r="Q186" i="34"/>
  <c r="E42" i="11"/>
  <c r="E65" i="11" s="1"/>
  <c r="D42" i="11"/>
  <c r="Q163" i="34"/>
  <c r="Q162" i="34"/>
  <c r="E42" i="10"/>
  <c r="E65" i="10" s="1"/>
  <c r="D42" i="10"/>
  <c r="D65" i="10" s="1"/>
  <c r="Q139" i="34"/>
  <c r="Q138" i="34"/>
  <c r="Q115" i="34"/>
  <c r="Q114" i="34"/>
  <c r="Q91" i="34"/>
  <c r="Q90" i="34"/>
  <c r="Q67" i="34"/>
  <c r="Q66" i="34"/>
  <c r="Q43" i="34"/>
  <c r="Q42" i="34"/>
  <c r="O42" i="63"/>
  <c r="N42" i="63"/>
  <c r="M42" i="63"/>
  <c r="M65" i="63" s="1"/>
  <c r="L42" i="63"/>
  <c r="L65" i="63" s="1"/>
  <c r="K42" i="63"/>
  <c r="K65" i="63" s="1"/>
  <c r="J42" i="63"/>
  <c r="I42" i="63"/>
  <c r="I65" i="63" s="1"/>
  <c r="H42" i="63"/>
  <c r="G42" i="63"/>
  <c r="F42" i="63"/>
  <c r="F65" i="63" s="1"/>
  <c r="E42" i="63"/>
  <c r="O40" i="63"/>
  <c r="O63" i="63" s="1"/>
  <c r="N40" i="63"/>
  <c r="M40" i="63"/>
  <c r="L40" i="63"/>
  <c r="L63" i="63" s="1"/>
  <c r="K40" i="63"/>
  <c r="J40" i="63"/>
  <c r="I40" i="63"/>
  <c r="I63" i="63" s="1"/>
  <c r="H40" i="63"/>
  <c r="H63" i="63" s="1"/>
  <c r="G40" i="63"/>
  <c r="F40" i="63"/>
  <c r="F63" i="63" s="1"/>
  <c r="E40" i="63"/>
  <c r="C40" i="63"/>
  <c r="C86" i="63" s="1"/>
  <c r="O39" i="63"/>
  <c r="O62" i="63" s="1"/>
  <c r="N39" i="63"/>
  <c r="N62" i="63" s="1"/>
  <c r="M39" i="63"/>
  <c r="M62" i="63" s="1"/>
  <c r="L39" i="63"/>
  <c r="L62" i="63" s="1"/>
  <c r="K39" i="63"/>
  <c r="K62" i="63" s="1"/>
  <c r="J39" i="63"/>
  <c r="J62" i="63" s="1"/>
  <c r="I39" i="63"/>
  <c r="I62" i="63" s="1"/>
  <c r="I61" i="63" s="1"/>
  <c r="H39" i="63"/>
  <c r="H62" i="63" s="1"/>
  <c r="G39" i="63"/>
  <c r="G62" i="63" s="1"/>
  <c r="F39" i="63"/>
  <c r="F62" i="63" s="1"/>
  <c r="C39" i="63"/>
  <c r="E105" i="19"/>
  <c r="D105" i="19"/>
  <c r="E106" i="11"/>
  <c r="D106" i="11"/>
  <c r="E105" i="11"/>
  <c r="E128" i="11" s="1"/>
  <c r="D105" i="11"/>
  <c r="D128" i="11" s="1"/>
  <c r="E106" i="10"/>
  <c r="D106" i="10"/>
  <c r="E105" i="10"/>
  <c r="E128" i="10" s="1"/>
  <c r="D105" i="10"/>
  <c r="D128" i="10" s="1"/>
  <c r="Q30" i="33"/>
  <c r="Q23" i="33"/>
  <c r="O111" i="63"/>
  <c r="N111" i="63"/>
  <c r="M111" i="63"/>
  <c r="L111" i="63"/>
  <c r="K111" i="63"/>
  <c r="J111" i="63"/>
  <c r="I111" i="63"/>
  <c r="H111" i="63"/>
  <c r="G111" i="63"/>
  <c r="F111" i="63"/>
  <c r="E111" i="63"/>
  <c r="D111" i="63"/>
  <c r="C111" i="63"/>
  <c r="C134" i="63" s="1"/>
  <c r="O109" i="63"/>
  <c r="N109" i="63"/>
  <c r="M109" i="63"/>
  <c r="L109" i="63"/>
  <c r="K109" i="63"/>
  <c r="J109" i="63"/>
  <c r="I109" i="63"/>
  <c r="H109" i="63"/>
  <c r="G109" i="63"/>
  <c r="F109" i="63"/>
  <c r="E109" i="63"/>
  <c r="D109" i="63"/>
  <c r="C109" i="63"/>
  <c r="O108" i="63"/>
  <c r="N108" i="63"/>
  <c r="M108" i="63"/>
  <c r="L108" i="63"/>
  <c r="K108" i="63"/>
  <c r="J108" i="63"/>
  <c r="I108" i="63"/>
  <c r="H108" i="63"/>
  <c r="G108" i="63"/>
  <c r="F108" i="63"/>
  <c r="E108" i="63"/>
  <c r="D108" i="63"/>
  <c r="C108" i="63"/>
  <c r="O106" i="63"/>
  <c r="N106" i="63"/>
  <c r="M106" i="63"/>
  <c r="L106" i="63"/>
  <c r="K106" i="63"/>
  <c r="J106" i="63"/>
  <c r="I106" i="63"/>
  <c r="H106" i="63"/>
  <c r="G106" i="63"/>
  <c r="F106" i="63"/>
  <c r="E106" i="63"/>
  <c r="O105" i="63"/>
  <c r="N105" i="63"/>
  <c r="M105" i="63"/>
  <c r="L105" i="63"/>
  <c r="K105" i="63"/>
  <c r="J105" i="63"/>
  <c r="I105" i="63"/>
  <c r="H105" i="63"/>
  <c r="G105" i="63"/>
  <c r="F105" i="63"/>
  <c r="E105" i="63"/>
  <c r="L61" i="63" l="1"/>
  <c r="O61" i="63"/>
  <c r="F61" i="63"/>
  <c r="H61" i="63"/>
  <c r="E65" i="63"/>
  <c r="E88" i="63" s="1"/>
  <c r="E134" i="63" s="1"/>
  <c r="E63" i="63"/>
  <c r="E86" i="63" s="1"/>
  <c r="E132" i="63" s="1"/>
  <c r="M63" i="63"/>
  <c r="M86" i="63" s="1"/>
  <c r="M132" i="63" s="1"/>
  <c r="J65" i="63"/>
  <c r="J88" i="63" s="1"/>
  <c r="J134" i="63" s="1"/>
  <c r="N65" i="63"/>
  <c r="N88" i="63" s="1"/>
  <c r="N134" i="63" s="1"/>
  <c r="D65" i="11"/>
  <c r="D88" i="11" s="1"/>
  <c r="D134" i="11" s="1"/>
  <c r="D65" i="19"/>
  <c r="J63" i="63"/>
  <c r="J86" i="63" s="1"/>
  <c r="J132" i="63" s="1"/>
  <c r="N63" i="63"/>
  <c r="N61" i="63" s="1"/>
  <c r="G65" i="63"/>
  <c r="G88" i="63" s="1"/>
  <c r="G134" i="63" s="1"/>
  <c r="O65" i="63"/>
  <c r="O88" i="63" s="1"/>
  <c r="O134" i="63" s="1"/>
  <c r="G63" i="63"/>
  <c r="G61" i="63" s="1"/>
  <c r="K63" i="63"/>
  <c r="K61" i="63" s="1"/>
  <c r="H65" i="63"/>
  <c r="H88" i="63" s="1"/>
  <c r="H134" i="63" s="1"/>
  <c r="D128" i="19"/>
  <c r="E128" i="19"/>
  <c r="E104" i="10"/>
  <c r="E129" i="10"/>
  <c r="E104" i="11"/>
  <c r="E129" i="11"/>
  <c r="D104" i="19"/>
  <c r="D129" i="19"/>
  <c r="E104" i="19"/>
  <c r="E129" i="19"/>
  <c r="D104" i="10"/>
  <c r="D129" i="10"/>
  <c r="D104" i="11"/>
  <c r="D127" i="11" s="1"/>
  <c r="D129" i="11"/>
  <c r="E65" i="19"/>
  <c r="E44" i="19"/>
  <c r="E177" i="19" s="1"/>
  <c r="E67" i="10"/>
  <c r="E178" i="10" s="1"/>
  <c r="E44" i="10"/>
  <c r="E177" i="10" s="1"/>
  <c r="E44" i="11"/>
  <c r="E177" i="11" s="1"/>
  <c r="P45" i="34"/>
  <c r="Q45" i="34" s="1"/>
  <c r="P93" i="34"/>
  <c r="Q93" i="34" s="1"/>
  <c r="P117" i="34"/>
  <c r="Q117" i="34" s="1"/>
  <c r="P165" i="34"/>
  <c r="Q165" i="34" s="1"/>
  <c r="P213" i="34"/>
  <c r="Q213" i="34" s="1"/>
  <c r="P261" i="34"/>
  <c r="P285" i="34"/>
  <c r="Q285" i="34" s="1"/>
  <c r="P309" i="34"/>
  <c r="Q309" i="34" s="1"/>
  <c r="F88" i="63"/>
  <c r="F134" i="63" s="1"/>
  <c r="K88" i="63"/>
  <c r="K134" i="63" s="1"/>
  <c r="D42" i="63"/>
  <c r="D65" i="63" s="1"/>
  <c r="P21" i="34"/>
  <c r="Q21" i="34" s="1"/>
  <c r="L88" i="63"/>
  <c r="L134" i="63" s="1"/>
  <c r="P69" i="34"/>
  <c r="Q69" i="34" s="1"/>
  <c r="P141" i="34"/>
  <c r="Q141" i="34" s="1"/>
  <c r="P189" i="34"/>
  <c r="Q189" i="34" s="1"/>
  <c r="P237" i="34"/>
  <c r="Q237" i="34" s="1"/>
  <c r="P333" i="34"/>
  <c r="Q333" i="34" s="1"/>
  <c r="I88" i="63"/>
  <c r="I134" i="63" s="1"/>
  <c r="M88" i="63"/>
  <c r="M134" i="63" s="1"/>
  <c r="Q306" i="34"/>
  <c r="Q307" i="34"/>
  <c r="C132" i="63"/>
  <c r="D40" i="63"/>
  <c r="D63" i="63" s="1"/>
  <c r="D61" i="63" s="1"/>
  <c r="Q19" i="34"/>
  <c r="H86" i="63"/>
  <c r="H132" i="63" s="1"/>
  <c r="F86" i="63"/>
  <c r="F132" i="63" s="1"/>
  <c r="L86" i="63"/>
  <c r="L132" i="63" s="1"/>
  <c r="I86" i="63"/>
  <c r="I132" i="63" s="1"/>
  <c r="J38" i="63"/>
  <c r="G38" i="63"/>
  <c r="O38" i="63"/>
  <c r="E39" i="63"/>
  <c r="E62" i="63" s="1"/>
  <c r="Q18" i="34"/>
  <c r="I38" i="63"/>
  <c r="M38" i="63"/>
  <c r="F38" i="63"/>
  <c r="N38" i="63"/>
  <c r="K38" i="63"/>
  <c r="C38" i="63"/>
  <c r="C85" i="63"/>
  <c r="C131" i="63" s="1"/>
  <c r="C130" i="63" s="1"/>
  <c r="H38" i="63"/>
  <c r="L38" i="63"/>
  <c r="I104" i="63"/>
  <c r="J104" i="63"/>
  <c r="L104" i="63"/>
  <c r="E104" i="63"/>
  <c r="P106" i="63"/>
  <c r="Q106" i="63" s="1"/>
  <c r="P105" i="63"/>
  <c r="M104" i="63"/>
  <c r="F104" i="63"/>
  <c r="N104" i="63"/>
  <c r="G104" i="63"/>
  <c r="K104" i="63"/>
  <c r="O104" i="63"/>
  <c r="H104" i="63"/>
  <c r="E107" i="63"/>
  <c r="M107" i="63"/>
  <c r="H107" i="63"/>
  <c r="F107" i="63"/>
  <c r="J107" i="63"/>
  <c r="N107" i="63"/>
  <c r="P111" i="63"/>
  <c r="Q111" i="63" s="1"/>
  <c r="D107" i="63"/>
  <c r="P108" i="63"/>
  <c r="D131" i="63"/>
  <c r="I107" i="63"/>
  <c r="P109" i="63"/>
  <c r="Q109" i="63" s="1"/>
  <c r="L107" i="63"/>
  <c r="C107" i="63"/>
  <c r="G107" i="63"/>
  <c r="K107" i="63"/>
  <c r="O107" i="63"/>
  <c r="J37" i="63"/>
  <c r="J60" i="63" s="1"/>
  <c r="P21" i="33"/>
  <c r="Q21" i="33" s="1"/>
  <c r="P43" i="33"/>
  <c r="Q43" i="33" s="1"/>
  <c r="P69" i="33"/>
  <c r="Q69" i="33" s="1"/>
  <c r="P77" i="33"/>
  <c r="Q77" i="33" s="1"/>
  <c r="P78" i="33"/>
  <c r="Q78" i="33" s="1"/>
  <c r="P81" i="33"/>
  <c r="Q81" i="33" s="1"/>
  <c r="P83" i="33"/>
  <c r="Q83" i="33" s="1"/>
  <c r="P87" i="33"/>
  <c r="Q87" i="33" s="1"/>
  <c r="P88" i="33"/>
  <c r="Q88" i="33" s="1"/>
  <c r="P115" i="33"/>
  <c r="Q115" i="33" s="1"/>
  <c r="P141" i="33"/>
  <c r="Q141" i="33" s="1"/>
  <c r="P149" i="33"/>
  <c r="Q149" i="33" s="1"/>
  <c r="P153" i="33"/>
  <c r="Q153" i="33" s="1"/>
  <c r="P155" i="33"/>
  <c r="Q155" i="33" s="1"/>
  <c r="P159" i="33"/>
  <c r="Q159" i="33" s="1"/>
  <c r="P160" i="33"/>
  <c r="Q160" i="33" s="1"/>
  <c r="P177" i="33"/>
  <c r="Q177" i="33" s="1"/>
  <c r="Q179" i="33"/>
  <c r="P183" i="33"/>
  <c r="Q183" i="33" s="1"/>
  <c r="P184" i="33"/>
  <c r="Q184" i="33" s="1"/>
  <c r="P210" i="33"/>
  <c r="Q210" i="33" s="1"/>
  <c r="P235" i="33"/>
  <c r="Q235" i="33" s="1"/>
  <c r="P259" i="33"/>
  <c r="Q259" i="33" s="1"/>
  <c r="P283" i="33"/>
  <c r="Q283" i="33" s="1"/>
  <c r="P309" i="33"/>
  <c r="P317" i="33"/>
  <c r="Q317" i="33" s="1"/>
  <c r="P321" i="33"/>
  <c r="Q321" i="33" s="1"/>
  <c r="P323" i="33"/>
  <c r="Q323" i="33" s="1"/>
  <c r="P327" i="33"/>
  <c r="Q327" i="33" s="1"/>
  <c r="P328" i="33"/>
  <c r="Q328" i="33" s="1"/>
  <c r="Q29" i="33"/>
  <c r="P45" i="33"/>
  <c r="Q45" i="33" s="1"/>
  <c r="P57" i="33"/>
  <c r="Q57" i="33" s="1"/>
  <c r="P59" i="33"/>
  <c r="Q59" i="33" s="1"/>
  <c r="P64" i="33"/>
  <c r="Q64" i="33" s="1"/>
  <c r="P125" i="33"/>
  <c r="Q125" i="33" s="1"/>
  <c r="P126" i="33"/>
  <c r="Q126" i="33" s="1"/>
  <c r="P131" i="33"/>
  <c r="Q131" i="33" s="1"/>
  <c r="P135" i="33"/>
  <c r="Q135" i="33" s="1"/>
  <c r="P237" i="33"/>
  <c r="Q237" i="33" s="1"/>
  <c r="P261" i="33"/>
  <c r="Q261" i="33" s="1"/>
  <c r="P285" i="33"/>
  <c r="Q285" i="33" s="1"/>
  <c r="P299" i="33"/>
  <c r="Q299" i="33" s="1"/>
  <c r="P304" i="33"/>
  <c r="Q304" i="33" s="1"/>
  <c r="P330" i="33"/>
  <c r="Q330" i="33" s="1"/>
  <c r="Q16" i="33"/>
  <c r="P18" i="33"/>
  <c r="Q18" i="33" s="1"/>
  <c r="Q33" i="33"/>
  <c r="Q35" i="33"/>
  <c r="P39" i="33"/>
  <c r="Q39" i="33" s="1"/>
  <c r="P40" i="33"/>
  <c r="Q40" i="33" s="1"/>
  <c r="P66" i="33"/>
  <c r="Q66" i="33" s="1"/>
  <c r="P91" i="33"/>
  <c r="Q91" i="33" s="1"/>
  <c r="Q101" i="33"/>
  <c r="P105" i="33"/>
  <c r="Q105" i="33" s="1"/>
  <c r="P107" i="33"/>
  <c r="Q107" i="33" s="1"/>
  <c r="P111" i="33"/>
  <c r="Q111" i="33" s="1"/>
  <c r="P112" i="33"/>
  <c r="Q112" i="33" s="1"/>
  <c r="P138" i="33"/>
  <c r="Q138" i="33" s="1"/>
  <c r="P163" i="33"/>
  <c r="Q163" i="33" s="1"/>
  <c r="P187" i="33"/>
  <c r="Q187" i="33" s="1"/>
  <c r="P213" i="33"/>
  <c r="Q213" i="33" s="1"/>
  <c r="P221" i="33"/>
  <c r="Q221" i="33" s="1"/>
  <c r="P222" i="33"/>
  <c r="Q222" i="33" s="1"/>
  <c r="P225" i="33"/>
  <c r="Q225" i="33" s="1"/>
  <c r="P227" i="33"/>
  <c r="Q227" i="33" s="1"/>
  <c r="P231" i="33"/>
  <c r="Q231" i="33" s="1"/>
  <c r="P232" i="33"/>
  <c r="Q232" i="33" s="1"/>
  <c r="P249" i="33"/>
  <c r="Q249" i="33" s="1"/>
  <c r="P251" i="33"/>
  <c r="Q251" i="33" s="1"/>
  <c r="P255" i="33"/>
  <c r="Q255" i="33" s="1"/>
  <c r="P256" i="33"/>
  <c r="Q256" i="33" s="1"/>
  <c r="P273" i="33"/>
  <c r="Q273" i="33" s="1"/>
  <c r="P279" i="33"/>
  <c r="Q279" i="33" s="1"/>
  <c r="P280" i="33"/>
  <c r="Q280" i="33" s="1"/>
  <c r="P306" i="33"/>
  <c r="Q306" i="33" s="1"/>
  <c r="P331" i="33"/>
  <c r="Q331" i="33" s="1"/>
  <c r="P53" i="33"/>
  <c r="Q53" i="33" s="1"/>
  <c r="P54" i="33"/>
  <c r="Q54" i="33" s="1"/>
  <c r="P63" i="33"/>
  <c r="Q63" i="33" s="1"/>
  <c r="P90" i="33"/>
  <c r="Q90" i="33" s="1"/>
  <c r="P117" i="33"/>
  <c r="Q117" i="33" s="1"/>
  <c r="P129" i="33"/>
  <c r="Q129" i="33" s="1"/>
  <c r="P136" i="33"/>
  <c r="Q136" i="33" s="1"/>
  <c r="P162" i="33"/>
  <c r="Q162" i="33" s="1"/>
  <c r="P186" i="33"/>
  <c r="Q186" i="33" s="1"/>
  <c r="P211" i="33"/>
  <c r="Q211" i="33" s="1"/>
  <c r="P293" i="33"/>
  <c r="Q293" i="33" s="1"/>
  <c r="P297" i="33"/>
  <c r="Q297" i="33" s="1"/>
  <c r="P303" i="33"/>
  <c r="Q303" i="33" s="1"/>
  <c r="Q9" i="33"/>
  <c r="Q11" i="33"/>
  <c r="Q15" i="33"/>
  <c r="P19" i="33"/>
  <c r="Q19" i="33" s="1"/>
  <c r="P42" i="33"/>
  <c r="Q42" i="33" s="1"/>
  <c r="P67" i="33"/>
  <c r="Q67" i="33" s="1"/>
  <c r="Q93" i="33"/>
  <c r="P114" i="33"/>
  <c r="Q114" i="33" s="1"/>
  <c r="P139" i="33"/>
  <c r="Q139" i="33" s="1"/>
  <c r="P165" i="33"/>
  <c r="Q165" i="33" s="1"/>
  <c r="P189" i="33"/>
  <c r="Q189" i="33" s="1"/>
  <c r="P197" i="33"/>
  <c r="Q197" i="33" s="1"/>
  <c r="P198" i="33"/>
  <c r="Q198" i="33" s="1"/>
  <c r="P201" i="33"/>
  <c r="Q201" i="33" s="1"/>
  <c r="P203" i="33"/>
  <c r="Q203" i="33" s="1"/>
  <c r="P207" i="33"/>
  <c r="Q207" i="33" s="1"/>
  <c r="P208" i="33"/>
  <c r="Q208" i="33" s="1"/>
  <c r="P234" i="33"/>
  <c r="Q234" i="33" s="1"/>
  <c r="P258" i="33"/>
  <c r="Q258" i="33" s="1"/>
  <c r="P282" i="33"/>
  <c r="Q282" i="33" s="1"/>
  <c r="P307" i="33"/>
  <c r="Q307" i="33" s="1"/>
  <c r="P333" i="33"/>
  <c r="Q333" i="33" s="1"/>
  <c r="H37" i="63"/>
  <c r="H60" i="63" s="1"/>
  <c r="M36" i="63"/>
  <c r="M59" i="63" s="1"/>
  <c r="O36" i="63"/>
  <c r="O59" i="63" s="1"/>
  <c r="E36" i="63"/>
  <c r="E59" i="63" s="1"/>
  <c r="G36" i="63"/>
  <c r="G59" i="63" s="1"/>
  <c r="I36" i="63"/>
  <c r="I59" i="63" s="1"/>
  <c r="L37" i="63"/>
  <c r="L60" i="63" s="1"/>
  <c r="P328" i="34"/>
  <c r="P232" i="34"/>
  <c r="Q232" i="34" s="1"/>
  <c r="E30" i="14"/>
  <c r="E53" i="14" s="1"/>
  <c r="P126" i="34"/>
  <c r="Q126" i="34" s="1"/>
  <c r="O37" i="63"/>
  <c r="O60" i="63" s="1"/>
  <c r="K37" i="63"/>
  <c r="K60" i="63" s="1"/>
  <c r="G37" i="63"/>
  <c r="G60" i="63" s="1"/>
  <c r="C37" i="63"/>
  <c r="C83" i="63" s="1"/>
  <c r="C129" i="63" s="1"/>
  <c r="L36" i="63"/>
  <c r="L59" i="63" s="1"/>
  <c r="H36" i="63"/>
  <c r="H59" i="63" s="1"/>
  <c r="P207" i="34"/>
  <c r="M37" i="63"/>
  <c r="M60" i="63" s="1"/>
  <c r="I37" i="63"/>
  <c r="I60" i="63" s="1"/>
  <c r="E37" i="63"/>
  <c r="E60" i="63" s="1"/>
  <c r="N36" i="63"/>
  <c r="N59" i="63" s="1"/>
  <c r="J36" i="63"/>
  <c r="J59" i="63" s="1"/>
  <c r="F36" i="63"/>
  <c r="F59" i="63" s="1"/>
  <c r="C36" i="63"/>
  <c r="K36" i="63"/>
  <c r="K59" i="63" s="1"/>
  <c r="F37" i="63"/>
  <c r="F60" i="63" s="1"/>
  <c r="N37" i="63"/>
  <c r="N60" i="63" s="1"/>
  <c r="P111" i="34"/>
  <c r="Q261" i="34" l="1"/>
  <c r="P42" i="15"/>
  <c r="E61" i="63"/>
  <c r="J58" i="63"/>
  <c r="H58" i="63"/>
  <c r="K86" i="63"/>
  <c r="K132" i="63" s="1"/>
  <c r="G86" i="63"/>
  <c r="G132" i="63" s="1"/>
  <c r="N86" i="63"/>
  <c r="N132" i="63" s="1"/>
  <c r="J61" i="63"/>
  <c r="J84" i="63" s="1"/>
  <c r="M61" i="63"/>
  <c r="M84" i="63" s="1"/>
  <c r="K58" i="63"/>
  <c r="L58" i="63"/>
  <c r="F58" i="63"/>
  <c r="M58" i="63"/>
  <c r="O58" i="63"/>
  <c r="N58" i="63"/>
  <c r="E58" i="63"/>
  <c r="I58" i="63"/>
  <c r="G58" i="63"/>
  <c r="O86" i="63"/>
  <c r="O132" i="63" s="1"/>
  <c r="J85" i="63"/>
  <c r="J131" i="63" s="1"/>
  <c r="J130" i="63" s="1"/>
  <c r="E113" i="19"/>
  <c r="E181" i="19" s="1"/>
  <c r="E127" i="19"/>
  <c r="E113" i="11"/>
  <c r="E181" i="11" s="1"/>
  <c r="E127" i="11"/>
  <c r="D127" i="10"/>
  <c r="D127" i="19"/>
  <c r="E113" i="10"/>
  <c r="E181" i="10" s="1"/>
  <c r="E127" i="10"/>
  <c r="D88" i="19"/>
  <c r="E88" i="11"/>
  <c r="E67" i="11"/>
  <c r="E178" i="11" s="1"/>
  <c r="D88" i="10"/>
  <c r="E88" i="10"/>
  <c r="E88" i="19"/>
  <c r="E67" i="19"/>
  <c r="P65" i="63"/>
  <c r="P42" i="63"/>
  <c r="Q42" i="63" s="1"/>
  <c r="K35" i="63"/>
  <c r="Q111" i="34"/>
  <c r="Q207" i="34"/>
  <c r="Q328" i="34"/>
  <c r="P129" i="34"/>
  <c r="Q129" i="34" s="1"/>
  <c r="P136" i="34"/>
  <c r="Q136" i="34" s="1"/>
  <c r="P198" i="34"/>
  <c r="Q198" i="34" s="1"/>
  <c r="P293" i="34"/>
  <c r="Q293" i="34" s="1"/>
  <c r="J35" i="63"/>
  <c r="D36" i="63"/>
  <c r="D59" i="63" s="1"/>
  <c r="Q15" i="34"/>
  <c r="P59" i="34"/>
  <c r="Q59" i="34" s="1"/>
  <c r="P63" i="34"/>
  <c r="Q63" i="34" s="1"/>
  <c r="P297" i="34"/>
  <c r="Q297" i="34" s="1"/>
  <c r="G53" i="26"/>
  <c r="P57" i="34"/>
  <c r="Q57" i="34" s="1"/>
  <c r="Q11" i="34"/>
  <c r="P131" i="34"/>
  <c r="Q131" i="34" s="1"/>
  <c r="P177" i="34"/>
  <c r="Q177" i="34" s="1"/>
  <c r="P197" i="34"/>
  <c r="Q197" i="34" s="1"/>
  <c r="P280" i="34"/>
  <c r="Q280" i="34" s="1"/>
  <c r="P251" i="34"/>
  <c r="Q251" i="34" s="1"/>
  <c r="P299" i="34"/>
  <c r="Q299" i="34" s="1"/>
  <c r="P303" i="34"/>
  <c r="Q303" i="34" s="1"/>
  <c r="D37" i="63"/>
  <c r="D60" i="63" s="1"/>
  <c r="Q16" i="34"/>
  <c r="P317" i="34"/>
  <c r="Q317" i="34" s="1"/>
  <c r="P88" i="34"/>
  <c r="Q88" i="34" s="1"/>
  <c r="P54" i="34"/>
  <c r="Q54" i="34" s="1"/>
  <c r="C82" i="63"/>
  <c r="C128" i="63" s="1"/>
  <c r="C35" i="63"/>
  <c r="C81" i="63" s="1"/>
  <c r="C127" i="63" s="1"/>
  <c r="P83" i="34"/>
  <c r="Q83" i="34" s="1"/>
  <c r="P87" i="34"/>
  <c r="Q87" i="34" s="1"/>
  <c r="L35" i="63"/>
  <c r="P77" i="34"/>
  <c r="Q77" i="34" s="1"/>
  <c r="P81" i="34"/>
  <c r="Q81" i="34" s="1"/>
  <c r="P125" i="34"/>
  <c r="Q125" i="34" s="1"/>
  <c r="P201" i="34"/>
  <c r="Q201" i="34" s="1"/>
  <c r="P225" i="34"/>
  <c r="Q225" i="34" s="1"/>
  <c r="P149" i="34"/>
  <c r="Q149" i="34" s="1"/>
  <c r="P153" i="34"/>
  <c r="Q153" i="34" s="1"/>
  <c r="P327" i="34"/>
  <c r="Q327" i="34" s="1"/>
  <c r="P255" i="34"/>
  <c r="Q255" i="34" s="1"/>
  <c r="P304" i="34"/>
  <c r="Q304" i="34" s="1"/>
  <c r="P323" i="34"/>
  <c r="Q323" i="34" s="1"/>
  <c r="I35" i="63"/>
  <c r="G35" i="63"/>
  <c r="O35" i="63"/>
  <c r="P107" i="34"/>
  <c r="Q107" i="34" s="1"/>
  <c r="P101" i="34"/>
  <c r="Q101" i="34" s="1"/>
  <c r="Q5" i="34"/>
  <c r="P53" i="34"/>
  <c r="Q53" i="34" s="1"/>
  <c r="H35" i="63"/>
  <c r="P135" i="34"/>
  <c r="Q135" i="34" s="1"/>
  <c r="D26" i="12"/>
  <c r="D49" i="12" s="1"/>
  <c r="P173" i="34"/>
  <c r="Q173" i="34" s="1"/>
  <c r="P221" i="34"/>
  <c r="Q221" i="34" s="1"/>
  <c r="P227" i="34"/>
  <c r="Q227" i="34" s="1"/>
  <c r="P231" i="34"/>
  <c r="Q231" i="34" s="1"/>
  <c r="P275" i="34"/>
  <c r="Q275" i="34" s="1"/>
  <c r="P279" i="34"/>
  <c r="Q279" i="34" s="1"/>
  <c r="E53" i="26"/>
  <c r="P64" i="34"/>
  <c r="Q64" i="34" s="1"/>
  <c r="P40" i="34"/>
  <c r="Q40" i="34" s="1"/>
  <c r="P203" i="34"/>
  <c r="Q203" i="34" s="1"/>
  <c r="P105" i="34"/>
  <c r="Q105" i="34" s="1"/>
  <c r="N35" i="63"/>
  <c r="F35" i="63"/>
  <c r="P35" i="34"/>
  <c r="Q35" i="34" s="1"/>
  <c r="P39" i="34"/>
  <c r="Q39" i="34" s="1"/>
  <c r="P160" i="34"/>
  <c r="Q160" i="34" s="1"/>
  <c r="P29" i="34"/>
  <c r="Q29" i="34" s="1"/>
  <c r="P33" i="34"/>
  <c r="Q33" i="34" s="1"/>
  <c r="P112" i="34"/>
  <c r="Q112" i="34" s="1"/>
  <c r="P155" i="34"/>
  <c r="Q155" i="34" s="1"/>
  <c r="P159" i="34"/>
  <c r="Q159" i="34" s="1"/>
  <c r="P208" i="34"/>
  <c r="Q208" i="34" s="1"/>
  <c r="P179" i="34"/>
  <c r="Q179" i="34" s="1"/>
  <c r="P183" i="34"/>
  <c r="Q183" i="34" s="1"/>
  <c r="P222" i="34"/>
  <c r="Q222" i="34" s="1"/>
  <c r="P245" i="34"/>
  <c r="Q245" i="34" s="1"/>
  <c r="P249" i="34"/>
  <c r="Q249" i="34" s="1"/>
  <c r="P256" i="34"/>
  <c r="Q256" i="34" s="1"/>
  <c r="P321" i="34"/>
  <c r="Q321" i="34" s="1"/>
  <c r="P269" i="34"/>
  <c r="Q269" i="34" s="1"/>
  <c r="P273" i="34"/>
  <c r="Q273" i="34" s="1"/>
  <c r="P78" i="34"/>
  <c r="Q78" i="34" s="1"/>
  <c r="E35" i="63"/>
  <c r="M35" i="63"/>
  <c r="P184" i="34"/>
  <c r="Q184" i="34" s="1"/>
  <c r="L84" i="63"/>
  <c r="P40" i="63"/>
  <c r="Q40" i="63" s="1"/>
  <c r="D38" i="63"/>
  <c r="N85" i="63"/>
  <c r="N131" i="63" s="1"/>
  <c r="L85" i="63"/>
  <c r="L131" i="63" s="1"/>
  <c r="L130" i="63" s="1"/>
  <c r="H85" i="63"/>
  <c r="H131" i="63" s="1"/>
  <c r="H130" i="63" s="1"/>
  <c r="K85" i="63"/>
  <c r="K131" i="63" s="1"/>
  <c r="O85" i="63"/>
  <c r="O131" i="63" s="1"/>
  <c r="C84" i="63"/>
  <c r="O84" i="63"/>
  <c r="F85" i="63"/>
  <c r="F131" i="63" s="1"/>
  <c r="F130" i="63" s="1"/>
  <c r="E38" i="63"/>
  <c r="E85" i="63"/>
  <c r="P39" i="63"/>
  <c r="Q39" i="63" s="1"/>
  <c r="G85" i="63"/>
  <c r="G131" i="63" s="1"/>
  <c r="K84" i="63"/>
  <c r="N84" i="63"/>
  <c r="M85" i="63"/>
  <c r="M131" i="63" s="1"/>
  <c r="M130" i="63" s="1"/>
  <c r="I85" i="63"/>
  <c r="I131" i="63" s="1"/>
  <c r="I130" i="63" s="1"/>
  <c r="Q105" i="63"/>
  <c r="P104" i="63"/>
  <c r="Q104" i="63" s="1"/>
  <c r="P107" i="63"/>
  <c r="Q107" i="63" s="1"/>
  <c r="Q108" i="63"/>
  <c r="Q5" i="33"/>
  <c r="P269" i="33"/>
  <c r="Q269" i="33" s="1"/>
  <c r="P245" i="33"/>
  <c r="Q245" i="33" s="1"/>
  <c r="P173" i="33"/>
  <c r="Q173" i="33" s="1"/>
  <c r="F42" i="19"/>
  <c r="P43" i="19"/>
  <c r="P66" i="19"/>
  <c r="P89" i="19"/>
  <c r="F96" i="19"/>
  <c r="G96" i="19"/>
  <c r="H96" i="19"/>
  <c r="I96" i="19"/>
  <c r="J96" i="19"/>
  <c r="K96" i="19"/>
  <c r="L96" i="19"/>
  <c r="M96" i="19"/>
  <c r="N96" i="19"/>
  <c r="O96" i="19"/>
  <c r="F102" i="19"/>
  <c r="G102" i="19"/>
  <c r="H102" i="19"/>
  <c r="I102" i="19"/>
  <c r="J102" i="19"/>
  <c r="K102" i="19"/>
  <c r="L102" i="19"/>
  <c r="M102" i="19"/>
  <c r="N102" i="19"/>
  <c r="O102" i="19"/>
  <c r="F105" i="19"/>
  <c r="G105" i="19"/>
  <c r="H105" i="19"/>
  <c r="I105" i="19"/>
  <c r="J105" i="19"/>
  <c r="K105" i="19"/>
  <c r="L105" i="19"/>
  <c r="M105" i="19"/>
  <c r="N105" i="19"/>
  <c r="O105" i="19"/>
  <c r="G106" i="19"/>
  <c r="H106" i="19"/>
  <c r="I106" i="19"/>
  <c r="J106" i="19"/>
  <c r="K106" i="19"/>
  <c r="L106" i="19"/>
  <c r="M106" i="19"/>
  <c r="N106" i="19"/>
  <c r="O106" i="19"/>
  <c r="F140" i="19"/>
  <c r="F184" i="19" s="1"/>
  <c r="G140" i="19"/>
  <c r="G184" i="19" s="1"/>
  <c r="H140" i="19"/>
  <c r="H184" i="19" s="1"/>
  <c r="I140" i="19"/>
  <c r="I184" i="19" s="1"/>
  <c r="J140" i="19"/>
  <c r="J184" i="19" s="1"/>
  <c r="K140" i="19"/>
  <c r="K184" i="19" s="1"/>
  <c r="L140" i="19"/>
  <c r="L184" i="19" s="1"/>
  <c r="M140" i="19"/>
  <c r="M184" i="19" s="1"/>
  <c r="N140" i="19"/>
  <c r="N184" i="19" s="1"/>
  <c r="O140" i="19"/>
  <c r="O184" i="19" s="1"/>
  <c r="P153" i="19"/>
  <c r="Q153" i="19" s="1"/>
  <c r="P154" i="19"/>
  <c r="Q154" i="19" s="1"/>
  <c r="P155" i="19"/>
  <c r="Q155" i="19" s="1"/>
  <c r="P156" i="19"/>
  <c r="Q156" i="19" s="1"/>
  <c r="P157" i="19"/>
  <c r="Q157" i="19" s="1"/>
  <c r="P158" i="19"/>
  <c r="Q158" i="19" s="1"/>
  <c r="P159" i="19"/>
  <c r="Q159" i="19" s="1"/>
  <c r="P160" i="19"/>
  <c r="Q160" i="19" s="1"/>
  <c r="P161" i="19"/>
  <c r="Q161" i="19" s="1"/>
  <c r="P162" i="19"/>
  <c r="Q162" i="19" s="1"/>
  <c r="P163" i="19"/>
  <c r="Q163" i="19" s="1"/>
  <c r="P165" i="19"/>
  <c r="Q165" i="19" s="1"/>
  <c r="P166" i="19"/>
  <c r="Q166" i="19" s="1"/>
  <c r="P167" i="19"/>
  <c r="Q167" i="19" s="1"/>
  <c r="P168" i="19"/>
  <c r="Q168" i="19" s="1"/>
  <c r="P169" i="19"/>
  <c r="Q169" i="19" s="1"/>
  <c r="P170" i="19"/>
  <c r="Q170" i="19" s="1"/>
  <c r="P171" i="19"/>
  <c r="Q171" i="19" s="1"/>
  <c r="P172" i="19"/>
  <c r="Q172" i="19" s="1"/>
  <c r="O42" i="19"/>
  <c r="N42" i="19"/>
  <c r="M42" i="19"/>
  <c r="L42" i="19"/>
  <c r="K42" i="19"/>
  <c r="J42" i="19"/>
  <c r="I42" i="19"/>
  <c r="H42" i="19"/>
  <c r="G42" i="19"/>
  <c r="O111" i="19"/>
  <c r="N111" i="19"/>
  <c r="M111" i="19"/>
  <c r="L111" i="19"/>
  <c r="K111" i="19"/>
  <c r="J111" i="19"/>
  <c r="I111" i="19"/>
  <c r="H111" i="19"/>
  <c r="G111" i="19"/>
  <c r="F111" i="19"/>
  <c r="G130" i="63" l="1"/>
  <c r="O130" i="63"/>
  <c r="N130" i="63"/>
  <c r="K130" i="63"/>
  <c r="H65" i="19"/>
  <c r="H88" i="19" s="1"/>
  <c r="H134" i="19" s="1"/>
  <c r="J65" i="19"/>
  <c r="J88" i="19" s="1"/>
  <c r="J134" i="19" s="1"/>
  <c r="N65" i="19"/>
  <c r="N88" i="19" s="1"/>
  <c r="N134" i="19" s="1"/>
  <c r="Q65" i="63"/>
  <c r="M65" i="19"/>
  <c r="M88" i="19" s="1"/>
  <c r="M134" i="19" s="1"/>
  <c r="G65" i="19"/>
  <c r="G88" i="19" s="1"/>
  <c r="G134" i="19" s="1"/>
  <c r="K65" i="19"/>
  <c r="K88" i="19" s="1"/>
  <c r="K134" i="19" s="1"/>
  <c r="O65" i="19"/>
  <c r="O88" i="19" s="1"/>
  <c r="O134" i="19" s="1"/>
  <c r="L65" i="19"/>
  <c r="L88" i="19" s="1"/>
  <c r="L134" i="19" s="1"/>
  <c r="F65" i="19"/>
  <c r="F88" i="19" s="1"/>
  <c r="F134" i="19" s="1"/>
  <c r="I65" i="19"/>
  <c r="I88" i="19" s="1"/>
  <c r="I134" i="19" s="1"/>
  <c r="D58" i="63"/>
  <c r="E178" i="19"/>
  <c r="E134" i="19"/>
  <c r="E136" i="19" s="1"/>
  <c r="E182" i="19" s="1"/>
  <c r="E90" i="19"/>
  <c r="E134" i="10"/>
  <c r="E90" i="10"/>
  <c r="E134" i="11"/>
  <c r="E136" i="11" s="1"/>
  <c r="E182" i="11" s="1"/>
  <c r="E90" i="11"/>
  <c r="D134" i="10"/>
  <c r="D134" i="19"/>
  <c r="P140" i="19"/>
  <c r="Q140" i="19" s="1"/>
  <c r="D88" i="63"/>
  <c r="N83" i="63"/>
  <c r="N129" i="63" s="1"/>
  <c r="H83" i="63"/>
  <c r="H129" i="63" s="1"/>
  <c r="I83" i="63"/>
  <c r="I129" i="63" s="1"/>
  <c r="P37" i="63"/>
  <c r="Q37" i="63" s="1"/>
  <c r="O83" i="63"/>
  <c r="O129" i="63" s="1"/>
  <c r="E83" i="63"/>
  <c r="E129" i="63" s="1"/>
  <c r="D83" i="63"/>
  <c r="G83" i="63"/>
  <c r="G129" i="63" s="1"/>
  <c r="M83" i="63"/>
  <c r="M129" i="63" s="1"/>
  <c r="J83" i="63"/>
  <c r="J129" i="63" s="1"/>
  <c r="F83" i="63"/>
  <c r="F129" i="63" s="1"/>
  <c r="K82" i="63"/>
  <c r="K128" i="63" s="1"/>
  <c r="D82" i="63"/>
  <c r="L82" i="63"/>
  <c r="L128" i="63" s="1"/>
  <c r="D35" i="63"/>
  <c r="P36" i="63"/>
  <c r="Q36" i="63" s="1"/>
  <c r="H84" i="63"/>
  <c r="I84" i="63"/>
  <c r="P63" i="63"/>
  <c r="D86" i="63"/>
  <c r="F84" i="63"/>
  <c r="G84" i="63"/>
  <c r="P62" i="63"/>
  <c r="P85" i="63"/>
  <c r="Q85" i="63" s="1"/>
  <c r="E131" i="63"/>
  <c r="P38" i="63"/>
  <c r="Q38" i="63" s="1"/>
  <c r="K104" i="19"/>
  <c r="P100" i="19"/>
  <c r="Q100" i="19" s="1"/>
  <c r="P105" i="19"/>
  <c r="Q105" i="19" s="1"/>
  <c r="L97" i="19"/>
  <c r="L104" i="19"/>
  <c r="H104" i="19"/>
  <c r="J104" i="19"/>
  <c r="O104" i="19"/>
  <c r="N104" i="19"/>
  <c r="M104" i="19"/>
  <c r="I104" i="19"/>
  <c r="G104" i="19"/>
  <c r="H103" i="19"/>
  <c r="K103" i="19"/>
  <c r="O97" i="19"/>
  <c r="H97" i="19"/>
  <c r="P111" i="19"/>
  <c r="Q111" i="19" s="1"/>
  <c r="P96" i="19"/>
  <c r="Q96" i="19" s="1"/>
  <c r="J97" i="19"/>
  <c r="F104" i="19"/>
  <c r="P106" i="19"/>
  <c r="Q106" i="19" s="1"/>
  <c r="F103" i="19"/>
  <c r="O103" i="19"/>
  <c r="J103" i="19"/>
  <c r="P102" i="19"/>
  <c r="Q102" i="19" s="1"/>
  <c r="P98" i="19"/>
  <c r="Q98" i="19" s="1"/>
  <c r="F97" i="19"/>
  <c r="N103" i="19"/>
  <c r="N97" i="19"/>
  <c r="L103" i="19"/>
  <c r="G103" i="19"/>
  <c r="G97" i="19"/>
  <c r="P42" i="19"/>
  <c r="Q42" i="19" s="1"/>
  <c r="N37" i="19"/>
  <c r="J37" i="19"/>
  <c r="F37" i="19"/>
  <c r="O36" i="19"/>
  <c r="K36" i="19"/>
  <c r="G36" i="19"/>
  <c r="N33" i="19"/>
  <c r="J33" i="19"/>
  <c r="F33" i="19"/>
  <c r="L27" i="19"/>
  <c r="H27" i="19"/>
  <c r="L37" i="19"/>
  <c r="H37" i="19"/>
  <c r="M36" i="19"/>
  <c r="I36" i="19"/>
  <c r="L33" i="19"/>
  <c r="H33" i="19"/>
  <c r="N27" i="19"/>
  <c r="J27" i="19"/>
  <c r="F27" i="19"/>
  <c r="I37" i="19"/>
  <c r="N36" i="19"/>
  <c r="F36" i="19"/>
  <c r="O33" i="19"/>
  <c r="G33" i="19"/>
  <c r="K27" i="19"/>
  <c r="M37" i="19"/>
  <c r="J36" i="19"/>
  <c r="K33" i="19"/>
  <c r="O27" i="19"/>
  <c r="G27" i="19"/>
  <c r="G37" i="19"/>
  <c r="O37" i="19"/>
  <c r="L36" i="19"/>
  <c r="I33" i="19"/>
  <c r="I27" i="19"/>
  <c r="M27" i="19"/>
  <c r="K37" i="19"/>
  <c r="H36" i="19"/>
  <c r="M33" i="19"/>
  <c r="E180" i="10" l="1"/>
  <c r="E185" i="10" s="1"/>
  <c r="E180" i="11"/>
  <c r="E185" i="11" s="1"/>
  <c r="E180" i="19"/>
  <c r="E185" i="19" s="1"/>
  <c r="Q62" i="63"/>
  <c r="Q63" i="63"/>
  <c r="N53" i="19"/>
  <c r="N49" i="19"/>
  <c r="I50" i="19"/>
  <c r="I73" i="19" s="1"/>
  <c r="I119" i="19" s="1"/>
  <c r="G60" i="19"/>
  <c r="M56" i="19"/>
  <c r="M79" i="19" s="1"/>
  <c r="M125" i="19" s="1"/>
  <c r="K60" i="19"/>
  <c r="M54" i="19"/>
  <c r="M77" i="19" s="1"/>
  <c r="M123" i="19" s="1"/>
  <c r="J53" i="19"/>
  <c r="L59" i="19"/>
  <c r="J59" i="19"/>
  <c r="G52" i="19"/>
  <c r="G75" i="19" s="1"/>
  <c r="G121" i="19" s="1"/>
  <c r="L55" i="19"/>
  <c r="L78" i="19" s="1"/>
  <c r="L124" i="19" s="1"/>
  <c r="N59" i="19"/>
  <c r="F50" i="19"/>
  <c r="F73" i="19" s="1"/>
  <c r="F119" i="19" s="1"/>
  <c r="M55" i="19"/>
  <c r="M78" i="19" s="1"/>
  <c r="M124" i="19" s="1"/>
  <c r="M59" i="19"/>
  <c r="H50" i="19"/>
  <c r="L54" i="19"/>
  <c r="L77" i="19" s="1"/>
  <c r="L123" i="19" s="1"/>
  <c r="F56" i="19"/>
  <c r="F79" i="19" s="1"/>
  <c r="F125" i="19" s="1"/>
  <c r="K59" i="19"/>
  <c r="K82" i="19" s="1"/>
  <c r="K128" i="19" s="1"/>
  <c r="N60" i="19"/>
  <c r="O49" i="19"/>
  <c r="I97" i="19"/>
  <c r="H59" i="19"/>
  <c r="I54" i="19"/>
  <c r="I77" i="19" s="1"/>
  <c r="I123" i="19" s="1"/>
  <c r="O60" i="19"/>
  <c r="O50" i="19"/>
  <c r="O73" i="19" s="1"/>
  <c r="O119" i="19" s="1"/>
  <c r="O54" i="19"/>
  <c r="O77" i="19" s="1"/>
  <c r="O123" i="19" s="1"/>
  <c r="M60" i="19"/>
  <c r="M83" i="19" s="1"/>
  <c r="M129" i="19" s="1"/>
  <c r="O52" i="19"/>
  <c r="O75" i="19" s="1"/>
  <c r="O121" i="19" s="1"/>
  <c r="G56" i="19"/>
  <c r="G79" i="19" s="1"/>
  <c r="G125" i="19" s="1"/>
  <c r="I60" i="19"/>
  <c r="I83" i="19" s="1"/>
  <c r="I129" i="19" s="1"/>
  <c r="G53" i="19"/>
  <c r="J54" i="19"/>
  <c r="J77" i="19" s="1"/>
  <c r="J123" i="19" s="1"/>
  <c r="H56" i="19"/>
  <c r="H79" i="19" s="1"/>
  <c r="H125" i="19" s="1"/>
  <c r="H60" i="19"/>
  <c r="H58" i="19" s="1"/>
  <c r="L50" i="19"/>
  <c r="L73" i="19" s="1"/>
  <c r="L119" i="19" s="1"/>
  <c r="I53" i="19"/>
  <c r="G55" i="19"/>
  <c r="G78" i="19" s="1"/>
  <c r="G124" i="19" s="1"/>
  <c r="O59" i="19"/>
  <c r="O82" i="19" s="1"/>
  <c r="O128" i="19" s="1"/>
  <c r="I103" i="19"/>
  <c r="M97" i="19"/>
  <c r="J49" i="19"/>
  <c r="M50" i="19"/>
  <c r="M73" i="19" s="1"/>
  <c r="M119" i="19" s="1"/>
  <c r="J55" i="19"/>
  <c r="J78" i="19" s="1"/>
  <c r="J124" i="19" s="1"/>
  <c r="H49" i="19"/>
  <c r="H53" i="19"/>
  <c r="O56" i="19"/>
  <c r="O79" i="19" s="1"/>
  <c r="O125" i="19" s="1"/>
  <c r="G49" i="19"/>
  <c r="N50" i="19"/>
  <c r="N73" i="19" s="1"/>
  <c r="N119" i="19" s="1"/>
  <c r="K53" i="19"/>
  <c r="N54" i="19"/>
  <c r="N77" i="19" s="1"/>
  <c r="N123" i="19" s="1"/>
  <c r="L56" i="19"/>
  <c r="L79" i="19" s="1"/>
  <c r="L125" i="19" s="1"/>
  <c r="L60" i="19"/>
  <c r="M53" i="19"/>
  <c r="K55" i="19"/>
  <c r="K78" i="19" s="1"/>
  <c r="K124" i="19" s="1"/>
  <c r="N56" i="19"/>
  <c r="N79" i="19" s="1"/>
  <c r="N125" i="19" s="1"/>
  <c r="F60" i="19"/>
  <c r="F83" i="19" s="1"/>
  <c r="F129" i="19" s="1"/>
  <c r="M103" i="19"/>
  <c r="M49" i="19"/>
  <c r="M51" i="19" s="1"/>
  <c r="F49" i="19"/>
  <c r="F55" i="19"/>
  <c r="F78" i="19" s="1"/>
  <c r="F124" i="19" s="1"/>
  <c r="I52" i="19"/>
  <c r="I75" i="19" s="1"/>
  <c r="I121" i="19" s="1"/>
  <c r="I56" i="19"/>
  <c r="I79" i="19" s="1"/>
  <c r="I125" i="19" s="1"/>
  <c r="L49" i="19"/>
  <c r="L51" i="19" s="1"/>
  <c r="L53" i="19"/>
  <c r="K56" i="19"/>
  <c r="K79" i="19" s="1"/>
  <c r="K125" i="19" s="1"/>
  <c r="K50" i="19"/>
  <c r="K73" i="19" s="1"/>
  <c r="K119" i="19" s="1"/>
  <c r="K54" i="19"/>
  <c r="K77" i="19" s="1"/>
  <c r="K123" i="19" s="1"/>
  <c r="F59" i="19"/>
  <c r="K49" i="19"/>
  <c r="O53" i="19"/>
  <c r="I55" i="19"/>
  <c r="I78" i="19" s="1"/>
  <c r="I124" i="19" s="1"/>
  <c r="I59" i="19"/>
  <c r="I49" i="19"/>
  <c r="I51" i="19" s="1"/>
  <c r="J52" i="19"/>
  <c r="J75" i="19" s="1"/>
  <c r="J121" i="19" s="1"/>
  <c r="H54" i="19"/>
  <c r="H77" i="19" s="1"/>
  <c r="H123" i="19" s="1"/>
  <c r="O55" i="19"/>
  <c r="O78" i="19" s="1"/>
  <c r="O124" i="19" s="1"/>
  <c r="G59" i="19"/>
  <c r="G82" i="19" s="1"/>
  <c r="G128" i="19" s="1"/>
  <c r="J60" i="19"/>
  <c r="J83" i="19" s="1"/>
  <c r="J129" i="19" s="1"/>
  <c r="K97" i="19"/>
  <c r="K94" i="19" s="1"/>
  <c r="P184" i="19"/>
  <c r="Q184" i="19" s="1"/>
  <c r="F52" i="19"/>
  <c r="F75" i="19" s="1"/>
  <c r="F121" i="19" s="1"/>
  <c r="M52" i="19"/>
  <c r="M75" i="19" s="1"/>
  <c r="M121" i="19" s="1"/>
  <c r="H52" i="19"/>
  <c r="H75" i="19" s="1"/>
  <c r="H121" i="19" s="1"/>
  <c r="L52" i="19"/>
  <c r="L75" i="19" s="1"/>
  <c r="L121" i="19" s="1"/>
  <c r="N52" i="19"/>
  <c r="N75" i="19" s="1"/>
  <c r="N121" i="19" s="1"/>
  <c r="K52" i="19"/>
  <c r="K75" i="19" s="1"/>
  <c r="K121" i="19" s="1"/>
  <c r="H55" i="19"/>
  <c r="H78" i="19" s="1"/>
  <c r="H124" i="19" s="1"/>
  <c r="N55" i="19"/>
  <c r="E186" i="11"/>
  <c r="E186" i="19"/>
  <c r="L28" i="19"/>
  <c r="P88" i="63"/>
  <c r="Q88" i="63" s="1"/>
  <c r="D134" i="63"/>
  <c r="P134" i="63" s="1"/>
  <c r="Q134" i="63" s="1"/>
  <c r="F35" i="19"/>
  <c r="J82" i="63"/>
  <c r="J128" i="63" s="1"/>
  <c r="O81" i="63"/>
  <c r="O127" i="63" s="1"/>
  <c r="O82" i="63"/>
  <c r="O128" i="63" s="1"/>
  <c r="I82" i="63"/>
  <c r="I128" i="63" s="1"/>
  <c r="F82" i="63"/>
  <c r="F128" i="63" s="1"/>
  <c r="P59" i="63"/>
  <c r="D81" i="63"/>
  <c r="H81" i="63"/>
  <c r="H127" i="63" s="1"/>
  <c r="H82" i="63"/>
  <c r="H128" i="63" s="1"/>
  <c r="L83" i="63"/>
  <c r="L129" i="63" s="1"/>
  <c r="D128" i="63"/>
  <c r="D129" i="63"/>
  <c r="E81" i="63"/>
  <c r="E127" i="63" s="1"/>
  <c r="E82" i="63"/>
  <c r="E128" i="63" s="1"/>
  <c r="M81" i="63"/>
  <c r="M127" i="63" s="1"/>
  <c r="M82" i="63"/>
  <c r="M128" i="63" s="1"/>
  <c r="N82" i="63"/>
  <c r="N128" i="63" s="1"/>
  <c r="N81" i="63"/>
  <c r="N127" i="63" s="1"/>
  <c r="P60" i="63"/>
  <c r="P35" i="63"/>
  <c r="Q35" i="63" s="1"/>
  <c r="G82" i="63"/>
  <c r="G128" i="63" s="1"/>
  <c r="G81" i="63"/>
  <c r="G127" i="63" s="1"/>
  <c r="K81" i="63"/>
  <c r="K127" i="63" s="1"/>
  <c r="K83" i="63"/>
  <c r="K129" i="63" s="1"/>
  <c r="D84" i="63"/>
  <c r="P86" i="63"/>
  <c r="Q86" i="63" s="1"/>
  <c r="D132" i="63"/>
  <c r="E84" i="63"/>
  <c r="P61" i="63"/>
  <c r="E130" i="63"/>
  <c r="P131" i="63"/>
  <c r="N35" i="19"/>
  <c r="K35" i="19"/>
  <c r="L94" i="19"/>
  <c r="G94" i="19"/>
  <c r="F94" i="19"/>
  <c r="O94" i="19"/>
  <c r="P37" i="19"/>
  <c r="Q37" i="19" s="1"/>
  <c r="J35" i="19"/>
  <c r="F34" i="19"/>
  <c r="N34" i="19"/>
  <c r="M35" i="19"/>
  <c r="P36" i="19"/>
  <c r="Q36" i="19" s="1"/>
  <c r="L34" i="19"/>
  <c r="H94" i="19"/>
  <c r="L35" i="19"/>
  <c r="O35" i="19"/>
  <c r="N28" i="19"/>
  <c r="F28" i="19"/>
  <c r="G50" i="19"/>
  <c r="G73" i="19" s="1"/>
  <c r="G119" i="19" s="1"/>
  <c r="F54" i="19"/>
  <c r="F77" i="19" s="1"/>
  <c r="F123" i="19" s="1"/>
  <c r="J56" i="19"/>
  <c r="J79" i="19" s="1"/>
  <c r="J125" i="19" s="1"/>
  <c r="P33" i="19"/>
  <c r="Q33" i="19" s="1"/>
  <c r="F53" i="19"/>
  <c r="F76" i="19" s="1"/>
  <c r="F122" i="19" s="1"/>
  <c r="J28" i="19"/>
  <c r="J34" i="19"/>
  <c r="J50" i="19"/>
  <c r="J73" i="19" s="1"/>
  <c r="J119" i="19" s="1"/>
  <c r="G35" i="19"/>
  <c r="P27" i="19"/>
  <c r="Q27" i="19" s="1"/>
  <c r="H35" i="19"/>
  <c r="G54" i="19"/>
  <c r="G77" i="19" s="1"/>
  <c r="G123" i="19" s="1"/>
  <c r="H34" i="19"/>
  <c r="H28" i="19"/>
  <c r="P31" i="19"/>
  <c r="Q31" i="19" s="1"/>
  <c r="P29" i="19"/>
  <c r="Q29" i="19" s="1"/>
  <c r="I35" i="19"/>
  <c r="O34" i="19"/>
  <c r="I34" i="19"/>
  <c r="K34" i="19"/>
  <c r="P65" i="19"/>
  <c r="Q65" i="19" s="1"/>
  <c r="G28" i="19"/>
  <c r="O28" i="19"/>
  <c r="N94" i="19"/>
  <c r="J94" i="19"/>
  <c r="I28" i="19"/>
  <c r="G34" i="19"/>
  <c r="P104" i="19"/>
  <c r="Q104" i="19" s="1"/>
  <c r="M34" i="19"/>
  <c r="K28" i="19"/>
  <c r="M28" i="19"/>
  <c r="N58" i="19" l="1"/>
  <c r="E183" i="19"/>
  <c r="E187" i="19"/>
  <c r="I94" i="19"/>
  <c r="H83" i="19"/>
  <c r="H129" i="19" s="1"/>
  <c r="L58" i="19"/>
  <c r="L81" i="19" s="1"/>
  <c r="L127" i="19" s="1"/>
  <c r="H51" i="19"/>
  <c r="E183" i="11"/>
  <c r="E187" i="11"/>
  <c r="M58" i="19"/>
  <c r="M81" i="19" s="1"/>
  <c r="M127" i="19" s="1"/>
  <c r="M94" i="19"/>
  <c r="I57" i="19"/>
  <c r="I48" i="19" s="1"/>
  <c r="L83" i="19"/>
  <c r="L129" i="19" s="1"/>
  <c r="H72" i="19"/>
  <c r="H118" i="19" s="1"/>
  <c r="N57" i="19"/>
  <c r="J58" i="19"/>
  <c r="J81" i="19" s="1"/>
  <c r="J127" i="19" s="1"/>
  <c r="N83" i="19"/>
  <c r="N129" i="19" s="1"/>
  <c r="L72" i="19"/>
  <c r="L118" i="19" s="1"/>
  <c r="L120" i="19" s="1"/>
  <c r="M57" i="19"/>
  <c r="M48" i="19" s="1"/>
  <c r="Q61" i="63"/>
  <c r="K51" i="19"/>
  <c r="O57" i="19"/>
  <c r="L57" i="19"/>
  <c r="J51" i="19"/>
  <c r="I58" i="19"/>
  <c r="I81" i="19" s="1"/>
  <c r="I127" i="19" s="1"/>
  <c r="O58" i="19"/>
  <c r="O81" i="19" s="1"/>
  <c r="O127" i="19" s="1"/>
  <c r="O51" i="19"/>
  <c r="Q60" i="63"/>
  <c r="K57" i="19"/>
  <c r="G57" i="19"/>
  <c r="K58" i="19"/>
  <c r="K81" i="19" s="1"/>
  <c r="K127" i="19" s="1"/>
  <c r="G58" i="19"/>
  <c r="G81" i="19" s="1"/>
  <c r="G127" i="19" s="1"/>
  <c r="N51" i="19"/>
  <c r="Q59" i="63"/>
  <c r="J57" i="19"/>
  <c r="G51" i="19"/>
  <c r="H57" i="19"/>
  <c r="N78" i="19"/>
  <c r="N124" i="19" s="1"/>
  <c r="L25" i="19"/>
  <c r="P83" i="63"/>
  <c r="Q83" i="63" s="1"/>
  <c r="P82" i="63"/>
  <c r="Q82" i="63" s="1"/>
  <c r="L81" i="63"/>
  <c r="L127" i="63" s="1"/>
  <c r="P58" i="63"/>
  <c r="I81" i="63"/>
  <c r="I127" i="63" s="1"/>
  <c r="J81" i="63"/>
  <c r="J127" i="63" s="1"/>
  <c r="F81" i="63"/>
  <c r="P128" i="63"/>
  <c r="D127" i="63"/>
  <c r="P129" i="63"/>
  <c r="Q129" i="63" s="1"/>
  <c r="D130" i="63"/>
  <c r="P132" i="63"/>
  <c r="Q132" i="63" s="1"/>
  <c r="Q131" i="63"/>
  <c r="P84" i="63"/>
  <c r="Q84" i="63" s="1"/>
  <c r="N25" i="19"/>
  <c r="O25" i="19"/>
  <c r="P54" i="19"/>
  <c r="Q54" i="19" s="1"/>
  <c r="P56" i="19"/>
  <c r="Q56" i="19" s="1"/>
  <c r="P35" i="19"/>
  <c r="Q35" i="19" s="1"/>
  <c r="P123" i="19"/>
  <c r="Q123" i="19" s="1"/>
  <c r="F126" i="19"/>
  <c r="F25" i="19"/>
  <c r="F80" i="19"/>
  <c r="H81" i="19"/>
  <c r="H127" i="19" s="1"/>
  <c r="F57" i="19"/>
  <c r="P75" i="19"/>
  <c r="Q75" i="19" s="1"/>
  <c r="P121" i="19"/>
  <c r="Q121" i="19" s="1"/>
  <c r="I76" i="19"/>
  <c r="I80" i="19" s="1"/>
  <c r="O76" i="19"/>
  <c r="O80" i="19" s="1"/>
  <c r="P77" i="19"/>
  <c r="Q77" i="19" s="1"/>
  <c r="I72" i="19"/>
  <c r="I118" i="19" s="1"/>
  <c r="I120" i="19" s="1"/>
  <c r="O72" i="19"/>
  <c r="O74" i="19" s="1"/>
  <c r="J25" i="19"/>
  <c r="L76" i="19"/>
  <c r="L80" i="19" s="1"/>
  <c r="P125" i="19"/>
  <c r="Q125" i="19" s="1"/>
  <c r="P52" i="19"/>
  <c r="Q52" i="19" s="1"/>
  <c r="P50" i="19"/>
  <c r="Q50" i="19" s="1"/>
  <c r="P79" i="19"/>
  <c r="Q79" i="19" s="1"/>
  <c r="H82" i="19"/>
  <c r="H128" i="19" s="1"/>
  <c r="H73" i="19"/>
  <c r="J82" i="19"/>
  <c r="J128" i="19" s="1"/>
  <c r="P59" i="19"/>
  <c r="Q59" i="19" s="1"/>
  <c r="J76" i="19"/>
  <c r="I82" i="19"/>
  <c r="I128" i="19" s="1"/>
  <c r="F72" i="19"/>
  <c r="F51" i="19"/>
  <c r="J72" i="19"/>
  <c r="F82" i="19"/>
  <c r="F128" i="19" s="1"/>
  <c r="F58" i="19"/>
  <c r="F81" i="19" s="1"/>
  <c r="F127" i="19" s="1"/>
  <c r="O83" i="19"/>
  <c r="O129" i="19" s="1"/>
  <c r="G83" i="19"/>
  <c r="G129" i="19" s="1"/>
  <c r="M82" i="19"/>
  <c r="M128" i="19" s="1"/>
  <c r="N72" i="19"/>
  <c r="L82" i="19"/>
  <c r="L128" i="19" s="1"/>
  <c r="G76" i="19"/>
  <c r="G80" i="19" s="1"/>
  <c r="N76" i="19"/>
  <c r="H25" i="19"/>
  <c r="P60" i="19"/>
  <c r="Q60" i="19" s="1"/>
  <c r="H76" i="19"/>
  <c r="N82" i="19"/>
  <c r="N128" i="19" s="1"/>
  <c r="N81" i="19"/>
  <c r="N127" i="19" s="1"/>
  <c r="K83" i="19"/>
  <c r="K129" i="19" s="1"/>
  <c r="M72" i="19"/>
  <c r="M118" i="19" s="1"/>
  <c r="M120" i="19" s="1"/>
  <c r="M25" i="19"/>
  <c r="M76" i="19"/>
  <c r="M80" i="19" s="1"/>
  <c r="G25" i="19"/>
  <c r="K25" i="19"/>
  <c r="G72" i="19"/>
  <c r="K76" i="19"/>
  <c r="P134" i="19"/>
  <c r="Q134" i="19" s="1"/>
  <c r="P88" i="19"/>
  <c r="Q88" i="19" s="1"/>
  <c r="K72" i="19"/>
  <c r="I25" i="19"/>
  <c r="H48" i="19" l="1"/>
  <c r="K48" i="19"/>
  <c r="O48" i="19"/>
  <c r="L74" i="19"/>
  <c r="L71" i="19" s="1"/>
  <c r="Q58" i="63"/>
  <c r="L48" i="19"/>
  <c r="P81" i="63"/>
  <c r="Q81" i="63" s="1"/>
  <c r="F127" i="63"/>
  <c r="P127" i="63"/>
  <c r="Q127" i="63" s="1"/>
  <c r="Q128" i="63"/>
  <c r="P130" i="63"/>
  <c r="Q130" i="63" s="1"/>
  <c r="G122" i="19"/>
  <c r="G126" i="19" s="1"/>
  <c r="I122" i="19"/>
  <c r="I126" i="19" s="1"/>
  <c r="I117" i="19" s="1"/>
  <c r="F48" i="19"/>
  <c r="O118" i="19"/>
  <c r="O120" i="19" s="1"/>
  <c r="L122" i="19"/>
  <c r="L126" i="19" s="1"/>
  <c r="L117" i="19" s="1"/>
  <c r="J48" i="19"/>
  <c r="G48" i="19"/>
  <c r="I74" i="19"/>
  <c r="I71" i="19" s="1"/>
  <c r="O122" i="19"/>
  <c r="O126" i="19" s="1"/>
  <c r="M122" i="19"/>
  <c r="M126" i="19" s="1"/>
  <c r="M117" i="19" s="1"/>
  <c r="H119" i="19"/>
  <c r="P73" i="19"/>
  <c r="Q73" i="19" s="1"/>
  <c r="H74" i="19"/>
  <c r="P128" i="19"/>
  <c r="Q128" i="19" s="1"/>
  <c r="P82" i="19"/>
  <c r="Q82" i="19" s="1"/>
  <c r="M74" i="19"/>
  <c r="M71" i="19" s="1"/>
  <c r="N48" i="19"/>
  <c r="F118" i="19"/>
  <c r="F120" i="19" s="1"/>
  <c r="F117" i="19" s="1"/>
  <c r="F74" i="19"/>
  <c r="F71" i="19" s="1"/>
  <c r="N80" i="19"/>
  <c r="N122" i="19"/>
  <c r="N126" i="19" s="1"/>
  <c r="P129" i="19"/>
  <c r="Q129" i="19" s="1"/>
  <c r="P83" i="19"/>
  <c r="Q83" i="19" s="1"/>
  <c r="J122" i="19"/>
  <c r="J126" i="19" s="1"/>
  <c r="J80" i="19"/>
  <c r="H122" i="19"/>
  <c r="H126" i="19" s="1"/>
  <c r="H80" i="19"/>
  <c r="P58" i="19"/>
  <c r="Q58" i="19" s="1"/>
  <c r="N118" i="19"/>
  <c r="N120" i="19" s="1"/>
  <c r="N74" i="19"/>
  <c r="J74" i="19"/>
  <c r="J118" i="19"/>
  <c r="J120" i="19" s="1"/>
  <c r="O71" i="19"/>
  <c r="K122" i="19"/>
  <c r="K126" i="19" s="1"/>
  <c r="K80" i="19"/>
  <c r="G118" i="19"/>
  <c r="G120" i="19" s="1"/>
  <c r="G74" i="19"/>
  <c r="G71" i="19" s="1"/>
  <c r="K118" i="19"/>
  <c r="K120" i="19" s="1"/>
  <c r="K74" i="19"/>
  <c r="G117" i="19" l="1"/>
  <c r="O117" i="19"/>
  <c r="P127" i="19"/>
  <c r="Q127" i="19" s="1"/>
  <c r="J117" i="19"/>
  <c r="H120" i="19"/>
  <c r="H117" i="19" s="1"/>
  <c r="P119" i="19"/>
  <c r="Q119" i="19" s="1"/>
  <c r="K117" i="19"/>
  <c r="N71" i="19"/>
  <c r="H71" i="19"/>
  <c r="P81" i="19"/>
  <c r="Q81" i="19" s="1"/>
  <c r="J71" i="19"/>
  <c r="N117" i="19"/>
  <c r="K71" i="19"/>
  <c r="N43" i="54" l="1"/>
  <c r="N28" i="54"/>
  <c r="N27" i="54"/>
  <c r="N26" i="54"/>
  <c r="M42" i="54"/>
  <c r="M44" i="54" s="1"/>
  <c r="D42" i="54"/>
  <c r="D44" i="54" s="1"/>
  <c r="E42" i="54"/>
  <c r="E44" i="54" s="1"/>
  <c r="F42" i="54"/>
  <c r="G42" i="54"/>
  <c r="G44" i="54" s="1"/>
  <c r="H42" i="54"/>
  <c r="H44" i="54" s="1"/>
  <c r="I42" i="54"/>
  <c r="I44" i="54" s="1"/>
  <c r="J42" i="54"/>
  <c r="J44" i="54" s="1"/>
  <c r="K42" i="54"/>
  <c r="K44" i="54" s="1"/>
  <c r="L42" i="54"/>
  <c r="L44" i="54" s="1"/>
  <c r="C42" i="54"/>
  <c r="C44" i="54" s="1"/>
  <c r="B42" i="54"/>
  <c r="B44" i="54" s="1"/>
  <c r="N44" i="54" s="1"/>
  <c r="N40" i="54"/>
  <c r="N39" i="54"/>
  <c r="N38" i="54"/>
  <c r="F44" i="54"/>
  <c r="N41" i="54"/>
  <c r="N37" i="54"/>
  <c r="N36" i="54"/>
  <c r="N35" i="54"/>
  <c r="N34" i="54"/>
  <c r="N33" i="54"/>
  <c r="N32" i="54"/>
  <c r="N31" i="54"/>
  <c r="N30" i="54"/>
  <c r="N29" i="54"/>
  <c r="N42" i="54" l="1"/>
  <c r="C271" i="53" l="1"/>
  <c r="C13" i="54" s="1"/>
  <c r="D271" i="53"/>
  <c r="D13" i="54" s="1"/>
  <c r="E271" i="53"/>
  <c r="E13" i="54" s="1"/>
  <c r="F271" i="53"/>
  <c r="F13" i="54" s="1"/>
  <c r="G271" i="53"/>
  <c r="G13" i="54" s="1"/>
  <c r="H271" i="53"/>
  <c r="H13" i="54" s="1"/>
  <c r="I271" i="53"/>
  <c r="I13" i="54" s="1"/>
  <c r="J271" i="53"/>
  <c r="J13" i="54" s="1"/>
  <c r="K271" i="53"/>
  <c r="K13" i="54" s="1"/>
  <c r="L271" i="53"/>
  <c r="L13" i="54" s="1"/>
  <c r="M271" i="53"/>
  <c r="M13" i="54" s="1"/>
  <c r="C272" i="53"/>
  <c r="C14" i="54" s="1"/>
  <c r="D272" i="53"/>
  <c r="D14" i="54" s="1"/>
  <c r="E272" i="53"/>
  <c r="E14" i="54" s="1"/>
  <c r="F272" i="53"/>
  <c r="F14" i="54" s="1"/>
  <c r="G272" i="53"/>
  <c r="G14" i="54" s="1"/>
  <c r="H272" i="53"/>
  <c r="H14" i="54" s="1"/>
  <c r="I272" i="53"/>
  <c r="I14" i="54" s="1"/>
  <c r="J272" i="53"/>
  <c r="J14" i="54" s="1"/>
  <c r="K272" i="53"/>
  <c r="K14" i="54" s="1"/>
  <c r="L272" i="53"/>
  <c r="L14" i="54" s="1"/>
  <c r="M272" i="53"/>
  <c r="M14" i="54" s="1"/>
  <c r="C273" i="53"/>
  <c r="C15" i="54" s="1"/>
  <c r="D273" i="53"/>
  <c r="D15" i="54" s="1"/>
  <c r="E273" i="53"/>
  <c r="E15" i="54" s="1"/>
  <c r="F273" i="53"/>
  <c r="F15" i="54" s="1"/>
  <c r="G273" i="53"/>
  <c r="G15" i="54" s="1"/>
  <c r="H273" i="53"/>
  <c r="H15" i="54" s="1"/>
  <c r="I273" i="53"/>
  <c r="I15" i="54" s="1"/>
  <c r="J273" i="53"/>
  <c r="J15" i="54" s="1"/>
  <c r="K273" i="53"/>
  <c r="K15" i="54" s="1"/>
  <c r="L273" i="53"/>
  <c r="L15" i="54" s="1"/>
  <c r="M273" i="53"/>
  <c r="M15" i="54" s="1"/>
  <c r="C274" i="53"/>
  <c r="C16" i="54" s="1"/>
  <c r="D274" i="53"/>
  <c r="D16" i="54" s="1"/>
  <c r="E274" i="53"/>
  <c r="E16" i="54" s="1"/>
  <c r="F274" i="53"/>
  <c r="F16" i="54" s="1"/>
  <c r="G274" i="53"/>
  <c r="G16" i="54" s="1"/>
  <c r="H274" i="53"/>
  <c r="H16" i="54" s="1"/>
  <c r="I274" i="53"/>
  <c r="I16" i="54" s="1"/>
  <c r="J274" i="53"/>
  <c r="J16" i="54" s="1"/>
  <c r="K274" i="53"/>
  <c r="K16" i="54" s="1"/>
  <c r="L274" i="53"/>
  <c r="L16" i="54" s="1"/>
  <c r="M274" i="53"/>
  <c r="M16" i="54" s="1"/>
  <c r="B272" i="53"/>
  <c r="B273" i="53"/>
  <c r="B274" i="53"/>
  <c r="B16" i="54" s="1"/>
  <c r="B271" i="53"/>
  <c r="N197" i="53"/>
  <c r="N196" i="53"/>
  <c r="N195" i="53"/>
  <c r="N194" i="53"/>
  <c r="B139" i="53"/>
  <c r="C149" i="53"/>
  <c r="C5" i="54" s="1"/>
  <c r="D149" i="53"/>
  <c r="D5" i="54" s="1"/>
  <c r="E149" i="53"/>
  <c r="E5" i="54" s="1"/>
  <c r="F149" i="53"/>
  <c r="F5" i="54" s="1"/>
  <c r="G149" i="53"/>
  <c r="G5" i="54" s="1"/>
  <c r="H149" i="53"/>
  <c r="H5" i="54" s="1"/>
  <c r="I149" i="53"/>
  <c r="I5" i="54" s="1"/>
  <c r="J149" i="53"/>
  <c r="J5" i="54" s="1"/>
  <c r="K149" i="53"/>
  <c r="K5" i="54" s="1"/>
  <c r="L149" i="53"/>
  <c r="L5" i="54" s="1"/>
  <c r="M149" i="53"/>
  <c r="M5" i="54" s="1"/>
  <c r="C150" i="53"/>
  <c r="C6" i="54" s="1"/>
  <c r="D150" i="53"/>
  <c r="D6" i="54" s="1"/>
  <c r="E150" i="53"/>
  <c r="E6" i="54" s="1"/>
  <c r="F150" i="53"/>
  <c r="F6" i="54" s="1"/>
  <c r="G150" i="53"/>
  <c r="G6" i="54" s="1"/>
  <c r="H150" i="53"/>
  <c r="H6" i="54" s="1"/>
  <c r="I150" i="53"/>
  <c r="I6" i="54" s="1"/>
  <c r="J150" i="53"/>
  <c r="J6" i="54" s="1"/>
  <c r="K150" i="53"/>
  <c r="K6" i="54" s="1"/>
  <c r="L150" i="53"/>
  <c r="L6" i="54" s="1"/>
  <c r="M150" i="53"/>
  <c r="M6" i="54" s="1"/>
  <c r="C151" i="53"/>
  <c r="C7" i="54" s="1"/>
  <c r="D151" i="53"/>
  <c r="D7" i="54" s="1"/>
  <c r="E151" i="53"/>
  <c r="E7" i="54" s="1"/>
  <c r="F151" i="53"/>
  <c r="F7" i="54" s="1"/>
  <c r="G151" i="53"/>
  <c r="G7" i="54" s="1"/>
  <c r="H151" i="53"/>
  <c r="H7" i="54" s="1"/>
  <c r="I151" i="53"/>
  <c r="I7" i="54" s="1"/>
  <c r="J151" i="53"/>
  <c r="J7" i="54" s="1"/>
  <c r="K151" i="53"/>
  <c r="K7" i="54" s="1"/>
  <c r="L151" i="53"/>
  <c r="L7" i="54" s="1"/>
  <c r="M151" i="53"/>
  <c r="M7" i="54" s="1"/>
  <c r="C152" i="53"/>
  <c r="C8" i="54" s="1"/>
  <c r="D152" i="53"/>
  <c r="D8" i="54" s="1"/>
  <c r="E152" i="53"/>
  <c r="E8" i="54" s="1"/>
  <c r="F152" i="53"/>
  <c r="F8" i="54" s="1"/>
  <c r="G152" i="53"/>
  <c r="G8" i="54" s="1"/>
  <c r="H152" i="53"/>
  <c r="H8" i="54" s="1"/>
  <c r="I152" i="53"/>
  <c r="I8" i="54" s="1"/>
  <c r="J152" i="53"/>
  <c r="J8" i="54" s="1"/>
  <c r="K152" i="53"/>
  <c r="K8" i="54" s="1"/>
  <c r="L152" i="53"/>
  <c r="L8" i="54" s="1"/>
  <c r="M152" i="53"/>
  <c r="M8" i="54" s="1"/>
  <c r="C153" i="53"/>
  <c r="C9" i="54" s="1"/>
  <c r="D153" i="53"/>
  <c r="D9" i="54" s="1"/>
  <c r="E153" i="53"/>
  <c r="E9" i="54" s="1"/>
  <c r="F153" i="53"/>
  <c r="F9" i="54" s="1"/>
  <c r="G153" i="53"/>
  <c r="G9" i="54" s="1"/>
  <c r="H153" i="53"/>
  <c r="H9" i="54" s="1"/>
  <c r="I153" i="53"/>
  <c r="I9" i="54" s="1"/>
  <c r="J153" i="53"/>
  <c r="J9" i="54" s="1"/>
  <c r="K153" i="53"/>
  <c r="K9" i="54" s="1"/>
  <c r="L153" i="53"/>
  <c r="L9" i="54" s="1"/>
  <c r="M153" i="53"/>
  <c r="M9" i="54" s="1"/>
  <c r="B150" i="53"/>
  <c r="B6" i="54" s="1"/>
  <c r="B151" i="53"/>
  <c r="B7" i="54" s="1"/>
  <c r="B152" i="53"/>
  <c r="B8" i="54" s="1"/>
  <c r="N8" i="54" s="1"/>
  <c r="B9" i="54"/>
  <c r="B149" i="53"/>
  <c r="N267" i="53"/>
  <c r="N266" i="53"/>
  <c r="N265" i="53"/>
  <c r="N264" i="53"/>
  <c r="N260" i="53"/>
  <c r="N259" i="53"/>
  <c r="N258" i="53"/>
  <c r="N257" i="53"/>
  <c r="N253" i="53"/>
  <c r="N252" i="53"/>
  <c r="N251" i="53"/>
  <c r="N250" i="53"/>
  <c r="N246" i="53"/>
  <c r="N245" i="53"/>
  <c r="N244" i="53"/>
  <c r="N243" i="53"/>
  <c r="N239" i="53"/>
  <c r="N238" i="53"/>
  <c r="N237" i="53"/>
  <c r="N236" i="53"/>
  <c r="N232" i="53"/>
  <c r="N231" i="53"/>
  <c r="N230" i="53"/>
  <c r="N229" i="53"/>
  <c r="N225" i="53"/>
  <c r="N224" i="53"/>
  <c r="N223" i="53"/>
  <c r="N222" i="53"/>
  <c r="N218" i="53"/>
  <c r="N217" i="53"/>
  <c r="N216" i="53"/>
  <c r="N215" i="53"/>
  <c r="N211" i="53"/>
  <c r="N210" i="53"/>
  <c r="N209" i="53"/>
  <c r="N208" i="53"/>
  <c r="N204" i="53"/>
  <c r="N203" i="53"/>
  <c r="N202" i="53"/>
  <c r="N201" i="53"/>
  <c r="N190" i="53"/>
  <c r="N189" i="53"/>
  <c r="N188" i="53"/>
  <c r="N187" i="53"/>
  <c r="N183" i="53"/>
  <c r="N182" i="53"/>
  <c r="N181" i="53"/>
  <c r="N180" i="53"/>
  <c r="N176" i="53"/>
  <c r="N175" i="53"/>
  <c r="N174" i="53"/>
  <c r="N173" i="53"/>
  <c r="N169" i="53"/>
  <c r="N168" i="53"/>
  <c r="N167" i="53"/>
  <c r="N166" i="53"/>
  <c r="N162" i="53"/>
  <c r="N161" i="53"/>
  <c r="N160" i="53"/>
  <c r="N159" i="53"/>
  <c r="N144" i="53"/>
  <c r="N143" i="53"/>
  <c r="N142" i="53"/>
  <c r="N141" i="53"/>
  <c r="N140" i="53"/>
  <c r="M139" i="53"/>
  <c r="L139" i="53"/>
  <c r="K139" i="53"/>
  <c r="J139" i="53"/>
  <c r="I139" i="53"/>
  <c r="H139" i="53"/>
  <c r="G139" i="53"/>
  <c r="F139" i="53"/>
  <c r="E139" i="53"/>
  <c r="D139" i="53"/>
  <c r="C139" i="53"/>
  <c r="N135" i="53"/>
  <c r="N134" i="53"/>
  <c r="N133" i="53"/>
  <c r="N132" i="53"/>
  <c r="N131" i="53"/>
  <c r="M130" i="53"/>
  <c r="L130" i="53"/>
  <c r="K130" i="53"/>
  <c r="J130" i="53"/>
  <c r="I130" i="53"/>
  <c r="H130" i="53"/>
  <c r="G130" i="53"/>
  <c r="F130" i="53"/>
  <c r="E130" i="53"/>
  <c r="D130" i="53"/>
  <c r="C130" i="53"/>
  <c r="B130" i="53"/>
  <c r="N126" i="53"/>
  <c r="N125" i="53"/>
  <c r="N124" i="53"/>
  <c r="N123" i="53"/>
  <c r="N122" i="53"/>
  <c r="N121" i="53" s="1"/>
  <c r="M121" i="53"/>
  <c r="L121" i="53"/>
  <c r="K121" i="53"/>
  <c r="J121" i="53"/>
  <c r="I121" i="53"/>
  <c r="H121" i="53"/>
  <c r="G121" i="53"/>
  <c r="F121" i="53"/>
  <c r="E121" i="53"/>
  <c r="D121" i="53"/>
  <c r="C121" i="53"/>
  <c r="B121" i="53"/>
  <c r="N117" i="53"/>
  <c r="N116" i="53"/>
  <c r="N115" i="53"/>
  <c r="N114" i="53"/>
  <c r="N113" i="53"/>
  <c r="M112" i="53"/>
  <c r="L112" i="53"/>
  <c r="K112" i="53"/>
  <c r="J112" i="53"/>
  <c r="I112" i="53"/>
  <c r="H112" i="53"/>
  <c r="G112" i="53"/>
  <c r="F112" i="53"/>
  <c r="E112" i="53"/>
  <c r="D112" i="53"/>
  <c r="C112" i="53"/>
  <c r="B112" i="53"/>
  <c r="N108" i="53"/>
  <c r="N107" i="53"/>
  <c r="N106" i="53"/>
  <c r="N105" i="53"/>
  <c r="N104" i="53"/>
  <c r="M103" i="53"/>
  <c r="L103" i="53"/>
  <c r="K103" i="53"/>
  <c r="J103" i="53"/>
  <c r="I103" i="53"/>
  <c r="H103" i="53"/>
  <c r="G103" i="53"/>
  <c r="F103" i="53"/>
  <c r="E103" i="53"/>
  <c r="D103" i="53"/>
  <c r="C103" i="53"/>
  <c r="B103" i="53"/>
  <c r="N99" i="53"/>
  <c r="N98" i="53"/>
  <c r="N97" i="53"/>
  <c r="N96" i="53"/>
  <c r="N95" i="53"/>
  <c r="M94" i="53"/>
  <c r="L94" i="53"/>
  <c r="K94" i="53"/>
  <c r="J94" i="53"/>
  <c r="I94" i="53"/>
  <c r="H94" i="53"/>
  <c r="G94" i="53"/>
  <c r="F94" i="53"/>
  <c r="E94" i="53"/>
  <c r="D94" i="53"/>
  <c r="C94" i="53"/>
  <c r="B94" i="53"/>
  <c r="N90" i="53"/>
  <c r="N89" i="53"/>
  <c r="N88" i="53"/>
  <c r="N87" i="53"/>
  <c r="N86" i="53"/>
  <c r="M85" i="53"/>
  <c r="L85" i="53"/>
  <c r="K85" i="53"/>
  <c r="J85" i="53"/>
  <c r="I85" i="53"/>
  <c r="H85" i="53"/>
  <c r="G85" i="53"/>
  <c r="F85" i="53"/>
  <c r="E85" i="53"/>
  <c r="D85" i="53"/>
  <c r="C85" i="53"/>
  <c r="B85" i="53"/>
  <c r="N81" i="53"/>
  <c r="N80" i="53"/>
  <c r="N79" i="53"/>
  <c r="N78" i="53"/>
  <c r="N77" i="53"/>
  <c r="M76" i="53"/>
  <c r="L76" i="53"/>
  <c r="K76" i="53"/>
  <c r="J76" i="53"/>
  <c r="I76" i="53"/>
  <c r="H76" i="53"/>
  <c r="G76" i="53"/>
  <c r="F76" i="53"/>
  <c r="E76" i="53"/>
  <c r="D76" i="53"/>
  <c r="C76" i="53"/>
  <c r="B76" i="53"/>
  <c r="N72" i="53"/>
  <c r="N71" i="53"/>
  <c r="N70" i="53"/>
  <c r="N69" i="53"/>
  <c r="N68" i="53"/>
  <c r="M67" i="53"/>
  <c r="L67" i="53"/>
  <c r="K67" i="53"/>
  <c r="J67" i="53"/>
  <c r="I67" i="53"/>
  <c r="H67" i="53"/>
  <c r="G67" i="53"/>
  <c r="F67" i="53"/>
  <c r="E67" i="53"/>
  <c r="D67" i="53"/>
  <c r="C67" i="53"/>
  <c r="B67" i="53"/>
  <c r="N63" i="53"/>
  <c r="N62" i="53"/>
  <c r="N61" i="53"/>
  <c r="N60" i="53"/>
  <c r="N59" i="53"/>
  <c r="M58" i="53"/>
  <c r="L58" i="53"/>
  <c r="K58" i="53"/>
  <c r="J58" i="53"/>
  <c r="I58" i="53"/>
  <c r="H58" i="53"/>
  <c r="G58" i="53"/>
  <c r="F58" i="53"/>
  <c r="E58" i="53"/>
  <c r="D58" i="53"/>
  <c r="C58" i="53"/>
  <c r="B58" i="53"/>
  <c r="N54" i="53"/>
  <c r="N53" i="53"/>
  <c r="N52" i="53"/>
  <c r="N51" i="53"/>
  <c r="N50" i="53"/>
  <c r="N49" i="53" s="1"/>
  <c r="M49" i="53"/>
  <c r="L49" i="53"/>
  <c r="K49" i="53"/>
  <c r="J49" i="53"/>
  <c r="I49" i="53"/>
  <c r="H49" i="53"/>
  <c r="G49" i="53"/>
  <c r="F49" i="53"/>
  <c r="E49" i="53"/>
  <c r="D49" i="53"/>
  <c r="C49" i="53"/>
  <c r="B49" i="53"/>
  <c r="N45" i="53"/>
  <c r="N44" i="53"/>
  <c r="N43" i="53"/>
  <c r="N42" i="53"/>
  <c r="N41" i="53"/>
  <c r="M40" i="53"/>
  <c r="L40" i="53"/>
  <c r="K40" i="53"/>
  <c r="J40" i="53"/>
  <c r="I40" i="53"/>
  <c r="H40" i="53"/>
  <c r="G40" i="53"/>
  <c r="F40" i="53"/>
  <c r="E40" i="53"/>
  <c r="D40" i="53"/>
  <c r="C40" i="53"/>
  <c r="B40" i="53"/>
  <c r="N36" i="53"/>
  <c r="N35" i="53"/>
  <c r="N34" i="53"/>
  <c r="N33" i="53"/>
  <c r="N32" i="53"/>
  <c r="M31" i="53"/>
  <c r="L31" i="53"/>
  <c r="K31" i="53"/>
  <c r="J31" i="53"/>
  <c r="I31" i="53"/>
  <c r="H31" i="53"/>
  <c r="G31" i="53"/>
  <c r="F31" i="53"/>
  <c r="E31" i="53"/>
  <c r="D31" i="53"/>
  <c r="C31" i="53"/>
  <c r="B31" i="53"/>
  <c r="N27" i="53"/>
  <c r="N26" i="53"/>
  <c r="N25" i="53"/>
  <c r="N24" i="53"/>
  <c r="N23" i="53"/>
  <c r="M22" i="53"/>
  <c r="L22" i="53"/>
  <c r="K22" i="53"/>
  <c r="J22" i="53"/>
  <c r="I22" i="53"/>
  <c r="H22" i="53"/>
  <c r="G22" i="53"/>
  <c r="F22" i="53"/>
  <c r="E22" i="53"/>
  <c r="D22" i="53"/>
  <c r="C22" i="53"/>
  <c r="B22" i="53"/>
  <c r="N18" i="53"/>
  <c r="N17" i="53"/>
  <c r="N16" i="53"/>
  <c r="N15" i="53"/>
  <c r="N14" i="53"/>
  <c r="N13" i="53" s="1"/>
  <c r="M13" i="53"/>
  <c r="L13" i="53"/>
  <c r="K13" i="53"/>
  <c r="J13" i="53"/>
  <c r="I13" i="53"/>
  <c r="H13" i="53"/>
  <c r="G13" i="53"/>
  <c r="F13" i="53"/>
  <c r="E13" i="53"/>
  <c r="D13" i="53"/>
  <c r="C13" i="53"/>
  <c r="B13" i="53"/>
  <c r="N9" i="53"/>
  <c r="N8" i="53"/>
  <c r="N7" i="53"/>
  <c r="N6" i="53"/>
  <c r="N5" i="53"/>
  <c r="M4" i="53"/>
  <c r="L4" i="53"/>
  <c r="K4" i="53"/>
  <c r="J4" i="53"/>
  <c r="I4" i="53"/>
  <c r="H4" i="53"/>
  <c r="G4" i="53"/>
  <c r="F4" i="53"/>
  <c r="E4" i="53"/>
  <c r="D4" i="53"/>
  <c r="C4" i="53"/>
  <c r="B4" i="53"/>
  <c r="L4" i="54" l="1"/>
  <c r="N85" i="53"/>
  <c r="N103" i="53"/>
  <c r="N139" i="53"/>
  <c r="N7" i="54"/>
  <c r="K4" i="54"/>
  <c r="G4" i="54"/>
  <c r="C4" i="54"/>
  <c r="N273" i="53"/>
  <c r="B15" i="54"/>
  <c r="N15" i="54" s="1"/>
  <c r="N149" i="53"/>
  <c r="B5" i="54"/>
  <c r="N5" i="54" s="1"/>
  <c r="N6" i="54"/>
  <c r="J4" i="54"/>
  <c r="F4" i="54"/>
  <c r="N272" i="53"/>
  <c r="B14" i="54"/>
  <c r="N14" i="54" s="1"/>
  <c r="H4" i="54"/>
  <c r="D4" i="54"/>
  <c r="N16" i="54"/>
  <c r="N58" i="53"/>
  <c r="N31" i="53"/>
  <c r="M4" i="54"/>
  <c r="I4" i="54"/>
  <c r="E4" i="54"/>
  <c r="N271" i="53"/>
  <c r="B13" i="54"/>
  <c r="N13" i="54" s="1"/>
  <c r="N274" i="53"/>
  <c r="N9" i="54"/>
  <c r="N22" i="53"/>
  <c r="N76" i="53"/>
  <c r="N130" i="53"/>
  <c r="N4" i="53"/>
  <c r="N67" i="53"/>
  <c r="N112" i="53"/>
  <c r="F148" i="53"/>
  <c r="I148" i="53"/>
  <c r="L148" i="53"/>
  <c r="B148" i="53"/>
  <c r="N40" i="53"/>
  <c r="M148" i="53"/>
  <c r="D148" i="53"/>
  <c r="C148" i="53"/>
  <c r="N152" i="53"/>
  <c r="N151" i="53"/>
  <c r="E148" i="53"/>
  <c r="H148" i="53"/>
  <c r="K148" i="53"/>
  <c r="G148" i="53"/>
  <c r="J148" i="53"/>
  <c r="N153" i="53"/>
  <c r="N94" i="53"/>
  <c r="N150" i="53"/>
  <c r="B4" i="54" l="1"/>
  <c r="N4" i="54"/>
  <c r="N148" i="53"/>
  <c r="E51" i="48" l="1"/>
  <c r="C70" i="46" l="1"/>
  <c r="C69" i="46"/>
  <c r="C60" i="46"/>
  <c r="C63" i="46"/>
  <c r="C64" i="46"/>
  <c r="C65" i="46"/>
  <c r="O120" i="46"/>
  <c r="N120" i="46"/>
  <c r="M120" i="46"/>
  <c r="L120" i="46"/>
  <c r="K120" i="46"/>
  <c r="J120" i="46"/>
  <c r="I120" i="46"/>
  <c r="H120" i="46"/>
  <c r="G120" i="46"/>
  <c r="F120" i="46"/>
  <c r="E120" i="46"/>
  <c r="D120" i="46"/>
  <c r="C120" i="46"/>
  <c r="P99" i="46"/>
  <c r="P76" i="46"/>
  <c r="P53" i="46"/>
  <c r="A2" i="43"/>
  <c r="C2" i="43"/>
  <c r="A3" i="43"/>
  <c r="O184" i="26"/>
  <c r="G184" i="26"/>
  <c r="H184" i="26"/>
  <c r="I184" i="26"/>
  <c r="J184" i="26"/>
  <c r="K184" i="26"/>
  <c r="L184" i="26"/>
  <c r="M184" i="26"/>
  <c r="N184" i="26"/>
  <c r="F184" i="26"/>
  <c r="E184" i="26"/>
  <c r="D184" i="26"/>
  <c r="C71" i="46" l="1"/>
  <c r="C68" i="46"/>
  <c r="P173" i="29" l="1"/>
  <c r="P172" i="29"/>
  <c r="Q171" i="29"/>
  <c r="P171" i="29"/>
  <c r="P170" i="29"/>
  <c r="P169" i="29"/>
  <c r="P168" i="29"/>
  <c r="P167" i="29"/>
  <c r="P166" i="29"/>
  <c r="P165" i="29"/>
  <c r="P164" i="29"/>
  <c r="P163" i="29"/>
  <c r="Q163" i="29" s="1"/>
  <c r="P162" i="29"/>
  <c r="P161" i="29"/>
  <c r="P160" i="29"/>
  <c r="P159" i="29"/>
  <c r="P158" i="29"/>
  <c r="P157" i="29"/>
  <c r="P156" i="29"/>
  <c r="P155" i="29"/>
  <c r="Q155" i="29" s="1"/>
  <c r="P154" i="29"/>
  <c r="P153" i="29"/>
  <c r="P152" i="29"/>
  <c r="P151" i="29"/>
  <c r="P150" i="29"/>
  <c r="P149" i="29"/>
  <c r="P148" i="29"/>
  <c r="P147" i="29"/>
  <c r="Q147" i="29" s="1"/>
  <c r="P146" i="29"/>
  <c r="P145" i="29"/>
  <c r="P144" i="29"/>
  <c r="P143" i="29"/>
  <c r="P142" i="29"/>
  <c r="C140" i="29" s="1"/>
  <c r="C184" i="29" s="1"/>
  <c r="P141" i="29"/>
  <c r="O140" i="29"/>
  <c r="O184" i="29" s="1"/>
  <c r="N140" i="29"/>
  <c r="N184" i="29" s="1"/>
  <c r="M140" i="29"/>
  <c r="M184" i="29" s="1"/>
  <c r="L140" i="29"/>
  <c r="L184" i="29" s="1"/>
  <c r="K140" i="29"/>
  <c r="K184" i="29" s="1"/>
  <c r="J140" i="29"/>
  <c r="J184" i="29" s="1"/>
  <c r="I140" i="29"/>
  <c r="I184" i="29" s="1"/>
  <c r="H140" i="29"/>
  <c r="H184" i="29" s="1"/>
  <c r="G140" i="29"/>
  <c r="G184" i="29" s="1"/>
  <c r="F140" i="29"/>
  <c r="F184" i="29" s="1"/>
  <c r="E140" i="29"/>
  <c r="E184" i="29" s="1"/>
  <c r="D140" i="29"/>
  <c r="D184" i="29" s="1"/>
  <c r="B140" i="29"/>
  <c r="B184" i="29" s="1"/>
  <c r="O111" i="29"/>
  <c r="N111" i="29"/>
  <c r="M111" i="29"/>
  <c r="L111" i="29"/>
  <c r="K111" i="29"/>
  <c r="J111" i="29"/>
  <c r="I111" i="29"/>
  <c r="H111" i="29"/>
  <c r="G111" i="29"/>
  <c r="F111" i="29"/>
  <c r="E111" i="29"/>
  <c r="D111" i="29"/>
  <c r="C111" i="29"/>
  <c r="B111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C105" i="29"/>
  <c r="B105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D100" i="29"/>
  <c r="B100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P89" i="29"/>
  <c r="P66" i="29"/>
  <c r="C61" i="29"/>
  <c r="B61" i="29"/>
  <c r="C58" i="29"/>
  <c r="B58" i="29"/>
  <c r="C57" i="29"/>
  <c r="B57" i="29"/>
  <c r="C51" i="29"/>
  <c r="B51" i="29"/>
  <c r="P43" i="29"/>
  <c r="B42" i="29"/>
  <c r="B39" i="29"/>
  <c r="B85" i="29" s="1"/>
  <c r="B131" i="29" s="1"/>
  <c r="C37" i="29"/>
  <c r="C83" i="29" s="1"/>
  <c r="B37" i="29"/>
  <c r="C36" i="29"/>
  <c r="C82" i="29" s="1"/>
  <c r="B36" i="29"/>
  <c r="C33" i="29"/>
  <c r="B33" i="29"/>
  <c r="C78" i="29"/>
  <c r="B78" i="29"/>
  <c r="C31" i="29"/>
  <c r="B31" i="29"/>
  <c r="C76" i="29"/>
  <c r="B76" i="29"/>
  <c r="C75" i="29"/>
  <c r="B75" i="29"/>
  <c r="C27" i="29"/>
  <c r="C73" i="29" s="1"/>
  <c r="B27" i="29"/>
  <c r="C72" i="29"/>
  <c r="B184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O109" i="26"/>
  <c r="N109" i="26"/>
  <c r="M109" i="26"/>
  <c r="L109" i="26"/>
  <c r="K109" i="26"/>
  <c r="J109" i="26"/>
  <c r="I109" i="26"/>
  <c r="H109" i="26"/>
  <c r="G109" i="26"/>
  <c r="F109" i="26"/>
  <c r="E109" i="26"/>
  <c r="D109" i="26"/>
  <c r="C109" i="26"/>
  <c r="B109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O105" i="26"/>
  <c r="N105" i="26"/>
  <c r="M105" i="26"/>
  <c r="L105" i="26"/>
  <c r="K105" i="26"/>
  <c r="J105" i="26"/>
  <c r="I105" i="26"/>
  <c r="H105" i="26"/>
  <c r="G105" i="26"/>
  <c r="F105" i="26"/>
  <c r="E105" i="26"/>
  <c r="D105" i="26"/>
  <c r="C105" i="26"/>
  <c r="B105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O98" i="26"/>
  <c r="N98" i="26"/>
  <c r="M98" i="26"/>
  <c r="L98" i="26"/>
  <c r="K98" i="26"/>
  <c r="J98" i="26"/>
  <c r="I98" i="26"/>
  <c r="H98" i="26"/>
  <c r="G98" i="26"/>
  <c r="F98" i="26"/>
  <c r="E98" i="26"/>
  <c r="D98" i="26"/>
  <c r="C98" i="26"/>
  <c r="B98" i="26"/>
  <c r="O96" i="26"/>
  <c r="N96" i="26"/>
  <c r="M96" i="26"/>
  <c r="L96" i="26"/>
  <c r="K96" i="26"/>
  <c r="J96" i="26"/>
  <c r="I96" i="26"/>
  <c r="H96" i="26"/>
  <c r="G96" i="26"/>
  <c r="F96" i="26"/>
  <c r="E96" i="26"/>
  <c r="D96" i="26"/>
  <c r="C96" i="26"/>
  <c r="B96" i="26"/>
  <c r="O95" i="26"/>
  <c r="N95" i="26"/>
  <c r="M95" i="26"/>
  <c r="L95" i="26"/>
  <c r="K95" i="26"/>
  <c r="J95" i="26"/>
  <c r="I95" i="26"/>
  <c r="H95" i="26"/>
  <c r="G95" i="26"/>
  <c r="F95" i="26"/>
  <c r="E95" i="26"/>
  <c r="D95" i="26"/>
  <c r="C95" i="26"/>
  <c r="B95" i="26"/>
  <c r="P89" i="26"/>
  <c r="P66" i="26"/>
  <c r="C61" i="26"/>
  <c r="B61" i="26"/>
  <c r="C58" i="26"/>
  <c r="B58" i="26"/>
  <c r="C57" i="26"/>
  <c r="B57" i="26"/>
  <c r="C51" i="26"/>
  <c r="B51" i="26"/>
  <c r="P43" i="26"/>
  <c r="B42" i="26"/>
  <c r="B88" i="26" s="1"/>
  <c r="B40" i="26"/>
  <c r="B86" i="26" s="1"/>
  <c r="B39" i="26"/>
  <c r="B85" i="26" s="1"/>
  <c r="C37" i="26"/>
  <c r="B37" i="26"/>
  <c r="B83" i="26" s="1"/>
  <c r="C36" i="26"/>
  <c r="C82" i="26" s="1"/>
  <c r="B36" i="26"/>
  <c r="B82" i="26" s="1"/>
  <c r="B128" i="26" s="1"/>
  <c r="C33" i="26"/>
  <c r="C79" i="26" s="1"/>
  <c r="B33" i="26"/>
  <c r="B79" i="26" s="1"/>
  <c r="B78" i="26"/>
  <c r="C31" i="26"/>
  <c r="C77" i="26" s="1"/>
  <c r="B31" i="26"/>
  <c r="B77" i="26" s="1"/>
  <c r="C29" i="26"/>
  <c r="C75" i="26" s="1"/>
  <c r="B29" i="26"/>
  <c r="B75" i="26" s="1"/>
  <c r="C27" i="26"/>
  <c r="C73" i="26" s="1"/>
  <c r="B27" i="26"/>
  <c r="B73" i="26" s="1"/>
  <c r="C26" i="26"/>
  <c r="C72" i="26" s="1"/>
  <c r="B26" i="26"/>
  <c r="B72" i="26" l="1"/>
  <c r="B74" i="26" s="1"/>
  <c r="B77" i="29"/>
  <c r="B79" i="29"/>
  <c r="B125" i="29" s="1"/>
  <c r="B83" i="29"/>
  <c r="B129" i="29" s="1"/>
  <c r="B73" i="29"/>
  <c r="B82" i="29"/>
  <c r="B88" i="29"/>
  <c r="B134" i="29" s="1"/>
  <c r="B86" i="29"/>
  <c r="B125" i="26"/>
  <c r="B128" i="29"/>
  <c r="B48" i="29"/>
  <c r="B67" i="29" s="1"/>
  <c r="B178" i="29" s="1"/>
  <c r="C125" i="26"/>
  <c r="C123" i="26"/>
  <c r="C79" i="29"/>
  <c r="R33" i="29"/>
  <c r="C77" i="29"/>
  <c r="C123" i="29" s="1"/>
  <c r="R31" i="29"/>
  <c r="C48" i="26"/>
  <c r="C67" i="26" s="1"/>
  <c r="C178" i="26" s="1"/>
  <c r="C121" i="26"/>
  <c r="C118" i="26"/>
  <c r="B121" i="26"/>
  <c r="P184" i="26"/>
  <c r="B48" i="26"/>
  <c r="B72" i="29"/>
  <c r="B118" i="29" s="1"/>
  <c r="D104" i="29"/>
  <c r="H104" i="29"/>
  <c r="L104" i="29"/>
  <c r="H107" i="29"/>
  <c r="L107" i="29"/>
  <c r="B107" i="26"/>
  <c r="F107" i="26"/>
  <c r="J107" i="26"/>
  <c r="N107" i="26"/>
  <c r="E104" i="29"/>
  <c r="H104" i="26"/>
  <c r="L104" i="26"/>
  <c r="C104" i="26"/>
  <c r="K104" i="26"/>
  <c r="M107" i="26"/>
  <c r="E97" i="26"/>
  <c r="I97" i="26"/>
  <c r="M97" i="26"/>
  <c r="C97" i="26"/>
  <c r="G103" i="26"/>
  <c r="K103" i="26"/>
  <c r="O103" i="26"/>
  <c r="F104" i="26"/>
  <c r="N104" i="26"/>
  <c r="E107" i="26"/>
  <c r="G104" i="26"/>
  <c r="O104" i="26"/>
  <c r="I107" i="26"/>
  <c r="M104" i="29"/>
  <c r="G107" i="29"/>
  <c r="O107" i="29"/>
  <c r="P105" i="26"/>
  <c r="Q105" i="26" s="1"/>
  <c r="B104" i="26"/>
  <c r="J104" i="26"/>
  <c r="B107" i="29"/>
  <c r="C103" i="26"/>
  <c r="C128" i="29"/>
  <c r="F107" i="29"/>
  <c r="B132" i="26"/>
  <c r="C121" i="29"/>
  <c r="C125" i="29"/>
  <c r="H107" i="26"/>
  <c r="L107" i="26"/>
  <c r="J107" i="29"/>
  <c r="N107" i="29"/>
  <c r="B38" i="26"/>
  <c r="B84" i="26" s="1"/>
  <c r="P109" i="26"/>
  <c r="Q109" i="26" s="1"/>
  <c r="D107" i="26"/>
  <c r="P111" i="29"/>
  <c r="Q111" i="29" s="1"/>
  <c r="P108" i="29"/>
  <c r="Q108" i="29" s="1"/>
  <c r="C83" i="26"/>
  <c r="C129" i="26" s="1"/>
  <c r="C35" i="26"/>
  <c r="C81" i="26" s="1"/>
  <c r="C127" i="26" s="1"/>
  <c r="C128" i="26"/>
  <c r="E104" i="26"/>
  <c r="I104" i="26"/>
  <c r="M104" i="26"/>
  <c r="C107" i="26"/>
  <c r="G107" i="26"/>
  <c r="K107" i="26"/>
  <c r="O107" i="26"/>
  <c r="I104" i="29"/>
  <c r="E107" i="29"/>
  <c r="I107" i="29"/>
  <c r="M107" i="29"/>
  <c r="C107" i="29"/>
  <c r="K107" i="29"/>
  <c r="C124" i="26"/>
  <c r="D97" i="26"/>
  <c r="H97" i="26"/>
  <c r="L97" i="26"/>
  <c r="P98" i="26"/>
  <c r="Q98" i="26" s="1"/>
  <c r="F103" i="26"/>
  <c r="J103" i="26"/>
  <c r="B121" i="29"/>
  <c r="B123" i="29"/>
  <c r="B97" i="26"/>
  <c r="F97" i="26"/>
  <c r="J97" i="26"/>
  <c r="N97" i="26"/>
  <c r="P96" i="26"/>
  <c r="Q96" i="26" s="1"/>
  <c r="D103" i="26"/>
  <c r="H103" i="26"/>
  <c r="L103" i="26"/>
  <c r="P101" i="26"/>
  <c r="Q101" i="26" s="1"/>
  <c r="D104" i="26"/>
  <c r="P106" i="26"/>
  <c r="Q106" i="26" s="1"/>
  <c r="P108" i="26"/>
  <c r="Q108" i="26" s="1"/>
  <c r="P111" i="26"/>
  <c r="Q111" i="26" s="1"/>
  <c r="P102" i="26"/>
  <c r="Q102" i="26" s="1"/>
  <c r="B119" i="26"/>
  <c r="B124" i="26"/>
  <c r="B35" i="26"/>
  <c r="B81" i="26" s="1"/>
  <c r="B129" i="26"/>
  <c r="B131" i="26"/>
  <c r="B134" i="26"/>
  <c r="G97" i="26"/>
  <c r="K97" i="26"/>
  <c r="O97" i="26"/>
  <c r="E103" i="26"/>
  <c r="I103" i="26"/>
  <c r="M103" i="26"/>
  <c r="B119" i="29"/>
  <c r="B124" i="29"/>
  <c r="C48" i="29"/>
  <c r="C67" i="29" s="1"/>
  <c r="C178" i="29" s="1"/>
  <c r="K97" i="29"/>
  <c r="O97" i="29"/>
  <c r="E103" i="29"/>
  <c r="I103" i="29"/>
  <c r="M103" i="29"/>
  <c r="C104" i="29"/>
  <c r="G104" i="29"/>
  <c r="K104" i="29"/>
  <c r="O104" i="29"/>
  <c r="Q141" i="29"/>
  <c r="Q149" i="29"/>
  <c r="Q157" i="29"/>
  <c r="Q165" i="29"/>
  <c r="Q173" i="29"/>
  <c r="Q145" i="29"/>
  <c r="Q153" i="29"/>
  <c r="Q161" i="29"/>
  <c r="Q169" i="29"/>
  <c r="C124" i="29"/>
  <c r="C129" i="29"/>
  <c r="B97" i="29"/>
  <c r="F97" i="29"/>
  <c r="J97" i="29"/>
  <c r="N97" i="29"/>
  <c r="D103" i="29"/>
  <c r="H103" i="29"/>
  <c r="L103" i="29"/>
  <c r="P101" i="29"/>
  <c r="Q101" i="29" s="1"/>
  <c r="B104" i="29"/>
  <c r="F104" i="29"/>
  <c r="J104" i="29"/>
  <c r="N104" i="29"/>
  <c r="P106" i="29"/>
  <c r="Q106" i="29" s="1"/>
  <c r="Q143" i="29"/>
  <c r="Q151" i="29"/>
  <c r="Q159" i="29"/>
  <c r="Q167" i="29"/>
  <c r="C35" i="29"/>
  <c r="C81" i="29" s="1"/>
  <c r="I97" i="29"/>
  <c r="M97" i="29"/>
  <c r="C103" i="29"/>
  <c r="G103" i="29"/>
  <c r="K103" i="29"/>
  <c r="O103" i="29"/>
  <c r="B132" i="29"/>
  <c r="B130" i="29" s="1"/>
  <c r="B35" i="29"/>
  <c r="B81" i="29" s="1"/>
  <c r="D97" i="29"/>
  <c r="H97" i="29"/>
  <c r="L97" i="29"/>
  <c r="P98" i="29"/>
  <c r="Q98" i="29" s="1"/>
  <c r="B103" i="29"/>
  <c r="F103" i="29"/>
  <c r="P102" i="29"/>
  <c r="Q102" i="29" s="1"/>
  <c r="P105" i="29"/>
  <c r="Q105" i="29" s="1"/>
  <c r="D107" i="29"/>
  <c r="P109" i="29"/>
  <c r="Q109" i="29" s="1"/>
  <c r="P140" i="29"/>
  <c r="P184" i="29" s="1"/>
  <c r="Q184" i="29" s="1"/>
  <c r="Q142" i="29"/>
  <c r="Q144" i="29"/>
  <c r="Q146" i="29"/>
  <c r="Q148" i="29"/>
  <c r="Q150" i="29"/>
  <c r="Q152" i="29"/>
  <c r="Q154" i="29"/>
  <c r="Q156" i="29"/>
  <c r="Q158" i="29"/>
  <c r="Q160" i="29"/>
  <c r="Q162" i="29"/>
  <c r="Q164" i="29"/>
  <c r="Q166" i="29"/>
  <c r="Q168" i="29"/>
  <c r="Q170" i="29"/>
  <c r="Q172" i="29"/>
  <c r="C118" i="29"/>
  <c r="C97" i="29"/>
  <c r="J103" i="29"/>
  <c r="N103" i="29"/>
  <c r="P100" i="29"/>
  <c r="Q100" i="29" s="1"/>
  <c r="C119" i="29"/>
  <c r="C74" i="29"/>
  <c r="C28" i="29"/>
  <c r="C122" i="29"/>
  <c r="C34" i="29"/>
  <c r="R34" i="29" s="1"/>
  <c r="B38" i="29"/>
  <c r="B84" i="29" s="1"/>
  <c r="B28" i="29"/>
  <c r="B122" i="29"/>
  <c r="B80" i="29"/>
  <c r="B34" i="29"/>
  <c r="G97" i="29"/>
  <c r="P96" i="29"/>
  <c r="Q96" i="29" s="1"/>
  <c r="E97" i="29"/>
  <c r="P95" i="29"/>
  <c r="Q95" i="29" s="1"/>
  <c r="P99" i="29"/>
  <c r="B123" i="26"/>
  <c r="N103" i="26"/>
  <c r="P100" i="26"/>
  <c r="Q100" i="26" s="1"/>
  <c r="B118" i="26"/>
  <c r="B28" i="26"/>
  <c r="B76" i="26"/>
  <c r="B99" i="26" s="1"/>
  <c r="C99" i="26" s="1"/>
  <c r="C99" i="63" s="1"/>
  <c r="B34" i="26"/>
  <c r="C119" i="26"/>
  <c r="C74" i="26"/>
  <c r="C28" i="26"/>
  <c r="C76" i="26"/>
  <c r="C34" i="26"/>
  <c r="P95" i="26"/>
  <c r="Q95" i="26" s="1"/>
  <c r="P99" i="26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P173" i="27"/>
  <c r="P172" i="27"/>
  <c r="P171" i="27"/>
  <c r="P170" i="27"/>
  <c r="P169" i="27"/>
  <c r="P168" i="27"/>
  <c r="P167" i="27"/>
  <c r="P166" i="27"/>
  <c r="P165" i="27"/>
  <c r="P164" i="27"/>
  <c r="P163" i="27"/>
  <c r="P162" i="27"/>
  <c r="P161" i="27"/>
  <c r="P160" i="27"/>
  <c r="P159" i="27"/>
  <c r="P158" i="27"/>
  <c r="P157" i="27"/>
  <c r="P156" i="27"/>
  <c r="P155" i="27"/>
  <c r="P154" i="27"/>
  <c r="P153" i="27"/>
  <c r="P152" i="27"/>
  <c r="P151" i="27"/>
  <c r="P150" i="27"/>
  <c r="P149" i="27"/>
  <c r="P148" i="27"/>
  <c r="P147" i="27"/>
  <c r="P146" i="27"/>
  <c r="P145" i="27"/>
  <c r="P144" i="27"/>
  <c r="P143" i="27"/>
  <c r="Q143" i="27" s="1"/>
  <c r="P142" i="27"/>
  <c r="P141" i="27"/>
  <c r="O140" i="27"/>
  <c r="O184" i="27" s="1"/>
  <c r="N140" i="27"/>
  <c r="N184" i="27" s="1"/>
  <c r="M140" i="27"/>
  <c r="M184" i="27" s="1"/>
  <c r="L140" i="27"/>
  <c r="L184" i="27" s="1"/>
  <c r="K140" i="27"/>
  <c r="K184" i="27" s="1"/>
  <c r="J140" i="27"/>
  <c r="J184" i="27" s="1"/>
  <c r="I140" i="27"/>
  <c r="I184" i="27" s="1"/>
  <c r="H140" i="27"/>
  <c r="H184" i="27" s="1"/>
  <c r="G140" i="27"/>
  <c r="G184" i="27" s="1"/>
  <c r="F140" i="27"/>
  <c r="F184" i="27" s="1"/>
  <c r="E140" i="27"/>
  <c r="E184" i="27" s="1"/>
  <c r="D140" i="27"/>
  <c r="D184" i="27" s="1"/>
  <c r="B184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O109" i="27"/>
  <c r="N109" i="27"/>
  <c r="M109" i="27"/>
  <c r="L109" i="27"/>
  <c r="K109" i="27"/>
  <c r="J109" i="27"/>
  <c r="I109" i="27"/>
  <c r="H109" i="27"/>
  <c r="G109" i="27"/>
  <c r="F109" i="27"/>
  <c r="E109" i="27"/>
  <c r="D109" i="27"/>
  <c r="C109" i="27"/>
  <c r="B109" i="27"/>
  <c r="B109" i="28" s="1"/>
  <c r="B119" i="46" s="1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O105" i="27"/>
  <c r="N105" i="27"/>
  <c r="M105" i="27"/>
  <c r="L105" i="27"/>
  <c r="K105" i="27"/>
  <c r="J105" i="27"/>
  <c r="I105" i="27"/>
  <c r="H105" i="27"/>
  <c r="G105" i="27"/>
  <c r="F105" i="27"/>
  <c r="E105" i="27"/>
  <c r="D105" i="27"/>
  <c r="C105" i="27"/>
  <c r="B105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O101" i="27"/>
  <c r="O101" i="63" s="1"/>
  <c r="N101" i="27"/>
  <c r="N101" i="63" s="1"/>
  <c r="M101" i="27"/>
  <c r="M101" i="63" s="1"/>
  <c r="L101" i="27"/>
  <c r="L101" i="63" s="1"/>
  <c r="K101" i="27"/>
  <c r="K101" i="63" s="1"/>
  <c r="J101" i="27"/>
  <c r="J101" i="63" s="1"/>
  <c r="I101" i="27"/>
  <c r="I101" i="63" s="1"/>
  <c r="H101" i="27"/>
  <c r="H101" i="63" s="1"/>
  <c r="G101" i="27"/>
  <c r="G101" i="63" s="1"/>
  <c r="F101" i="27"/>
  <c r="F101" i="63" s="1"/>
  <c r="E101" i="27"/>
  <c r="E101" i="63" s="1"/>
  <c r="D101" i="27"/>
  <c r="D101" i="63" s="1"/>
  <c r="C101" i="28"/>
  <c r="B101" i="27"/>
  <c r="O100" i="27"/>
  <c r="O100" i="63" s="1"/>
  <c r="N100" i="27"/>
  <c r="N100" i="63" s="1"/>
  <c r="M100" i="27"/>
  <c r="M100" i="63" s="1"/>
  <c r="L100" i="27"/>
  <c r="L100" i="63" s="1"/>
  <c r="K100" i="27"/>
  <c r="K100" i="63" s="1"/>
  <c r="J100" i="27"/>
  <c r="J100" i="63" s="1"/>
  <c r="I100" i="27"/>
  <c r="I100" i="63" s="1"/>
  <c r="H100" i="27"/>
  <c r="H100" i="63" s="1"/>
  <c r="G100" i="27"/>
  <c r="G100" i="63" s="1"/>
  <c r="F100" i="27"/>
  <c r="F100" i="63" s="1"/>
  <c r="E100" i="27"/>
  <c r="E100" i="63" s="1"/>
  <c r="D100" i="27"/>
  <c r="D100" i="63" s="1"/>
  <c r="C100" i="27"/>
  <c r="B100" i="27"/>
  <c r="B100" i="63" s="1"/>
  <c r="O99" i="27"/>
  <c r="O99" i="63" s="1"/>
  <c r="N99" i="27"/>
  <c r="N99" i="63" s="1"/>
  <c r="M99" i="27"/>
  <c r="M99" i="63" s="1"/>
  <c r="L99" i="27"/>
  <c r="L99" i="63" s="1"/>
  <c r="K99" i="27"/>
  <c r="K99" i="63" s="1"/>
  <c r="J99" i="27"/>
  <c r="J99" i="63" s="1"/>
  <c r="I99" i="27"/>
  <c r="I99" i="63" s="1"/>
  <c r="H99" i="27"/>
  <c r="H99" i="63" s="1"/>
  <c r="G99" i="27"/>
  <c r="G99" i="63" s="1"/>
  <c r="F99" i="27"/>
  <c r="F99" i="63" s="1"/>
  <c r="E99" i="27"/>
  <c r="E99" i="63" s="1"/>
  <c r="D99" i="27"/>
  <c r="D99" i="63" s="1"/>
  <c r="B99" i="63"/>
  <c r="O98" i="27"/>
  <c r="O98" i="63" s="1"/>
  <c r="N98" i="27"/>
  <c r="N98" i="63" s="1"/>
  <c r="M98" i="27"/>
  <c r="M98" i="63" s="1"/>
  <c r="L98" i="27"/>
  <c r="L98" i="63" s="1"/>
  <c r="K98" i="27"/>
  <c r="K98" i="63" s="1"/>
  <c r="J98" i="27"/>
  <c r="J98" i="63" s="1"/>
  <c r="I98" i="27"/>
  <c r="I98" i="63" s="1"/>
  <c r="H98" i="27"/>
  <c r="H98" i="63" s="1"/>
  <c r="G98" i="27"/>
  <c r="G98" i="63" s="1"/>
  <c r="F98" i="27"/>
  <c r="F98" i="63" s="1"/>
  <c r="E98" i="27"/>
  <c r="E98" i="63" s="1"/>
  <c r="D98" i="27"/>
  <c r="D98" i="63" s="1"/>
  <c r="C98" i="27"/>
  <c r="B98" i="27"/>
  <c r="O96" i="27"/>
  <c r="N96" i="27"/>
  <c r="M96" i="27"/>
  <c r="L96" i="27"/>
  <c r="K96" i="27"/>
  <c r="J96" i="27"/>
  <c r="I96" i="27"/>
  <c r="H96" i="27"/>
  <c r="G96" i="27"/>
  <c r="F96" i="27"/>
  <c r="E96" i="27"/>
  <c r="D96" i="27"/>
  <c r="C96" i="27"/>
  <c r="B96" i="27"/>
  <c r="O95" i="27"/>
  <c r="O95" i="63" s="1"/>
  <c r="O97" i="63" s="1"/>
  <c r="N95" i="27"/>
  <c r="N95" i="63" s="1"/>
  <c r="N97" i="63" s="1"/>
  <c r="M95" i="27"/>
  <c r="M95" i="63" s="1"/>
  <c r="M97" i="63" s="1"/>
  <c r="L95" i="27"/>
  <c r="L95" i="63" s="1"/>
  <c r="L97" i="63" s="1"/>
  <c r="K95" i="27"/>
  <c r="K95" i="63" s="1"/>
  <c r="K97" i="63" s="1"/>
  <c r="J95" i="27"/>
  <c r="J95" i="63" s="1"/>
  <c r="J97" i="63" s="1"/>
  <c r="I95" i="27"/>
  <c r="I95" i="63" s="1"/>
  <c r="I97" i="63" s="1"/>
  <c r="H95" i="27"/>
  <c r="H95" i="63" s="1"/>
  <c r="H97" i="63" s="1"/>
  <c r="G95" i="27"/>
  <c r="G95" i="63" s="1"/>
  <c r="F95" i="27"/>
  <c r="F95" i="63" s="1"/>
  <c r="F97" i="63" s="1"/>
  <c r="E95" i="27"/>
  <c r="E95" i="63" s="1"/>
  <c r="E97" i="63" s="1"/>
  <c r="D95" i="27"/>
  <c r="D95" i="63" s="1"/>
  <c r="D97" i="63" s="1"/>
  <c r="C95" i="27"/>
  <c r="B95" i="27"/>
  <c r="B95" i="28" s="1"/>
  <c r="B105" i="46" s="1"/>
  <c r="P89" i="27"/>
  <c r="P66" i="27"/>
  <c r="R66" i="63" s="1"/>
  <c r="C61" i="27"/>
  <c r="B61" i="27"/>
  <c r="C58" i="27"/>
  <c r="B58" i="27"/>
  <c r="B57" i="27"/>
  <c r="B48" i="27" s="1"/>
  <c r="C51" i="27"/>
  <c r="C48" i="27" s="1"/>
  <c r="P43" i="27"/>
  <c r="B42" i="27"/>
  <c r="B88" i="27" s="1"/>
  <c r="B40" i="27"/>
  <c r="B86" i="27" s="1"/>
  <c r="B39" i="27"/>
  <c r="B85" i="27" s="1"/>
  <c r="C37" i="27"/>
  <c r="C83" i="27" s="1"/>
  <c r="B37" i="27"/>
  <c r="B83" i="27" s="1"/>
  <c r="C36" i="27"/>
  <c r="C82" i="27" s="1"/>
  <c r="B36" i="27"/>
  <c r="B82" i="27" s="1"/>
  <c r="C33" i="27"/>
  <c r="C79" i="27" s="1"/>
  <c r="B33" i="27"/>
  <c r="B79" i="27" s="1"/>
  <c r="C78" i="27"/>
  <c r="C78" i="63" s="1"/>
  <c r="B32" i="27"/>
  <c r="B32" i="28" s="1"/>
  <c r="C31" i="27"/>
  <c r="B31" i="27"/>
  <c r="C29" i="27"/>
  <c r="C75" i="27" s="1"/>
  <c r="B29" i="27"/>
  <c r="B75" i="27" s="1"/>
  <c r="C27" i="27"/>
  <c r="C73" i="27" s="1"/>
  <c r="B27" i="27"/>
  <c r="B73" i="27" s="1"/>
  <c r="C26" i="27"/>
  <c r="C72" i="27" s="1"/>
  <c r="B26" i="27"/>
  <c r="B26" i="28" s="1"/>
  <c r="P173" i="25"/>
  <c r="P172" i="25"/>
  <c r="P171" i="25"/>
  <c r="P170" i="25"/>
  <c r="P169" i="25"/>
  <c r="P168" i="25"/>
  <c r="P167" i="25"/>
  <c r="P166" i="25"/>
  <c r="P165" i="25"/>
  <c r="P164" i="25"/>
  <c r="P163" i="25"/>
  <c r="P162" i="25"/>
  <c r="P161" i="25"/>
  <c r="P160" i="25"/>
  <c r="P159" i="25"/>
  <c r="P158" i="25"/>
  <c r="P157" i="25"/>
  <c r="P156" i="25"/>
  <c r="P155" i="25"/>
  <c r="P154" i="25"/>
  <c r="P153" i="25"/>
  <c r="P152" i="25"/>
  <c r="P151" i="25"/>
  <c r="P150" i="25"/>
  <c r="P149" i="25"/>
  <c r="P148" i="25"/>
  <c r="P147" i="25"/>
  <c r="P146" i="25"/>
  <c r="P145" i="25"/>
  <c r="P144" i="25"/>
  <c r="P143" i="25"/>
  <c r="P142" i="25"/>
  <c r="P141" i="25"/>
  <c r="O140" i="25"/>
  <c r="O184" i="25" s="1"/>
  <c r="N140" i="25"/>
  <c r="N184" i="25" s="1"/>
  <c r="M140" i="25"/>
  <c r="M184" i="25" s="1"/>
  <c r="L140" i="25"/>
  <c r="L184" i="25" s="1"/>
  <c r="K140" i="25"/>
  <c r="K184" i="25" s="1"/>
  <c r="J140" i="25"/>
  <c r="J184" i="25" s="1"/>
  <c r="I140" i="25"/>
  <c r="I184" i="25" s="1"/>
  <c r="H140" i="25"/>
  <c r="H184" i="25" s="1"/>
  <c r="G140" i="25"/>
  <c r="G184" i="25" s="1"/>
  <c r="F140" i="25"/>
  <c r="F184" i="25" s="1"/>
  <c r="E140" i="25"/>
  <c r="E184" i="25" s="1"/>
  <c r="D140" i="25"/>
  <c r="D184" i="25" s="1"/>
  <c r="B140" i="25"/>
  <c r="B184" i="25" s="1"/>
  <c r="C111" i="25"/>
  <c r="B111" i="25"/>
  <c r="B111" i="28" s="1"/>
  <c r="B121" i="46" s="1"/>
  <c r="B108" i="28"/>
  <c r="B118" i="46" s="1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O105" i="25"/>
  <c r="N105" i="25"/>
  <c r="M105" i="25"/>
  <c r="L105" i="25"/>
  <c r="K105" i="25"/>
  <c r="J105" i="25"/>
  <c r="I105" i="25"/>
  <c r="H105" i="25"/>
  <c r="G105" i="25"/>
  <c r="F105" i="25"/>
  <c r="E105" i="25"/>
  <c r="D105" i="25"/>
  <c r="C105" i="25"/>
  <c r="B105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D100" i="25"/>
  <c r="O98" i="25"/>
  <c r="N98" i="25"/>
  <c r="M98" i="25"/>
  <c r="L98" i="25"/>
  <c r="K98" i="25"/>
  <c r="J98" i="25"/>
  <c r="I98" i="25"/>
  <c r="H98" i="25"/>
  <c r="G98" i="25"/>
  <c r="F98" i="25"/>
  <c r="E98" i="25"/>
  <c r="D98" i="25"/>
  <c r="C98" i="25"/>
  <c r="B98" i="25"/>
  <c r="B98" i="28" s="1"/>
  <c r="B108" i="46" s="1"/>
  <c r="O96" i="25"/>
  <c r="N96" i="25"/>
  <c r="M96" i="25"/>
  <c r="L96" i="25"/>
  <c r="K96" i="25"/>
  <c r="J96" i="25"/>
  <c r="I96" i="25"/>
  <c r="H96" i="25"/>
  <c r="G96" i="25"/>
  <c r="F96" i="25"/>
  <c r="E96" i="25"/>
  <c r="D96" i="25"/>
  <c r="C96" i="25"/>
  <c r="B96" i="25"/>
  <c r="B96" i="28" s="1"/>
  <c r="B106" i="46" s="1"/>
  <c r="P89" i="25"/>
  <c r="P66" i="25"/>
  <c r="C61" i="25"/>
  <c r="B61" i="25"/>
  <c r="C58" i="25"/>
  <c r="B58" i="25"/>
  <c r="C57" i="25"/>
  <c r="B57" i="25"/>
  <c r="C51" i="25"/>
  <c r="B51" i="25"/>
  <c r="P43" i="25"/>
  <c r="B42" i="25"/>
  <c r="B88" i="25" s="1"/>
  <c r="B40" i="25"/>
  <c r="B86" i="25" s="1"/>
  <c r="C37" i="25"/>
  <c r="C83" i="25" s="1"/>
  <c r="B37" i="25"/>
  <c r="B83" i="25" s="1"/>
  <c r="C36" i="25"/>
  <c r="C82" i="25" s="1"/>
  <c r="B36" i="25"/>
  <c r="B82" i="25" s="1"/>
  <c r="C79" i="25"/>
  <c r="B33" i="25"/>
  <c r="B79" i="25" s="1"/>
  <c r="B78" i="25"/>
  <c r="C78" i="25" s="1"/>
  <c r="C77" i="25"/>
  <c r="B77" i="25"/>
  <c r="C76" i="25"/>
  <c r="C29" i="25"/>
  <c r="C75" i="25" s="1"/>
  <c r="B29" i="25"/>
  <c r="C27" i="25"/>
  <c r="B27" i="25"/>
  <c r="B73" i="25" s="1"/>
  <c r="C72" i="25"/>
  <c r="M111" i="25"/>
  <c r="L111" i="25"/>
  <c r="I111" i="25"/>
  <c r="H111" i="25"/>
  <c r="E111" i="25"/>
  <c r="D111" i="25"/>
  <c r="M109" i="25"/>
  <c r="L109" i="25"/>
  <c r="I109" i="25"/>
  <c r="H109" i="25"/>
  <c r="E109" i="25"/>
  <c r="D109" i="25"/>
  <c r="M108" i="25"/>
  <c r="L108" i="25"/>
  <c r="I108" i="25"/>
  <c r="H108" i="25"/>
  <c r="E108" i="25"/>
  <c r="D108" i="25"/>
  <c r="O95" i="25"/>
  <c r="N95" i="25"/>
  <c r="M95" i="25"/>
  <c r="L95" i="25"/>
  <c r="K95" i="25"/>
  <c r="J95" i="25"/>
  <c r="I95" i="25"/>
  <c r="H95" i="25"/>
  <c r="G95" i="25"/>
  <c r="F95" i="25"/>
  <c r="E95" i="25"/>
  <c r="D95" i="25"/>
  <c r="C97" i="36"/>
  <c r="C28" i="36"/>
  <c r="C99" i="28" l="1"/>
  <c r="B99" i="28"/>
  <c r="B109" i="46" s="1"/>
  <c r="B106" i="28"/>
  <c r="B116" i="46" s="1"/>
  <c r="B67" i="27"/>
  <c r="B178" i="27" s="1"/>
  <c r="C80" i="29"/>
  <c r="B100" i="28"/>
  <c r="B110" i="46" s="1"/>
  <c r="B103" i="26"/>
  <c r="B94" i="26" s="1"/>
  <c r="B113" i="26" s="1"/>
  <c r="B181" i="26" s="1"/>
  <c r="B102" i="28"/>
  <c r="B112" i="46" s="1"/>
  <c r="D103" i="63"/>
  <c r="D94" i="63" s="1"/>
  <c r="D113" i="63" s="1"/>
  <c r="D181" i="63" s="1"/>
  <c r="E103" i="63"/>
  <c r="E94" i="63" s="1"/>
  <c r="E113" i="63" s="1"/>
  <c r="E181" i="63" s="1"/>
  <c r="I103" i="63"/>
  <c r="I94" i="63" s="1"/>
  <c r="I113" i="63" s="1"/>
  <c r="I181" i="63" s="1"/>
  <c r="F103" i="63"/>
  <c r="F94" i="63" s="1"/>
  <c r="F113" i="63" s="1"/>
  <c r="F181" i="63" s="1"/>
  <c r="B105" i="28"/>
  <c r="B115" i="46" s="1"/>
  <c r="P98" i="63"/>
  <c r="Q98" i="63" s="1"/>
  <c r="P100" i="63"/>
  <c r="Q100" i="63" s="1"/>
  <c r="N103" i="63"/>
  <c r="N94" i="63" s="1"/>
  <c r="N113" i="63" s="1"/>
  <c r="N181" i="63" s="1"/>
  <c r="P95" i="63"/>
  <c r="Q95" i="63" s="1"/>
  <c r="G97" i="63"/>
  <c r="M103" i="63"/>
  <c r="M94" i="63" s="1"/>
  <c r="M113" i="63" s="1"/>
  <c r="M181" i="63" s="1"/>
  <c r="J103" i="63"/>
  <c r="J94" i="63" s="1"/>
  <c r="J113" i="63" s="1"/>
  <c r="J181" i="63" s="1"/>
  <c r="G103" i="63"/>
  <c r="P99" i="63"/>
  <c r="K103" i="63"/>
  <c r="K94" i="63" s="1"/>
  <c r="K113" i="63" s="1"/>
  <c r="K181" i="63" s="1"/>
  <c r="O103" i="63"/>
  <c r="O94" i="63" s="1"/>
  <c r="O113" i="63" s="1"/>
  <c r="O181" i="63" s="1"/>
  <c r="P101" i="63"/>
  <c r="Q101" i="63" s="1"/>
  <c r="H103" i="63"/>
  <c r="H94" i="63" s="1"/>
  <c r="H113" i="63" s="1"/>
  <c r="H181" i="63" s="1"/>
  <c r="L103" i="63"/>
  <c r="L94" i="63" s="1"/>
  <c r="L113" i="63" s="1"/>
  <c r="L181" i="63" s="1"/>
  <c r="B31" i="28"/>
  <c r="B41" i="46" s="1"/>
  <c r="B42" i="46"/>
  <c r="B78" i="28"/>
  <c r="B37" i="28"/>
  <c r="B83" i="28" s="1"/>
  <c r="Q141" i="27"/>
  <c r="P140" i="27"/>
  <c r="B36" i="28"/>
  <c r="B46" i="46" s="1"/>
  <c r="B92" i="46" s="1"/>
  <c r="B101" i="63"/>
  <c r="B101" i="28"/>
  <c r="B111" i="46" s="1"/>
  <c r="B40" i="28"/>
  <c r="B86" i="28" s="1"/>
  <c r="B132" i="28" s="1"/>
  <c r="B72" i="28"/>
  <c r="B36" i="46"/>
  <c r="B42" i="28"/>
  <c r="B52" i="46" s="1"/>
  <c r="B98" i="46" s="1"/>
  <c r="B144" i="46" s="1"/>
  <c r="B27" i="28"/>
  <c r="B37" i="46" s="1"/>
  <c r="B33" i="28"/>
  <c r="B43" i="46" s="1"/>
  <c r="B76" i="25"/>
  <c r="B122" i="25" s="1"/>
  <c r="B30" i="28"/>
  <c r="B73" i="28"/>
  <c r="B67" i="26"/>
  <c r="B178" i="26" s="1"/>
  <c r="B25" i="29"/>
  <c r="B85" i="25"/>
  <c r="B131" i="25" s="1"/>
  <c r="B39" i="28"/>
  <c r="B49" i="46" s="1"/>
  <c r="B75" i="25"/>
  <c r="B121" i="25" s="1"/>
  <c r="B29" i="28"/>
  <c r="B39" i="46" s="1"/>
  <c r="C129" i="25"/>
  <c r="C120" i="26"/>
  <c r="C111" i="28"/>
  <c r="C100" i="28"/>
  <c r="C100" i="63"/>
  <c r="C103" i="63" s="1"/>
  <c r="B77" i="27"/>
  <c r="B77" i="63" s="1"/>
  <c r="B31" i="63"/>
  <c r="C77" i="27"/>
  <c r="C77" i="63" s="1"/>
  <c r="C31" i="63"/>
  <c r="C34" i="63" s="1"/>
  <c r="B103" i="63"/>
  <c r="B94" i="63" s="1"/>
  <c r="B113" i="63" s="1"/>
  <c r="B181" i="63" s="1"/>
  <c r="B78" i="27"/>
  <c r="B78" i="63" s="1"/>
  <c r="B32" i="63"/>
  <c r="B76" i="27"/>
  <c r="C95" i="28"/>
  <c r="C98" i="28"/>
  <c r="C108" i="46" s="1"/>
  <c r="C102" i="28"/>
  <c r="C48" i="25"/>
  <c r="C67" i="25" s="1"/>
  <c r="C178" i="25" s="1"/>
  <c r="C96" i="28"/>
  <c r="D94" i="26"/>
  <c r="D113" i="26" s="1"/>
  <c r="D181" i="26" s="1"/>
  <c r="N94" i="29"/>
  <c r="N113" i="29" s="1"/>
  <c r="N181" i="29" s="1"/>
  <c r="C127" i="29"/>
  <c r="L103" i="25"/>
  <c r="C67" i="27"/>
  <c r="C178" i="27" s="1"/>
  <c r="B72" i="27"/>
  <c r="B74" i="27" s="1"/>
  <c r="B74" i="29"/>
  <c r="B71" i="29" s="1"/>
  <c r="B90" i="29" s="1"/>
  <c r="B72" i="25"/>
  <c r="B118" i="25" s="1"/>
  <c r="B35" i="25"/>
  <c r="B81" i="25" s="1"/>
  <c r="L104" i="27"/>
  <c r="B130" i="26"/>
  <c r="C94" i="26"/>
  <c r="I107" i="25"/>
  <c r="E94" i="26"/>
  <c r="E113" i="26" s="1"/>
  <c r="E181" i="26" s="1"/>
  <c r="B128" i="27"/>
  <c r="C104" i="27"/>
  <c r="G104" i="27"/>
  <c r="K104" i="27"/>
  <c r="O104" i="27"/>
  <c r="C107" i="27"/>
  <c r="G107" i="27"/>
  <c r="K107" i="27"/>
  <c r="O107" i="27"/>
  <c r="P104" i="26"/>
  <c r="Q104" i="26" s="1"/>
  <c r="N94" i="26"/>
  <c r="N113" i="26" s="1"/>
  <c r="N181" i="26" s="1"/>
  <c r="I94" i="26"/>
  <c r="I113" i="26" s="1"/>
  <c r="I181" i="26" s="1"/>
  <c r="G94" i="26"/>
  <c r="G113" i="26" s="1"/>
  <c r="G181" i="26" s="1"/>
  <c r="B127" i="26"/>
  <c r="H97" i="36"/>
  <c r="L97" i="36"/>
  <c r="G104" i="25"/>
  <c r="K104" i="25"/>
  <c r="O104" i="25"/>
  <c r="E104" i="25"/>
  <c r="I104" i="25"/>
  <c r="M104" i="25"/>
  <c r="O94" i="29"/>
  <c r="O113" i="29" s="1"/>
  <c r="O181" i="29" s="1"/>
  <c r="M94" i="26"/>
  <c r="M113" i="26" s="1"/>
  <c r="M181" i="26" s="1"/>
  <c r="K94" i="26"/>
  <c r="K113" i="26" s="1"/>
  <c r="K181" i="26" s="1"/>
  <c r="K97" i="27"/>
  <c r="B120" i="29"/>
  <c r="L94" i="29"/>
  <c r="L113" i="29" s="1"/>
  <c r="L181" i="29" s="1"/>
  <c r="O94" i="26"/>
  <c r="O113" i="26" s="1"/>
  <c r="O181" i="26" s="1"/>
  <c r="E103" i="36"/>
  <c r="M103" i="36"/>
  <c r="F97" i="25"/>
  <c r="J97" i="25"/>
  <c r="F97" i="36"/>
  <c r="J97" i="36"/>
  <c r="N97" i="36"/>
  <c r="B119" i="25"/>
  <c r="C118" i="27"/>
  <c r="D104" i="27"/>
  <c r="P95" i="36"/>
  <c r="I103" i="36"/>
  <c r="P100" i="36"/>
  <c r="N97" i="25"/>
  <c r="B121" i="27"/>
  <c r="B125" i="27"/>
  <c r="H94" i="26"/>
  <c r="H113" i="26" s="1"/>
  <c r="H181" i="26" s="1"/>
  <c r="G97" i="25"/>
  <c r="K97" i="25"/>
  <c r="O97" i="25"/>
  <c r="H104" i="27"/>
  <c r="F107" i="27"/>
  <c r="J94" i="29"/>
  <c r="J113" i="29" s="1"/>
  <c r="J181" i="29" s="1"/>
  <c r="C97" i="25"/>
  <c r="C121" i="27"/>
  <c r="C123" i="27"/>
  <c r="C123" i="63" s="1"/>
  <c r="C125" i="27"/>
  <c r="B97" i="27"/>
  <c r="F97" i="27"/>
  <c r="J97" i="27"/>
  <c r="N97" i="27"/>
  <c r="P96" i="27"/>
  <c r="Q96" i="27" s="1"/>
  <c r="C103" i="27"/>
  <c r="G103" i="27"/>
  <c r="K103" i="27"/>
  <c r="O103" i="27"/>
  <c r="C124" i="25"/>
  <c r="B119" i="27"/>
  <c r="E94" i="29"/>
  <c r="E113" i="29" s="1"/>
  <c r="E181" i="29" s="1"/>
  <c r="C126" i="29"/>
  <c r="F94" i="26"/>
  <c r="F113" i="26" s="1"/>
  <c r="F181" i="26" s="1"/>
  <c r="D94" i="29"/>
  <c r="D113" i="29" s="1"/>
  <c r="D181" i="29" s="1"/>
  <c r="E107" i="27"/>
  <c r="I107" i="27"/>
  <c r="M107" i="27"/>
  <c r="B38" i="27"/>
  <c r="B84" i="27" s="1"/>
  <c r="B129" i="25"/>
  <c r="C128" i="25"/>
  <c r="E97" i="36"/>
  <c r="I97" i="36"/>
  <c r="M97" i="36"/>
  <c r="I103" i="25"/>
  <c r="B132" i="25"/>
  <c r="G94" i="29"/>
  <c r="G113" i="29" s="1"/>
  <c r="G181" i="29" s="1"/>
  <c r="J94" i="26"/>
  <c r="J113" i="26" s="1"/>
  <c r="J181" i="26" s="1"/>
  <c r="C128" i="27"/>
  <c r="G97" i="27"/>
  <c r="O97" i="27"/>
  <c r="H103" i="27"/>
  <c r="L103" i="27"/>
  <c r="E104" i="27"/>
  <c r="I104" i="27"/>
  <c r="M104" i="27"/>
  <c r="C123" i="25"/>
  <c r="C125" i="25"/>
  <c r="B97" i="25"/>
  <c r="B97" i="28" s="1"/>
  <c r="B107" i="46" s="1"/>
  <c r="P96" i="25"/>
  <c r="Q96" i="25" s="1"/>
  <c r="B104" i="25"/>
  <c r="F104" i="25"/>
  <c r="J104" i="25"/>
  <c r="N104" i="25"/>
  <c r="P106" i="25"/>
  <c r="Q106" i="25" s="1"/>
  <c r="B107" i="25"/>
  <c r="B129" i="27"/>
  <c r="B132" i="27"/>
  <c r="B104" i="27"/>
  <c r="F104" i="27"/>
  <c r="J104" i="27"/>
  <c r="N104" i="27"/>
  <c r="B107" i="27"/>
  <c r="J107" i="27"/>
  <c r="N107" i="27"/>
  <c r="P109" i="27"/>
  <c r="Q109" i="27" s="1"/>
  <c r="B120" i="26"/>
  <c r="B127" i="29"/>
  <c r="L94" i="26"/>
  <c r="L113" i="26" s="1"/>
  <c r="L181" i="26" s="1"/>
  <c r="Q147" i="25"/>
  <c r="Q155" i="25"/>
  <c r="Q163" i="25"/>
  <c r="Q167" i="25"/>
  <c r="Q144" i="25"/>
  <c r="Q148" i="25"/>
  <c r="Q156" i="25"/>
  <c r="Q164" i="25"/>
  <c r="Q168" i="25"/>
  <c r="H97" i="25"/>
  <c r="L97" i="25"/>
  <c r="E97" i="25"/>
  <c r="I97" i="25"/>
  <c r="M97" i="25"/>
  <c r="C118" i="25"/>
  <c r="B123" i="25"/>
  <c r="B125" i="25"/>
  <c r="B128" i="25"/>
  <c r="B38" i="25"/>
  <c r="B84" i="25" s="1"/>
  <c r="B48" i="25"/>
  <c r="B67" i="25" s="1"/>
  <c r="B178" i="25" s="1"/>
  <c r="C103" i="25"/>
  <c r="C104" i="25"/>
  <c r="Q142" i="25"/>
  <c r="Q146" i="25"/>
  <c r="Q150" i="25"/>
  <c r="Q154" i="25"/>
  <c r="Q158" i="25"/>
  <c r="Q162" i="25"/>
  <c r="Q166" i="25"/>
  <c r="Q170" i="25"/>
  <c r="Q143" i="25"/>
  <c r="Q151" i="25"/>
  <c r="Q159" i="25"/>
  <c r="Q171" i="25"/>
  <c r="Q152" i="25"/>
  <c r="Q160" i="25"/>
  <c r="Q172" i="25"/>
  <c r="C121" i="25"/>
  <c r="C35" i="25"/>
  <c r="C81" i="25" s="1"/>
  <c r="P98" i="25"/>
  <c r="Q98" i="25" s="1"/>
  <c r="B103" i="25"/>
  <c r="P100" i="25"/>
  <c r="Q100" i="25" s="1"/>
  <c r="P102" i="25"/>
  <c r="Q102" i="25" s="1"/>
  <c r="P105" i="25"/>
  <c r="Q105" i="25" s="1"/>
  <c r="H104" i="25"/>
  <c r="L104" i="25"/>
  <c r="P140" i="25"/>
  <c r="P184" i="25" s="1"/>
  <c r="Q184" i="25" s="1"/>
  <c r="C140" i="25"/>
  <c r="C184" i="25" s="1"/>
  <c r="Q145" i="25"/>
  <c r="Q149" i="25"/>
  <c r="Q153" i="25"/>
  <c r="Q157" i="25"/>
  <c r="Q161" i="25"/>
  <c r="Q165" i="25"/>
  <c r="Q169" i="25"/>
  <c r="Q173" i="25"/>
  <c r="Q152" i="27"/>
  <c r="Q160" i="27"/>
  <c r="Q168" i="27"/>
  <c r="P99" i="27"/>
  <c r="Q99" i="27" s="1"/>
  <c r="P101" i="27"/>
  <c r="Q101" i="27" s="1"/>
  <c r="Q145" i="27"/>
  <c r="Q153" i="27"/>
  <c r="Q165" i="27"/>
  <c r="C124" i="27"/>
  <c r="C124" i="63" s="1"/>
  <c r="C35" i="27"/>
  <c r="C81" i="27" s="1"/>
  <c r="C129" i="27"/>
  <c r="E97" i="27"/>
  <c r="I97" i="27"/>
  <c r="M97" i="27"/>
  <c r="C97" i="27"/>
  <c r="P98" i="27"/>
  <c r="Q98" i="27" s="1"/>
  <c r="B103" i="27"/>
  <c r="F103" i="27"/>
  <c r="P102" i="27"/>
  <c r="Q102" i="27" s="1"/>
  <c r="P105" i="27"/>
  <c r="Q105" i="27" s="1"/>
  <c r="Q147" i="27"/>
  <c r="Q151" i="27"/>
  <c r="Q155" i="27"/>
  <c r="Q159" i="27"/>
  <c r="Q163" i="27"/>
  <c r="Q167" i="27"/>
  <c r="Q171" i="27"/>
  <c r="Q144" i="27"/>
  <c r="Q148" i="27"/>
  <c r="Q156" i="27"/>
  <c r="Q164" i="27"/>
  <c r="Q172" i="27"/>
  <c r="P106" i="27"/>
  <c r="Q106" i="27" s="1"/>
  <c r="Q142" i="27"/>
  <c r="C140" i="27"/>
  <c r="C184" i="27" s="1"/>
  <c r="Q149" i="27"/>
  <c r="Q157" i="27"/>
  <c r="Q161" i="27"/>
  <c r="Q169" i="27"/>
  <c r="Q173" i="27"/>
  <c r="B35" i="27"/>
  <c r="B81" i="27" s="1"/>
  <c r="B127" i="27" s="1"/>
  <c r="B131" i="27"/>
  <c r="B134" i="27"/>
  <c r="D97" i="27"/>
  <c r="H97" i="27"/>
  <c r="L97" i="27"/>
  <c r="E103" i="27"/>
  <c r="I103" i="27"/>
  <c r="M103" i="27"/>
  <c r="P108" i="27"/>
  <c r="Q108" i="27" s="1"/>
  <c r="H107" i="27"/>
  <c r="L107" i="27"/>
  <c r="P111" i="27"/>
  <c r="Q111" i="27" s="1"/>
  <c r="Q146" i="27"/>
  <c r="Q150" i="27"/>
  <c r="Q154" i="27"/>
  <c r="Q158" i="27"/>
  <c r="Q162" i="27"/>
  <c r="Q166" i="27"/>
  <c r="Q170" i="27"/>
  <c r="C184" i="26"/>
  <c r="Q184" i="26" s="1"/>
  <c r="P107" i="26"/>
  <c r="Q107" i="26" s="1"/>
  <c r="P97" i="26"/>
  <c r="Q97" i="26" s="1"/>
  <c r="P96" i="36"/>
  <c r="F103" i="36"/>
  <c r="J103" i="36"/>
  <c r="G97" i="36"/>
  <c r="K97" i="36"/>
  <c r="O97" i="36"/>
  <c r="H103" i="36"/>
  <c r="L103" i="36"/>
  <c r="N103" i="36"/>
  <c r="P98" i="36"/>
  <c r="C103" i="36"/>
  <c r="G103" i="36"/>
  <c r="K103" i="36"/>
  <c r="P102" i="36"/>
  <c r="F94" i="29"/>
  <c r="F113" i="29" s="1"/>
  <c r="F181" i="29" s="1"/>
  <c r="P104" i="29"/>
  <c r="Q104" i="29" s="1"/>
  <c r="B126" i="29"/>
  <c r="B94" i="29"/>
  <c r="B113" i="29" s="1"/>
  <c r="B181" i="29" s="1"/>
  <c r="K94" i="29"/>
  <c r="K113" i="29" s="1"/>
  <c r="K181" i="29" s="1"/>
  <c r="I94" i="29"/>
  <c r="I113" i="29" s="1"/>
  <c r="I181" i="29" s="1"/>
  <c r="H94" i="29"/>
  <c r="H113" i="29" s="1"/>
  <c r="H181" i="29" s="1"/>
  <c r="M94" i="29"/>
  <c r="M113" i="29" s="1"/>
  <c r="M181" i="29" s="1"/>
  <c r="C94" i="29"/>
  <c r="C113" i="29" s="1"/>
  <c r="C181" i="29" s="1"/>
  <c r="P107" i="29"/>
  <c r="Q107" i="29" s="1"/>
  <c r="P101" i="36"/>
  <c r="O103" i="36"/>
  <c r="C120" i="29"/>
  <c r="P97" i="29"/>
  <c r="C25" i="29"/>
  <c r="C71" i="29"/>
  <c r="Q99" i="29"/>
  <c r="P103" i="29"/>
  <c r="Q103" i="29" s="1"/>
  <c r="B44" i="29"/>
  <c r="B177" i="29" s="1"/>
  <c r="B25" i="26"/>
  <c r="B44" i="26" s="1"/>
  <c r="B177" i="26" s="1"/>
  <c r="Q99" i="26"/>
  <c r="P103" i="26"/>
  <c r="Q103" i="26" s="1"/>
  <c r="C122" i="26"/>
  <c r="C80" i="26"/>
  <c r="C71" i="26" s="1"/>
  <c r="C25" i="26"/>
  <c r="B122" i="26"/>
  <c r="B126" i="26" s="1"/>
  <c r="B80" i="26"/>
  <c r="B71" i="26" s="1"/>
  <c r="B90" i="26" s="1"/>
  <c r="P184" i="27"/>
  <c r="Q184" i="27" s="1"/>
  <c r="Q141" i="25"/>
  <c r="J103" i="27"/>
  <c r="N103" i="27"/>
  <c r="P100" i="27"/>
  <c r="Q100" i="27" s="1"/>
  <c r="B28" i="27"/>
  <c r="B34" i="27"/>
  <c r="C119" i="27"/>
  <c r="C74" i="27"/>
  <c r="C28" i="27"/>
  <c r="C34" i="27"/>
  <c r="D107" i="27"/>
  <c r="P95" i="27"/>
  <c r="Q95" i="27" s="1"/>
  <c r="D103" i="27"/>
  <c r="H103" i="25"/>
  <c r="B124" i="25"/>
  <c r="B134" i="25"/>
  <c r="E107" i="25"/>
  <c r="M107" i="25"/>
  <c r="E103" i="25"/>
  <c r="M103" i="25"/>
  <c r="D103" i="25"/>
  <c r="D107" i="25"/>
  <c r="H107" i="25"/>
  <c r="L107" i="25"/>
  <c r="F111" i="25"/>
  <c r="J111" i="25"/>
  <c r="N111" i="25"/>
  <c r="J26" i="25"/>
  <c r="J49" i="25" s="1"/>
  <c r="B28" i="25"/>
  <c r="M40" i="25"/>
  <c r="M63" i="25" s="1"/>
  <c r="P95" i="25"/>
  <c r="Q95" i="25" s="1"/>
  <c r="D97" i="25"/>
  <c r="F109" i="25"/>
  <c r="F40" i="25"/>
  <c r="F63" i="25" s="1"/>
  <c r="J109" i="25"/>
  <c r="J40" i="25"/>
  <c r="J63" i="25" s="1"/>
  <c r="N109" i="25"/>
  <c r="N40" i="25"/>
  <c r="N63" i="25" s="1"/>
  <c r="G111" i="25"/>
  <c r="G42" i="25"/>
  <c r="G65" i="25" s="1"/>
  <c r="K111" i="25"/>
  <c r="K42" i="25"/>
  <c r="K65" i="25" s="1"/>
  <c r="O111" i="25"/>
  <c r="O42" i="25"/>
  <c r="O65" i="25" s="1"/>
  <c r="K26" i="25"/>
  <c r="K49" i="25" s="1"/>
  <c r="C73" i="25"/>
  <c r="C28" i="25"/>
  <c r="C25" i="25" s="1"/>
  <c r="H40" i="25"/>
  <c r="H63" i="25" s="1"/>
  <c r="L42" i="25"/>
  <c r="L65" i="25" s="1"/>
  <c r="G53" i="25"/>
  <c r="K53" i="25"/>
  <c r="F108" i="25"/>
  <c r="J108" i="25"/>
  <c r="N108" i="25"/>
  <c r="C109" i="28"/>
  <c r="G109" i="25"/>
  <c r="K109" i="25"/>
  <c r="O109" i="25"/>
  <c r="E42" i="25"/>
  <c r="E65" i="25" s="1"/>
  <c r="C108" i="28"/>
  <c r="C39" i="25"/>
  <c r="G108" i="25"/>
  <c r="G39" i="25"/>
  <c r="G62" i="25" s="1"/>
  <c r="K108" i="25"/>
  <c r="K39" i="25"/>
  <c r="K62" i="25" s="1"/>
  <c r="O108" i="25"/>
  <c r="O39" i="25"/>
  <c r="O62" i="25" s="1"/>
  <c r="E26" i="25"/>
  <c r="E49" i="25" s="1"/>
  <c r="L40" i="25"/>
  <c r="L63" i="25" s="1"/>
  <c r="B34" i="25"/>
  <c r="C122" i="25"/>
  <c r="C80" i="25"/>
  <c r="D104" i="25"/>
  <c r="O42" i="17"/>
  <c r="O65" i="17" s="1"/>
  <c r="N42" i="17"/>
  <c r="N65" i="17" s="1"/>
  <c r="M42" i="17"/>
  <c r="M65" i="17" s="1"/>
  <c r="L42" i="17"/>
  <c r="L65" i="17" s="1"/>
  <c r="K42" i="17"/>
  <c r="K65" i="17" s="1"/>
  <c r="J42" i="17"/>
  <c r="J65" i="17" s="1"/>
  <c r="I42" i="17"/>
  <c r="I65" i="17" s="1"/>
  <c r="H42" i="17"/>
  <c r="H65" i="17" s="1"/>
  <c r="G42" i="17"/>
  <c r="G65" i="17" s="1"/>
  <c r="F42" i="17"/>
  <c r="F65" i="17" s="1"/>
  <c r="E42" i="17"/>
  <c r="E65" i="17" s="1"/>
  <c r="D42" i="17"/>
  <c r="D65" i="17" s="1"/>
  <c r="O28" i="36"/>
  <c r="N28" i="36"/>
  <c r="M28" i="36"/>
  <c r="L28" i="36"/>
  <c r="K28" i="36"/>
  <c r="J28" i="36"/>
  <c r="I28" i="36"/>
  <c r="H28" i="36"/>
  <c r="G28" i="36"/>
  <c r="F28" i="36"/>
  <c r="E28" i="36"/>
  <c r="D28" i="36"/>
  <c r="O65" i="15"/>
  <c r="N65" i="15"/>
  <c r="M65" i="15"/>
  <c r="L65" i="15"/>
  <c r="K65" i="15"/>
  <c r="J65" i="15"/>
  <c r="I65" i="15"/>
  <c r="H65" i="15"/>
  <c r="G65" i="15"/>
  <c r="F65" i="15"/>
  <c r="E65" i="15"/>
  <c r="D65" i="15"/>
  <c r="O42" i="14"/>
  <c r="O65" i="14" s="1"/>
  <c r="N42" i="14"/>
  <c r="N65" i="14" s="1"/>
  <c r="M42" i="14"/>
  <c r="M65" i="14" s="1"/>
  <c r="L42" i="14"/>
  <c r="L65" i="14" s="1"/>
  <c r="K42" i="14"/>
  <c r="K65" i="14" s="1"/>
  <c r="J42" i="14"/>
  <c r="J65" i="14" s="1"/>
  <c r="I42" i="14"/>
  <c r="I65" i="14" s="1"/>
  <c r="H42" i="14"/>
  <c r="H65" i="14" s="1"/>
  <c r="G42" i="14"/>
  <c r="G65" i="14" s="1"/>
  <c r="F42" i="14"/>
  <c r="F65" i="14" s="1"/>
  <c r="E42" i="14"/>
  <c r="E65" i="14" s="1"/>
  <c r="D42" i="14"/>
  <c r="D65" i="14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O42" i="12"/>
  <c r="O65" i="12" s="1"/>
  <c r="N42" i="12"/>
  <c r="N65" i="12" s="1"/>
  <c r="M42" i="12"/>
  <c r="M65" i="12" s="1"/>
  <c r="L42" i="12"/>
  <c r="L65" i="12" s="1"/>
  <c r="K42" i="12"/>
  <c r="K65" i="12" s="1"/>
  <c r="J42" i="12"/>
  <c r="J65" i="12" s="1"/>
  <c r="I42" i="12"/>
  <c r="I65" i="12" s="1"/>
  <c r="H42" i="12"/>
  <c r="H65" i="12" s="1"/>
  <c r="G42" i="12"/>
  <c r="G65" i="12" s="1"/>
  <c r="F42" i="12"/>
  <c r="F65" i="12" s="1"/>
  <c r="E42" i="12"/>
  <c r="E65" i="12" s="1"/>
  <c r="D42" i="12"/>
  <c r="D65" i="12" s="1"/>
  <c r="O42" i="11"/>
  <c r="O65" i="11" s="1"/>
  <c r="N42" i="11"/>
  <c r="N65" i="11" s="1"/>
  <c r="M42" i="11"/>
  <c r="M65" i="11" s="1"/>
  <c r="L42" i="11"/>
  <c r="L65" i="11" s="1"/>
  <c r="K42" i="11"/>
  <c r="K65" i="11" s="1"/>
  <c r="J42" i="11"/>
  <c r="J65" i="11" s="1"/>
  <c r="I42" i="11"/>
  <c r="I65" i="11" s="1"/>
  <c r="H42" i="11"/>
  <c r="H65" i="11" s="1"/>
  <c r="G42" i="11"/>
  <c r="G65" i="11" s="1"/>
  <c r="F42" i="11"/>
  <c r="F65" i="11" s="1"/>
  <c r="O42" i="10"/>
  <c r="O65" i="10" s="1"/>
  <c r="N42" i="10"/>
  <c r="N65" i="10" s="1"/>
  <c r="M42" i="10"/>
  <c r="M65" i="10" s="1"/>
  <c r="L42" i="10"/>
  <c r="L65" i="10" s="1"/>
  <c r="K42" i="10"/>
  <c r="K65" i="10" s="1"/>
  <c r="J42" i="10"/>
  <c r="J65" i="10" s="1"/>
  <c r="I42" i="10"/>
  <c r="I65" i="10" s="1"/>
  <c r="H42" i="10"/>
  <c r="H65" i="10" s="1"/>
  <c r="G42" i="10"/>
  <c r="G65" i="10" s="1"/>
  <c r="F42" i="10"/>
  <c r="F65" i="10" s="1"/>
  <c r="O42" i="9"/>
  <c r="O65" i="9" s="1"/>
  <c r="N42" i="9"/>
  <c r="N65" i="9" s="1"/>
  <c r="M42" i="9"/>
  <c r="M65" i="9" s="1"/>
  <c r="L42" i="9"/>
  <c r="L65" i="9" s="1"/>
  <c r="K42" i="9"/>
  <c r="K65" i="9" s="1"/>
  <c r="J42" i="9"/>
  <c r="J65" i="9" s="1"/>
  <c r="I42" i="9"/>
  <c r="I65" i="9" s="1"/>
  <c r="H42" i="9"/>
  <c r="H65" i="9" s="1"/>
  <c r="G42" i="9"/>
  <c r="G65" i="9" s="1"/>
  <c r="F42" i="9"/>
  <c r="F65" i="9" s="1"/>
  <c r="E42" i="9"/>
  <c r="E65" i="9" s="1"/>
  <c r="D42" i="9"/>
  <c r="D65" i="9" s="1"/>
  <c r="O42" i="7"/>
  <c r="O65" i="7" s="1"/>
  <c r="N42" i="7"/>
  <c r="N65" i="7" s="1"/>
  <c r="M42" i="7"/>
  <c r="M65" i="7" s="1"/>
  <c r="L42" i="7"/>
  <c r="L65" i="7" s="1"/>
  <c r="K42" i="7"/>
  <c r="K65" i="7" s="1"/>
  <c r="J42" i="7"/>
  <c r="J65" i="7" s="1"/>
  <c r="I42" i="7"/>
  <c r="I65" i="7" s="1"/>
  <c r="H42" i="7"/>
  <c r="H65" i="7" s="1"/>
  <c r="G42" i="7"/>
  <c r="G65" i="7" s="1"/>
  <c r="F42" i="7"/>
  <c r="F65" i="7" s="1"/>
  <c r="E42" i="7"/>
  <c r="E65" i="7" s="1"/>
  <c r="D42" i="7"/>
  <c r="D65" i="7" s="1"/>
  <c r="O42" i="5"/>
  <c r="O65" i="5" s="1"/>
  <c r="N42" i="5"/>
  <c r="N65" i="5" s="1"/>
  <c r="M42" i="5"/>
  <c r="M65" i="5" s="1"/>
  <c r="L42" i="5"/>
  <c r="L65" i="5" s="1"/>
  <c r="K42" i="5"/>
  <c r="K65" i="5" s="1"/>
  <c r="J42" i="5"/>
  <c r="J65" i="5" s="1"/>
  <c r="I42" i="5"/>
  <c r="I65" i="5" s="1"/>
  <c r="H42" i="5"/>
  <c r="H65" i="5" s="1"/>
  <c r="G42" i="5"/>
  <c r="G65" i="5" s="1"/>
  <c r="F42" i="5"/>
  <c r="F65" i="5" s="1"/>
  <c r="E42" i="5"/>
  <c r="E65" i="5" s="1"/>
  <c r="D42" i="5"/>
  <c r="D65" i="5" s="1"/>
  <c r="O42" i="6"/>
  <c r="O65" i="6" s="1"/>
  <c r="N42" i="6"/>
  <c r="N65" i="6" s="1"/>
  <c r="M42" i="6"/>
  <c r="M65" i="6" s="1"/>
  <c r="L42" i="6"/>
  <c r="L65" i="6" s="1"/>
  <c r="K42" i="6"/>
  <c r="K65" i="6" s="1"/>
  <c r="J42" i="6"/>
  <c r="J65" i="6" s="1"/>
  <c r="I42" i="6"/>
  <c r="I65" i="6" s="1"/>
  <c r="H42" i="6"/>
  <c r="H65" i="6" s="1"/>
  <c r="G42" i="6"/>
  <c r="G65" i="6" s="1"/>
  <c r="F42" i="6"/>
  <c r="F65" i="6" s="1"/>
  <c r="E42" i="6"/>
  <c r="E65" i="6" s="1"/>
  <c r="D42" i="6"/>
  <c r="D65" i="6" s="1"/>
  <c r="N55" i="25"/>
  <c r="J55" i="25"/>
  <c r="F55" i="25"/>
  <c r="N26" i="25"/>
  <c r="N49" i="25" s="1"/>
  <c r="N42" i="25"/>
  <c r="N65" i="25" s="1"/>
  <c r="F42" i="25"/>
  <c r="F65" i="25" s="1"/>
  <c r="B129" i="28" l="1"/>
  <c r="B138" i="46"/>
  <c r="B82" i="28"/>
  <c r="B128" i="28" s="1"/>
  <c r="B76" i="63"/>
  <c r="C76" i="27"/>
  <c r="B122" i="27"/>
  <c r="B80" i="25"/>
  <c r="B77" i="28"/>
  <c r="B123" i="28" s="1"/>
  <c r="B50" i="46"/>
  <c r="B96" i="46" s="1"/>
  <c r="B142" i="46" s="1"/>
  <c r="B28" i="28"/>
  <c r="B38" i="46" s="1"/>
  <c r="P103" i="63"/>
  <c r="Q103" i="63" s="1"/>
  <c r="Q99" i="63"/>
  <c r="G94" i="63"/>
  <c r="G113" i="63" s="1"/>
  <c r="G181" i="63" s="1"/>
  <c r="P97" i="63"/>
  <c r="B180" i="29"/>
  <c r="B185" i="29" s="1"/>
  <c r="B180" i="26"/>
  <c r="B185" i="26" s="1"/>
  <c r="B34" i="28"/>
  <c r="B44" i="46" s="1"/>
  <c r="B35" i="28"/>
  <c r="B81" i="28" s="1"/>
  <c r="B47" i="46"/>
  <c r="B45" i="46" s="1"/>
  <c r="B91" i="46" s="1"/>
  <c r="B79" i="28"/>
  <c r="B125" i="28" s="1"/>
  <c r="R184" i="63"/>
  <c r="B88" i="28"/>
  <c r="B134" i="28" s="1"/>
  <c r="B88" i="46"/>
  <c r="B134" i="46" s="1"/>
  <c r="B124" i="28"/>
  <c r="B82" i="46"/>
  <c r="B128" i="46" s="1"/>
  <c r="B118" i="28"/>
  <c r="B40" i="46"/>
  <c r="B76" i="28"/>
  <c r="B83" i="46"/>
  <c r="B129" i="46" s="1"/>
  <c r="B119" i="28"/>
  <c r="B74" i="28"/>
  <c r="B84" i="46" s="1"/>
  <c r="B87" i="46"/>
  <c r="B133" i="46" s="1"/>
  <c r="B38" i="28"/>
  <c r="B84" i="28" s="1"/>
  <c r="B85" i="28"/>
  <c r="B131" i="28" s="1"/>
  <c r="B130" i="28" s="1"/>
  <c r="B75" i="28"/>
  <c r="B122" i="63"/>
  <c r="E65" i="18"/>
  <c r="I65" i="18"/>
  <c r="M65" i="18"/>
  <c r="F65" i="18"/>
  <c r="J65" i="18"/>
  <c r="N65" i="18"/>
  <c r="G65" i="18"/>
  <c r="K65" i="18"/>
  <c r="O65" i="18"/>
  <c r="D65" i="18"/>
  <c r="H65" i="18"/>
  <c r="L65" i="18"/>
  <c r="C126" i="26"/>
  <c r="C117" i="26" s="1"/>
  <c r="B123" i="27"/>
  <c r="B123" i="63" s="1"/>
  <c r="C25" i="63"/>
  <c r="C94" i="63"/>
  <c r="B80" i="63"/>
  <c r="B71" i="63" s="1"/>
  <c r="B90" i="63" s="1"/>
  <c r="B80" i="27"/>
  <c r="B71" i="27" s="1"/>
  <c r="B90" i="27" s="1"/>
  <c r="B124" i="27"/>
  <c r="B124" i="63" s="1"/>
  <c r="B34" i="63"/>
  <c r="B25" i="63" s="1"/>
  <c r="B44" i="63" s="1"/>
  <c r="B177" i="63" s="1"/>
  <c r="C103" i="28"/>
  <c r="C97" i="28"/>
  <c r="C113" i="26"/>
  <c r="C181" i="26" s="1"/>
  <c r="N107" i="25"/>
  <c r="L94" i="25"/>
  <c r="L113" i="25" s="1"/>
  <c r="L181" i="25" s="1"/>
  <c r="F94" i="27"/>
  <c r="F113" i="27" s="1"/>
  <c r="F181" i="27" s="1"/>
  <c r="B127" i="25"/>
  <c r="B118" i="27"/>
  <c r="B120" i="27" s="1"/>
  <c r="B74" i="25"/>
  <c r="B71" i="25" s="1"/>
  <c r="B90" i="25" s="1"/>
  <c r="H94" i="36"/>
  <c r="I94" i="36"/>
  <c r="J94" i="27"/>
  <c r="J113" i="27" s="1"/>
  <c r="J181" i="27" s="1"/>
  <c r="G94" i="27"/>
  <c r="G113" i="27" s="1"/>
  <c r="G181" i="27" s="1"/>
  <c r="C127" i="27"/>
  <c r="J107" i="25"/>
  <c r="H94" i="27"/>
  <c r="H113" i="27" s="1"/>
  <c r="H181" i="27" s="1"/>
  <c r="I94" i="25"/>
  <c r="I113" i="25" s="1"/>
  <c r="I181" i="25" s="1"/>
  <c r="F94" i="36"/>
  <c r="C94" i="25"/>
  <c r="M94" i="36"/>
  <c r="L94" i="36"/>
  <c r="B94" i="25"/>
  <c r="O94" i="27"/>
  <c r="O113" i="27" s="1"/>
  <c r="O181" i="27" s="1"/>
  <c r="K94" i="27"/>
  <c r="K113" i="27" s="1"/>
  <c r="K181" i="27" s="1"/>
  <c r="B120" i="25"/>
  <c r="N94" i="36"/>
  <c r="B117" i="29"/>
  <c r="B136" i="29" s="1"/>
  <c r="B182" i="29" s="1"/>
  <c r="C120" i="27"/>
  <c r="E94" i="36"/>
  <c r="C94" i="36"/>
  <c r="M94" i="25"/>
  <c r="M113" i="25" s="1"/>
  <c r="M181" i="25" s="1"/>
  <c r="N94" i="27"/>
  <c r="N113" i="27" s="1"/>
  <c r="N181" i="27" s="1"/>
  <c r="J94" i="36"/>
  <c r="P107" i="27"/>
  <c r="Q107" i="27" s="1"/>
  <c r="P104" i="25"/>
  <c r="Q104" i="25" s="1"/>
  <c r="H94" i="25"/>
  <c r="H113" i="25" s="1"/>
  <c r="H181" i="25" s="1"/>
  <c r="B130" i="27"/>
  <c r="C117" i="29"/>
  <c r="B130" i="25"/>
  <c r="O94" i="36"/>
  <c r="P97" i="27"/>
  <c r="Q97" i="27" s="1"/>
  <c r="C94" i="27"/>
  <c r="C113" i="27" s="1"/>
  <c r="C181" i="27" s="1"/>
  <c r="L94" i="27"/>
  <c r="L113" i="27" s="1"/>
  <c r="L181" i="27" s="1"/>
  <c r="B94" i="27"/>
  <c r="B113" i="27" s="1"/>
  <c r="B181" i="27" s="1"/>
  <c r="E94" i="25"/>
  <c r="E113" i="25" s="1"/>
  <c r="E181" i="25" s="1"/>
  <c r="C25" i="36"/>
  <c r="B117" i="26"/>
  <c r="B136" i="26" s="1"/>
  <c r="B182" i="26" s="1"/>
  <c r="B183" i="26" s="1"/>
  <c r="D42" i="4"/>
  <c r="D65" i="4" s="1"/>
  <c r="D42" i="29"/>
  <c r="D65" i="29" s="1"/>
  <c r="D42" i="26"/>
  <c r="D65" i="26" s="1"/>
  <c r="D42" i="27"/>
  <c r="D65" i="27" s="1"/>
  <c r="D42" i="25"/>
  <c r="D65" i="25" s="1"/>
  <c r="H42" i="4"/>
  <c r="H65" i="4" s="1"/>
  <c r="H42" i="29"/>
  <c r="H42" i="26"/>
  <c r="H65" i="26" s="1"/>
  <c r="H42" i="27"/>
  <c r="H65" i="27" s="1"/>
  <c r="H42" i="25"/>
  <c r="L42" i="4"/>
  <c r="L65" i="4" s="1"/>
  <c r="L42" i="29"/>
  <c r="L42" i="26"/>
  <c r="L65" i="26" s="1"/>
  <c r="L42" i="27"/>
  <c r="C42" i="29"/>
  <c r="C88" i="29" s="1"/>
  <c r="C134" i="29" s="1"/>
  <c r="C42" i="26"/>
  <c r="C88" i="26" s="1"/>
  <c r="C134" i="26" s="1"/>
  <c r="C42" i="25"/>
  <c r="C88" i="25" s="1"/>
  <c r="C134" i="25" s="1"/>
  <c r="C42" i="27"/>
  <c r="C88" i="27" s="1"/>
  <c r="C134" i="27" s="1"/>
  <c r="F39" i="26"/>
  <c r="F62" i="26" s="1"/>
  <c r="F39" i="29"/>
  <c r="F62" i="29" s="1"/>
  <c r="F39" i="27"/>
  <c r="F62" i="27" s="1"/>
  <c r="F39" i="25"/>
  <c r="F62" i="25" s="1"/>
  <c r="F61" i="25" s="1"/>
  <c r="J39" i="26"/>
  <c r="J62" i="26" s="1"/>
  <c r="J39" i="29"/>
  <c r="J62" i="29" s="1"/>
  <c r="J39" i="27"/>
  <c r="J62" i="27" s="1"/>
  <c r="J39" i="25"/>
  <c r="J62" i="25" s="1"/>
  <c r="J61" i="25" s="1"/>
  <c r="N39" i="26"/>
  <c r="N62" i="26" s="1"/>
  <c r="N39" i="29"/>
  <c r="N62" i="29" s="1"/>
  <c r="N39" i="27"/>
  <c r="N62" i="27" s="1"/>
  <c r="N39" i="25"/>
  <c r="E40" i="29"/>
  <c r="E40" i="26"/>
  <c r="E40" i="27"/>
  <c r="E63" i="27" s="1"/>
  <c r="E40" i="25"/>
  <c r="E63" i="25" s="1"/>
  <c r="I40" i="29"/>
  <c r="I63" i="29" s="1"/>
  <c r="I40" i="26"/>
  <c r="I63" i="26" s="1"/>
  <c r="I40" i="27"/>
  <c r="I63" i="27" s="1"/>
  <c r="I40" i="25"/>
  <c r="I63" i="25" s="1"/>
  <c r="M40" i="29"/>
  <c r="M63" i="29" s="1"/>
  <c r="M40" i="26"/>
  <c r="M40" i="27"/>
  <c r="E26" i="29"/>
  <c r="E49" i="29" s="1"/>
  <c r="E26" i="26"/>
  <c r="E26" i="27"/>
  <c r="E49" i="27" s="1"/>
  <c r="I26" i="29"/>
  <c r="I49" i="29" s="1"/>
  <c r="I26" i="26"/>
  <c r="I26" i="27"/>
  <c r="I49" i="27" s="1"/>
  <c r="I26" i="25"/>
  <c r="I49" i="25" s="1"/>
  <c r="M26" i="29"/>
  <c r="M49" i="29" s="1"/>
  <c r="M26" i="26"/>
  <c r="M26" i="27"/>
  <c r="M49" i="27" s="1"/>
  <c r="F27" i="29"/>
  <c r="F27" i="26"/>
  <c r="F27" i="27"/>
  <c r="F50" i="27" s="1"/>
  <c r="F27" i="25"/>
  <c r="J27" i="29"/>
  <c r="J27" i="26"/>
  <c r="J27" i="27"/>
  <c r="J27" i="25"/>
  <c r="N27" i="26"/>
  <c r="N27" i="29"/>
  <c r="N27" i="27"/>
  <c r="N27" i="25"/>
  <c r="F29" i="29"/>
  <c r="F29" i="26"/>
  <c r="F29" i="27"/>
  <c r="F29" i="25"/>
  <c r="J29" i="29"/>
  <c r="J29" i="26"/>
  <c r="J29" i="27"/>
  <c r="J29" i="25"/>
  <c r="J52" i="25" s="1"/>
  <c r="N29" i="29"/>
  <c r="N29" i="26"/>
  <c r="N29" i="27"/>
  <c r="N29" i="25"/>
  <c r="F53" i="26"/>
  <c r="F53" i="29"/>
  <c r="F30" i="27"/>
  <c r="F53" i="25"/>
  <c r="J53" i="26"/>
  <c r="J30" i="27"/>
  <c r="J53" i="25"/>
  <c r="N53" i="26"/>
  <c r="N53" i="29"/>
  <c r="N30" i="27"/>
  <c r="N53" i="25"/>
  <c r="F31" i="26"/>
  <c r="F54" i="25"/>
  <c r="F31" i="27"/>
  <c r="J31" i="26"/>
  <c r="J54" i="25"/>
  <c r="J31" i="27"/>
  <c r="N31" i="26"/>
  <c r="N54" i="25"/>
  <c r="N31" i="27"/>
  <c r="F33" i="29"/>
  <c r="F33" i="26"/>
  <c r="F56" i="26" s="1"/>
  <c r="F33" i="25"/>
  <c r="F33" i="27"/>
  <c r="F56" i="27" s="1"/>
  <c r="J33" i="29"/>
  <c r="J33" i="26"/>
  <c r="J56" i="26" s="1"/>
  <c r="J33" i="25"/>
  <c r="J56" i="25" s="1"/>
  <c r="J33" i="27"/>
  <c r="N33" i="29"/>
  <c r="N33" i="26"/>
  <c r="N56" i="26" s="1"/>
  <c r="N33" i="25"/>
  <c r="N33" i="27"/>
  <c r="F36" i="29"/>
  <c r="F59" i="29" s="1"/>
  <c r="F36" i="26"/>
  <c r="F59" i="26" s="1"/>
  <c r="F36" i="25"/>
  <c r="F59" i="25" s="1"/>
  <c r="F36" i="27"/>
  <c r="F59" i="27" s="1"/>
  <c r="J36" i="26"/>
  <c r="J59" i="26" s="1"/>
  <c r="J36" i="29"/>
  <c r="J59" i="29" s="1"/>
  <c r="J36" i="25"/>
  <c r="J59" i="25" s="1"/>
  <c r="J36" i="27"/>
  <c r="J59" i="27" s="1"/>
  <c r="N36" i="29"/>
  <c r="N59" i="29" s="1"/>
  <c r="N36" i="26"/>
  <c r="N59" i="26" s="1"/>
  <c r="N36" i="25"/>
  <c r="N59" i="25" s="1"/>
  <c r="N36" i="27"/>
  <c r="N59" i="27" s="1"/>
  <c r="F37" i="26"/>
  <c r="F60" i="26" s="1"/>
  <c r="F37" i="29"/>
  <c r="F60" i="29" s="1"/>
  <c r="F37" i="27"/>
  <c r="F60" i="27" s="1"/>
  <c r="F37" i="25"/>
  <c r="F60" i="25" s="1"/>
  <c r="J37" i="26"/>
  <c r="J60" i="26" s="1"/>
  <c r="J37" i="29"/>
  <c r="J60" i="29" s="1"/>
  <c r="J37" i="27"/>
  <c r="J60" i="27" s="1"/>
  <c r="J37" i="25"/>
  <c r="J60" i="25" s="1"/>
  <c r="N37" i="26"/>
  <c r="N60" i="26" s="1"/>
  <c r="N37" i="29"/>
  <c r="N60" i="29" s="1"/>
  <c r="N37" i="27"/>
  <c r="N60" i="27" s="1"/>
  <c r="N37" i="25"/>
  <c r="N60" i="25" s="1"/>
  <c r="F34" i="36"/>
  <c r="F25" i="36" s="1"/>
  <c r="J34" i="36"/>
  <c r="J25" i="36" s="1"/>
  <c r="N34" i="36"/>
  <c r="N25" i="36" s="1"/>
  <c r="F42" i="4"/>
  <c r="F65" i="4" s="1"/>
  <c r="F42" i="29"/>
  <c r="F42" i="26"/>
  <c r="F42" i="27"/>
  <c r="F65" i="27" s="1"/>
  <c r="J42" i="4"/>
  <c r="J65" i="4" s="1"/>
  <c r="J42" i="26"/>
  <c r="J42" i="29"/>
  <c r="J42" i="27"/>
  <c r="J65" i="27" s="1"/>
  <c r="N42" i="4"/>
  <c r="N65" i="4" s="1"/>
  <c r="N42" i="29"/>
  <c r="N65" i="29" s="1"/>
  <c r="N42" i="26"/>
  <c r="N42" i="27"/>
  <c r="N65" i="27" s="1"/>
  <c r="D39" i="29"/>
  <c r="D62" i="29" s="1"/>
  <c r="D39" i="26"/>
  <c r="D62" i="26" s="1"/>
  <c r="D39" i="27"/>
  <c r="D62" i="27" s="1"/>
  <c r="D39" i="25"/>
  <c r="D62" i="25" s="1"/>
  <c r="H39" i="29"/>
  <c r="H62" i="29" s="1"/>
  <c r="H39" i="26"/>
  <c r="H62" i="26" s="1"/>
  <c r="H39" i="27"/>
  <c r="H62" i="27" s="1"/>
  <c r="L39" i="29"/>
  <c r="L62" i="29" s="1"/>
  <c r="L39" i="26"/>
  <c r="L62" i="26" s="1"/>
  <c r="L39" i="27"/>
  <c r="L62" i="27" s="1"/>
  <c r="L39" i="25"/>
  <c r="C40" i="26"/>
  <c r="C86" i="26" s="1"/>
  <c r="C132" i="26" s="1"/>
  <c r="C40" i="29"/>
  <c r="C86" i="29" s="1"/>
  <c r="C132" i="29" s="1"/>
  <c r="C40" i="27"/>
  <c r="C86" i="27" s="1"/>
  <c r="C132" i="27" s="1"/>
  <c r="C40" i="25"/>
  <c r="C86" i="25" s="1"/>
  <c r="C132" i="25" s="1"/>
  <c r="G40" i="26"/>
  <c r="G40" i="29"/>
  <c r="G63" i="29" s="1"/>
  <c r="G40" i="27"/>
  <c r="G40" i="25"/>
  <c r="G63" i="25" s="1"/>
  <c r="G61" i="25" s="1"/>
  <c r="K40" i="26"/>
  <c r="K40" i="29"/>
  <c r="K63" i="29" s="1"/>
  <c r="K40" i="27"/>
  <c r="K63" i="27" s="1"/>
  <c r="K40" i="25"/>
  <c r="O40" i="26"/>
  <c r="O63" i="26" s="1"/>
  <c r="O40" i="29"/>
  <c r="O63" i="29" s="1"/>
  <c r="O40" i="27"/>
  <c r="O40" i="25"/>
  <c r="O63" i="25" s="1"/>
  <c r="O61" i="25" s="1"/>
  <c r="G26" i="26"/>
  <c r="G26" i="29"/>
  <c r="G49" i="29" s="1"/>
  <c r="G26" i="27"/>
  <c r="G49" i="27" s="1"/>
  <c r="G26" i="25"/>
  <c r="G49" i="25" s="1"/>
  <c r="K26" i="29"/>
  <c r="K49" i="29" s="1"/>
  <c r="K26" i="26"/>
  <c r="K26" i="27"/>
  <c r="K49" i="27" s="1"/>
  <c r="O26" i="29"/>
  <c r="O49" i="29" s="1"/>
  <c r="O26" i="26"/>
  <c r="O26" i="27"/>
  <c r="O49" i="27" s="1"/>
  <c r="O26" i="25"/>
  <c r="O49" i="25" s="1"/>
  <c r="H27" i="29"/>
  <c r="H27" i="26"/>
  <c r="H27" i="25"/>
  <c r="H27" i="27"/>
  <c r="L27" i="29"/>
  <c r="L27" i="26"/>
  <c r="L50" i="26" s="1"/>
  <c r="L27" i="27"/>
  <c r="L27" i="25"/>
  <c r="D29" i="26"/>
  <c r="D29" i="29"/>
  <c r="D52" i="29" s="1"/>
  <c r="D29" i="27"/>
  <c r="D52" i="27" s="1"/>
  <c r="D29" i="25"/>
  <c r="D52" i="25" s="1"/>
  <c r="H29" i="26"/>
  <c r="H29" i="29"/>
  <c r="H29" i="27"/>
  <c r="H29" i="25"/>
  <c r="L29" i="26"/>
  <c r="L29" i="29"/>
  <c r="L52" i="29" s="1"/>
  <c r="L29" i="27"/>
  <c r="L52" i="27" s="1"/>
  <c r="L29" i="25"/>
  <c r="D53" i="29"/>
  <c r="D30" i="27"/>
  <c r="H53" i="26"/>
  <c r="H30" i="27"/>
  <c r="H30" i="63" s="1"/>
  <c r="H53" i="25"/>
  <c r="L53" i="26"/>
  <c r="L30" i="27"/>
  <c r="L30" i="63" s="1"/>
  <c r="L53" i="25"/>
  <c r="D31" i="26"/>
  <c r="D31" i="29"/>
  <c r="D54" i="29" s="1"/>
  <c r="D31" i="27"/>
  <c r="D54" i="27" s="1"/>
  <c r="D31" i="25"/>
  <c r="D54" i="25" s="1"/>
  <c r="H31" i="26"/>
  <c r="H31" i="27"/>
  <c r="H54" i="27" s="1"/>
  <c r="L31" i="26"/>
  <c r="L54" i="29"/>
  <c r="L31" i="27"/>
  <c r="D33" i="26"/>
  <c r="D56" i="26" s="1"/>
  <c r="D33" i="29"/>
  <c r="D56" i="29" s="1"/>
  <c r="D33" i="27"/>
  <c r="D56" i="27" s="1"/>
  <c r="D33" i="25"/>
  <c r="D56" i="25" s="1"/>
  <c r="H33" i="26"/>
  <c r="H56" i="26" s="1"/>
  <c r="H33" i="29"/>
  <c r="H56" i="29" s="1"/>
  <c r="H33" i="27"/>
  <c r="H33" i="25"/>
  <c r="L33" i="26"/>
  <c r="L56" i="26" s="1"/>
  <c r="L33" i="29"/>
  <c r="L33" i="27"/>
  <c r="L56" i="27" s="1"/>
  <c r="L33" i="25"/>
  <c r="D36" i="26"/>
  <c r="D59" i="26" s="1"/>
  <c r="D36" i="29"/>
  <c r="D59" i="29" s="1"/>
  <c r="D36" i="27"/>
  <c r="D59" i="27" s="1"/>
  <c r="D36" i="25"/>
  <c r="D59" i="25" s="1"/>
  <c r="H36" i="26"/>
  <c r="H59" i="26" s="1"/>
  <c r="H36" i="29"/>
  <c r="H59" i="29" s="1"/>
  <c r="H36" i="27"/>
  <c r="H59" i="27" s="1"/>
  <c r="H36" i="25"/>
  <c r="H59" i="25" s="1"/>
  <c r="L36" i="26"/>
  <c r="L59" i="26" s="1"/>
  <c r="L36" i="29"/>
  <c r="L59" i="29" s="1"/>
  <c r="L36" i="27"/>
  <c r="L59" i="27" s="1"/>
  <c r="L36" i="25"/>
  <c r="L59" i="25" s="1"/>
  <c r="D37" i="29"/>
  <c r="D60" i="29" s="1"/>
  <c r="D37" i="26"/>
  <c r="D60" i="26" s="1"/>
  <c r="D37" i="25"/>
  <c r="D60" i="25" s="1"/>
  <c r="D37" i="27"/>
  <c r="D60" i="27" s="1"/>
  <c r="H37" i="29"/>
  <c r="H60" i="29" s="1"/>
  <c r="H37" i="26"/>
  <c r="H60" i="26" s="1"/>
  <c r="H37" i="25"/>
  <c r="H60" i="25" s="1"/>
  <c r="H37" i="27"/>
  <c r="H60" i="27" s="1"/>
  <c r="L37" i="29"/>
  <c r="L60" i="29" s="1"/>
  <c r="L37" i="26"/>
  <c r="L60" i="26" s="1"/>
  <c r="L37" i="25"/>
  <c r="L60" i="25" s="1"/>
  <c r="L37" i="27"/>
  <c r="L60" i="27" s="1"/>
  <c r="H34" i="36"/>
  <c r="H25" i="36" s="1"/>
  <c r="L34" i="36"/>
  <c r="L25" i="36" s="1"/>
  <c r="M26" i="25"/>
  <c r="M49" i="25" s="1"/>
  <c r="D53" i="25"/>
  <c r="P109" i="25"/>
  <c r="Q109" i="25" s="1"/>
  <c r="H39" i="25"/>
  <c r="J42" i="25"/>
  <c r="D27" i="29"/>
  <c r="D50" i="29" s="1"/>
  <c r="D27" i="25"/>
  <c r="D50" i="25" s="1"/>
  <c r="D51" i="25" s="1"/>
  <c r="D27" i="27"/>
  <c r="D50" i="27" s="1"/>
  <c r="G42" i="4"/>
  <c r="G65" i="4" s="1"/>
  <c r="G42" i="29"/>
  <c r="G65" i="29" s="1"/>
  <c r="G42" i="26"/>
  <c r="G65" i="26" s="1"/>
  <c r="G42" i="27"/>
  <c r="K42" i="4"/>
  <c r="K65" i="4" s="1"/>
  <c r="K42" i="29"/>
  <c r="K65" i="29" s="1"/>
  <c r="K42" i="26"/>
  <c r="K42" i="27"/>
  <c r="K65" i="27" s="1"/>
  <c r="O42" i="4"/>
  <c r="O65" i="4" s="1"/>
  <c r="O42" i="29"/>
  <c r="O65" i="29" s="1"/>
  <c r="O42" i="26"/>
  <c r="O65" i="26" s="1"/>
  <c r="O42" i="27"/>
  <c r="E39" i="26"/>
  <c r="E62" i="26" s="1"/>
  <c r="E39" i="29"/>
  <c r="E62" i="29" s="1"/>
  <c r="E39" i="25"/>
  <c r="E62" i="25" s="1"/>
  <c r="E39" i="27"/>
  <c r="E62" i="27" s="1"/>
  <c r="I39" i="26"/>
  <c r="I62" i="26" s="1"/>
  <c r="I39" i="29"/>
  <c r="I62" i="29" s="1"/>
  <c r="I39" i="27"/>
  <c r="I62" i="27" s="1"/>
  <c r="M39" i="26"/>
  <c r="M62" i="26" s="1"/>
  <c r="M39" i="29"/>
  <c r="M62" i="29" s="1"/>
  <c r="M39" i="25"/>
  <c r="M39" i="27"/>
  <c r="M62" i="27" s="1"/>
  <c r="D40" i="29"/>
  <c r="D63" i="29" s="1"/>
  <c r="D40" i="26"/>
  <c r="D63" i="26" s="1"/>
  <c r="D40" i="27"/>
  <c r="D63" i="27" s="1"/>
  <c r="H40" i="29"/>
  <c r="H63" i="29" s="1"/>
  <c r="H40" i="26"/>
  <c r="H63" i="26" s="1"/>
  <c r="H40" i="27"/>
  <c r="H63" i="27" s="1"/>
  <c r="L40" i="29"/>
  <c r="L40" i="26"/>
  <c r="L63" i="26" s="1"/>
  <c r="L40" i="27"/>
  <c r="L63" i="27" s="1"/>
  <c r="D26" i="29"/>
  <c r="D49" i="29" s="1"/>
  <c r="D26" i="27"/>
  <c r="H26" i="29"/>
  <c r="H49" i="29" s="1"/>
  <c r="H26" i="26"/>
  <c r="H26" i="27"/>
  <c r="H49" i="27" s="1"/>
  <c r="H26" i="25"/>
  <c r="H49" i="25" s="1"/>
  <c r="L26" i="26"/>
  <c r="L26" i="29"/>
  <c r="L49" i="29" s="1"/>
  <c r="L26" i="27"/>
  <c r="L49" i="27" s="1"/>
  <c r="L26" i="25"/>
  <c r="L49" i="25" s="1"/>
  <c r="E27" i="29"/>
  <c r="E50" i="29" s="1"/>
  <c r="E27" i="26"/>
  <c r="E27" i="27"/>
  <c r="E27" i="25"/>
  <c r="E50" i="25" s="1"/>
  <c r="E51" i="25" s="1"/>
  <c r="I27" i="26"/>
  <c r="I27" i="29"/>
  <c r="I50" i="29" s="1"/>
  <c r="I27" i="27"/>
  <c r="I50" i="27" s="1"/>
  <c r="I27" i="25"/>
  <c r="I50" i="25" s="1"/>
  <c r="M27" i="29"/>
  <c r="M50" i="29" s="1"/>
  <c r="M27" i="26"/>
  <c r="M50" i="26" s="1"/>
  <c r="M27" i="27"/>
  <c r="M27" i="25"/>
  <c r="E29" i="26"/>
  <c r="E29" i="29"/>
  <c r="E52" i="29" s="1"/>
  <c r="E29" i="27"/>
  <c r="E52" i="27" s="1"/>
  <c r="E29" i="25"/>
  <c r="I29" i="26"/>
  <c r="I29" i="29"/>
  <c r="I52" i="29" s="1"/>
  <c r="I29" i="27"/>
  <c r="I29" i="25"/>
  <c r="I52" i="25" s="1"/>
  <c r="M29" i="26"/>
  <c r="M29" i="29"/>
  <c r="M52" i="29" s="1"/>
  <c r="M29" i="25"/>
  <c r="M29" i="27"/>
  <c r="M52" i="27" s="1"/>
  <c r="E53" i="29"/>
  <c r="E30" i="27"/>
  <c r="E30" i="63" s="1"/>
  <c r="I53" i="29"/>
  <c r="I30" i="27"/>
  <c r="I30" i="63" s="1"/>
  <c r="M53" i="29"/>
  <c r="M30" i="27"/>
  <c r="M30" i="63" s="1"/>
  <c r="E31" i="26"/>
  <c r="E54" i="29"/>
  <c r="E31" i="27"/>
  <c r="I31" i="26"/>
  <c r="I54" i="29"/>
  <c r="I31" i="27"/>
  <c r="I54" i="27" s="1"/>
  <c r="M31" i="26"/>
  <c r="M54" i="29"/>
  <c r="M31" i="27"/>
  <c r="E33" i="26"/>
  <c r="E56" i="26" s="1"/>
  <c r="E33" i="29"/>
  <c r="E56" i="29" s="1"/>
  <c r="E33" i="25"/>
  <c r="E33" i="27"/>
  <c r="E56" i="27" s="1"/>
  <c r="I33" i="26"/>
  <c r="I33" i="29"/>
  <c r="I56" i="29" s="1"/>
  <c r="I33" i="27"/>
  <c r="I33" i="25"/>
  <c r="I56" i="25" s="1"/>
  <c r="M33" i="26"/>
  <c r="M33" i="29"/>
  <c r="M56" i="29" s="1"/>
  <c r="M33" i="25"/>
  <c r="M33" i="27"/>
  <c r="M56" i="27" s="1"/>
  <c r="E36" i="29"/>
  <c r="E59" i="29" s="1"/>
  <c r="E36" i="26"/>
  <c r="E59" i="26" s="1"/>
  <c r="E36" i="25"/>
  <c r="E59" i="25" s="1"/>
  <c r="E36" i="27"/>
  <c r="E59" i="27" s="1"/>
  <c r="I36" i="29"/>
  <c r="I59" i="29" s="1"/>
  <c r="I36" i="26"/>
  <c r="I59" i="26" s="1"/>
  <c r="I36" i="25"/>
  <c r="I59" i="25" s="1"/>
  <c r="I36" i="27"/>
  <c r="I59" i="27" s="1"/>
  <c r="M36" i="29"/>
  <c r="M59" i="29" s="1"/>
  <c r="M36" i="26"/>
  <c r="M59" i="26" s="1"/>
  <c r="M36" i="25"/>
  <c r="M59" i="25" s="1"/>
  <c r="M36" i="27"/>
  <c r="M59" i="27" s="1"/>
  <c r="E37" i="26"/>
  <c r="E60" i="26" s="1"/>
  <c r="E37" i="29"/>
  <c r="E60" i="29" s="1"/>
  <c r="E37" i="27"/>
  <c r="E60" i="27" s="1"/>
  <c r="E37" i="25"/>
  <c r="E60" i="25" s="1"/>
  <c r="I37" i="26"/>
  <c r="I60" i="26" s="1"/>
  <c r="I37" i="29"/>
  <c r="I60" i="29" s="1"/>
  <c r="I37" i="27"/>
  <c r="I60" i="27" s="1"/>
  <c r="I37" i="25"/>
  <c r="I60" i="25" s="1"/>
  <c r="M37" i="26"/>
  <c r="M60" i="26" s="1"/>
  <c r="M37" i="29"/>
  <c r="M60" i="29" s="1"/>
  <c r="M37" i="27"/>
  <c r="M60" i="27" s="1"/>
  <c r="M37" i="25"/>
  <c r="M60" i="25" s="1"/>
  <c r="E34" i="36"/>
  <c r="E25" i="36" s="1"/>
  <c r="I34" i="36"/>
  <c r="I25" i="36" s="1"/>
  <c r="M34" i="36"/>
  <c r="M25" i="36" s="1"/>
  <c r="P104" i="27"/>
  <c r="Q104" i="27" s="1"/>
  <c r="E94" i="27"/>
  <c r="E113" i="27" s="1"/>
  <c r="E181" i="27" s="1"/>
  <c r="E42" i="4"/>
  <c r="E65" i="4" s="1"/>
  <c r="E42" i="26"/>
  <c r="E42" i="29"/>
  <c r="E65" i="29" s="1"/>
  <c r="E42" i="27"/>
  <c r="I42" i="4"/>
  <c r="I65" i="4" s="1"/>
  <c r="I42" i="26"/>
  <c r="I42" i="29"/>
  <c r="I65" i="29" s="1"/>
  <c r="I42" i="27"/>
  <c r="M42" i="4"/>
  <c r="M65" i="4" s="1"/>
  <c r="M42" i="26"/>
  <c r="M42" i="29"/>
  <c r="M65" i="29" s="1"/>
  <c r="M42" i="27"/>
  <c r="C39" i="29"/>
  <c r="C39" i="26"/>
  <c r="C39" i="27"/>
  <c r="G39" i="29"/>
  <c r="G62" i="29" s="1"/>
  <c r="G39" i="26"/>
  <c r="G62" i="26" s="1"/>
  <c r="G39" i="27"/>
  <c r="G62" i="27" s="1"/>
  <c r="K39" i="29"/>
  <c r="K62" i="29" s="1"/>
  <c r="K39" i="26"/>
  <c r="K62" i="26" s="1"/>
  <c r="K39" i="27"/>
  <c r="K62" i="27" s="1"/>
  <c r="O39" i="29"/>
  <c r="O62" i="29" s="1"/>
  <c r="O39" i="26"/>
  <c r="O62" i="26" s="1"/>
  <c r="O39" i="27"/>
  <c r="O62" i="27" s="1"/>
  <c r="F40" i="29"/>
  <c r="F40" i="26"/>
  <c r="F63" i="26" s="1"/>
  <c r="F40" i="27"/>
  <c r="F63" i="27" s="1"/>
  <c r="J40" i="29"/>
  <c r="J40" i="26"/>
  <c r="J63" i="26" s="1"/>
  <c r="J40" i="27"/>
  <c r="J63" i="27" s="1"/>
  <c r="N40" i="29"/>
  <c r="N40" i="26"/>
  <c r="N40" i="27"/>
  <c r="N63" i="27" s="1"/>
  <c r="F26" i="29"/>
  <c r="F49" i="29" s="1"/>
  <c r="F26" i="26"/>
  <c r="F26" i="27"/>
  <c r="F49" i="27" s="1"/>
  <c r="J26" i="29"/>
  <c r="J49" i="29" s="1"/>
  <c r="J26" i="26"/>
  <c r="J26" i="27"/>
  <c r="J49" i="27" s="1"/>
  <c r="N26" i="29"/>
  <c r="N49" i="29" s="1"/>
  <c r="N26" i="26"/>
  <c r="N26" i="27"/>
  <c r="N49" i="27" s="1"/>
  <c r="G27" i="29"/>
  <c r="G27" i="26"/>
  <c r="G27" i="27"/>
  <c r="G27" i="25"/>
  <c r="G50" i="25" s="1"/>
  <c r="K27" i="29"/>
  <c r="K27" i="26"/>
  <c r="K27" i="27"/>
  <c r="K27" i="25"/>
  <c r="O27" i="26"/>
  <c r="O27" i="29"/>
  <c r="O27" i="27"/>
  <c r="O50" i="27" s="1"/>
  <c r="O27" i="25"/>
  <c r="G29" i="26"/>
  <c r="G29" i="29"/>
  <c r="G29" i="27"/>
  <c r="G29" i="25"/>
  <c r="K29" i="29"/>
  <c r="K29" i="26"/>
  <c r="K29" i="27"/>
  <c r="K52" i="27" s="1"/>
  <c r="K29" i="25"/>
  <c r="O29" i="29"/>
  <c r="O29" i="26"/>
  <c r="O29" i="27"/>
  <c r="O29" i="25"/>
  <c r="O52" i="25" s="1"/>
  <c r="G53" i="29"/>
  <c r="G30" i="27"/>
  <c r="G30" i="63" s="1"/>
  <c r="K53" i="29"/>
  <c r="K30" i="27"/>
  <c r="O53" i="26"/>
  <c r="O53" i="29"/>
  <c r="O30" i="27"/>
  <c r="G31" i="26"/>
  <c r="G54" i="29"/>
  <c r="G54" i="25"/>
  <c r="G31" i="27"/>
  <c r="K54" i="29"/>
  <c r="K31" i="26"/>
  <c r="K31" i="27"/>
  <c r="O31" i="26"/>
  <c r="O31" i="27"/>
  <c r="G33" i="29"/>
  <c r="G33" i="26"/>
  <c r="G56" i="26" s="1"/>
  <c r="G33" i="25"/>
  <c r="G33" i="27"/>
  <c r="K33" i="26"/>
  <c r="K56" i="26" s="1"/>
  <c r="K33" i="29"/>
  <c r="K33" i="25"/>
  <c r="K33" i="27"/>
  <c r="K56" i="27" s="1"/>
  <c r="O33" i="29"/>
  <c r="O33" i="26"/>
  <c r="O56" i="26" s="1"/>
  <c r="O33" i="25"/>
  <c r="O33" i="27"/>
  <c r="G36" i="26"/>
  <c r="G59" i="26" s="1"/>
  <c r="G36" i="29"/>
  <c r="G59" i="29" s="1"/>
  <c r="G36" i="27"/>
  <c r="G59" i="27" s="1"/>
  <c r="G36" i="25"/>
  <c r="G59" i="25" s="1"/>
  <c r="K36" i="26"/>
  <c r="K59" i="26" s="1"/>
  <c r="K36" i="29"/>
  <c r="K59" i="29" s="1"/>
  <c r="K36" i="27"/>
  <c r="K59" i="27" s="1"/>
  <c r="K36" i="25"/>
  <c r="K59" i="25" s="1"/>
  <c r="O36" i="26"/>
  <c r="O59" i="26" s="1"/>
  <c r="O36" i="29"/>
  <c r="O59" i="29" s="1"/>
  <c r="O36" i="27"/>
  <c r="O59" i="27" s="1"/>
  <c r="O36" i="25"/>
  <c r="O59" i="25" s="1"/>
  <c r="G37" i="29"/>
  <c r="G60" i="29" s="1"/>
  <c r="G37" i="26"/>
  <c r="G60" i="26" s="1"/>
  <c r="G37" i="25"/>
  <c r="G60" i="25" s="1"/>
  <c r="G37" i="27"/>
  <c r="G60" i="27" s="1"/>
  <c r="K37" i="29"/>
  <c r="K60" i="29" s="1"/>
  <c r="K37" i="26"/>
  <c r="K60" i="26" s="1"/>
  <c r="K37" i="25"/>
  <c r="K60" i="25" s="1"/>
  <c r="K37" i="27"/>
  <c r="K60" i="27" s="1"/>
  <c r="O37" i="29"/>
  <c r="O60" i="29" s="1"/>
  <c r="O37" i="26"/>
  <c r="O60" i="26" s="1"/>
  <c r="O37" i="25"/>
  <c r="O60" i="25" s="1"/>
  <c r="O37" i="27"/>
  <c r="O60" i="27" s="1"/>
  <c r="G34" i="36"/>
  <c r="G25" i="36" s="1"/>
  <c r="K34" i="36"/>
  <c r="K25" i="36" s="1"/>
  <c r="O34" i="36"/>
  <c r="O25" i="36" s="1"/>
  <c r="C126" i="25"/>
  <c r="D40" i="25"/>
  <c r="D63" i="25" s="1"/>
  <c r="M42" i="25"/>
  <c r="I39" i="25"/>
  <c r="I62" i="25" s="1"/>
  <c r="I53" i="25"/>
  <c r="I42" i="25"/>
  <c r="F26" i="25"/>
  <c r="F49" i="25" s="1"/>
  <c r="C127" i="25"/>
  <c r="C107" i="25"/>
  <c r="B126" i="25"/>
  <c r="K107" i="25"/>
  <c r="D94" i="27"/>
  <c r="D113" i="27" s="1"/>
  <c r="D181" i="27" s="1"/>
  <c r="P103" i="27"/>
  <c r="Q103" i="27" s="1"/>
  <c r="I94" i="27"/>
  <c r="I113" i="27" s="1"/>
  <c r="I181" i="27" s="1"/>
  <c r="M94" i="27"/>
  <c r="M113" i="27" s="1"/>
  <c r="M181" i="27" s="1"/>
  <c r="G94" i="36"/>
  <c r="K94" i="36"/>
  <c r="G55" i="26"/>
  <c r="G32" i="27"/>
  <c r="K55" i="26"/>
  <c r="K32" i="27"/>
  <c r="O55" i="26"/>
  <c r="O32" i="27"/>
  <c r="D55" i="29"/>
  <c r="D55" i="26"/>
  <c r="D32" i="27"/>
  <c r="H55" i="26"/>
  <c r="H32" i="27"/>
  <c r="L55" i="26"/>
  <c r="L32" i="27"/>
  <c r="E55" i="26"/>
  <c r="E32" i="27"/>
  <c r="I55" i="26"/>
  <c r="I32" i="27"/>
  <c r="M55" i="26"/>
  <c r="M32" i="27"/>
  <c r="F55" i="26"/>
  <c r="F32" i="27"/>
  <c r="J55" i="26"/>
  <c r="J32" i="27"/>
  <c r="N55" i="26"/>
  <c r="N32" i="27"/>
  <c r="E55" i="25"/>
  <c r="D78" i="25"/>
  <c r="Q97" i="29"/>
  <c r="P94" i="29"/>
  <c r="P94" i="26"/>
  <c r="C25" i="27"/>
  <c r="B25" i="27"/>
  <c r="B44" i="27" s="1"/>
  <c r="B177" i="27" s="1"/>
  <c r="P111" i="25"/>
  <c r="Q111" i="25" s="1"/>
  <c r="F107" i="25"/>
  <c r="P101" i="25"/>
  <c r="Q101" i="25" s="1"/>
  <c r="J103" i="25"/>
  <c r="J94" i="25" s="1"/>
  <c r="G103" i="25"/>
  <c r="G94" i="25" s="1"/>
  <c r="O107" i="25"/>
  <c r="G107" i="25"/>
  <c r="K103" i="25"/>
  <c r="K94" i="25" s="1"/>
  <c r="N103" i="25"/>
  <c r="N94" i="25" s="1"/>
  <c r="F103" i="25"/>
  <c r="F94" i="25" s="1"/>
  <c r="M86" i="25"/>
  <c r="M132" i="25" s="1"/>
  <c r="K85" i="25"/>
  <c r="K131" i="25" s="1"/>
  <c r="C85" i="25"/>
  <c r="C131" i="25" s="1"/>
  <c r="H86" i="25"/>
  <c r="H132" i="25" s="1"/>
  <c r="K88" i="25"/>
  <c r="K134" i="25" s="1"/>
  <c r="N86" i="25"/>
  <c r="N132" i="25" s="1"/>
  <c r="F86" i="25"/>
  <c r="F132" i="25" s="1"/>
  <c r="N78" i="25"/>
  <c r="N124" i="25" s="1"/>
  <c r="F78" i="25"/>
  <c r="F124" i="25" s="1"/>
  <c r="P108" i="25"/>
  <c r="L86" i="25"/>
  <c r="L132" i="25" s="1"/>
  <c r="E88" i="25"/>
  <c r="E134" i="25" s="1"/>
  <c r="L88" i="25"/>
  <c r="L134" i="25" s="1"/>
  <c r="C119" i="25"/>
  <c r="C120" i="25" s="1"/>
  <c r="C74" i="25"/>
  <c r="C71" i="25" s="1"/>
  <c r="O88" i="25"/>
  <c r="O134" i="25" s="1"/>
  <c r="G88" i="25"/>
  <c r="G134" i="25" s="1"/>
  <c r="J86" i="25"/>
  <c r="J132" i="25" s="1"/>
  <c r="J78" i="25"/>
  <c r="J124" i="25" s="1"/>
  <c r="P97" i="25"/>
  <c r="D94" i="25"/>
  <c r="D113" i="25" s="1"/>
  <c r="D181" i="25" s="1"/>
  <c r="B25" i="25"/>
  <c r="B44" i="25" s="1"/>
  <c r="N88" i="25"/>
  <c r="N134" i="25" s="1"/>
  <c r="F88" i="25"/>
  <c r="F134" i="25" s="1"/>
  <c r="P97" i="36"/>
  <c r="I61" i="26" l="1"/>
  <c r="E61" i="27"/>
  <c r="F51" i="27"/>
  <c r="C76" i="63"/>
  <c r="C80" i="63" s="1"/>
  <c r="C71" i="63" s="1"/>
  <c r="C122" i="27"/>
  <c r="C80" i="27"/>
  <c r="C71" i="27" s="1"/>
  <c r="B130" i="46"/>
  <c r="B48" i="46"/>
  <c r="B94" i="46" s="1"/>
  <c r="B183" i="29"/>
  <c r="B93" i="46"/>
  <c r="B139" i="46" s="1"/>
  <c r="B35" i="46"/>
  <c r="B80" i="28"/>
  <c r="B90" i="46" s="1"/>
  <c r="K61" i="29"/>
  <c r="M61" i="29"/>
  <c r="O61" i="29"/>
  <c r="D57" i="29"/>
  <c r="N29" i="63"/>
  <c r="N52" i="63" s="1"/>
  <c r="N75" i="63" s="1"/>
  <c r="N121" i="63" s="1"/>
  <c r="J29" i="63"/>
  <c r="J52" i="63" s="1"/>
  <c r="J75" i="63" s="1"/>
  <c r="J121" i="63" s="1"/>
  <c r="F29" i="63"/>
  <c r="F52" i="63" s="1"/>
  <c r="F75" i="63" s="1"/>
  <c r="F121" i="63" s="1"/>
  <c r="G31" i="63"/>
  <c r="G54" i="63" s="1"/>
  <c r="G77" i="63" s="1"/>
  <c r="F31" i="63"/>
  <c r="F54" i="63" s="1"/>
  <c r="F77" i="63" s="1"/>
  <c r="F123" i="63" s="1"/>
  <c r="G29" i="63"/>
  <c r="G52" i="63" s="1"/>
  <c r="E31" i="63"/>
  <c r="K61" i="27"/>
  <c r="E29" i="63"/>
  <c r="G61" i="29"/>
  <c r="I61" i="29"/>
  <c r="D57" i="25"/>
  <c r="D54" i="26"/>
  <c r="D31" i="63"/>
  <c r="L29" i="63"/>
  <c r="L52" i="63" s="1"/>
  <c r="L75" i="63" s="1"/>
  <c r="L121" i="63" s="1"/>
  <c r="H29" i="63"/>
  <c r="H52" i="63" s="1"/>
  <c r="H75" i="63" s="1"/>
  <c r="H121" i="63" s="1"/>
  <c r="D52" i="26"/>
  <c r="D29" i="63"/>
  <c r="N31" i="63"/>
  <c r="N54" i="63" s="1"/>
  <c r="N77" i="63" s="1"/>
  <c r="N123" i="63" s="1"/>
  <c r="B25" i="28"/>
  <c r="B89" i="46"/>
  <c r="B135" i="46" s="1"/>
  <c r="E55" i="27"/>
  <c r="E32" i="63"/>
  <c r="E55" i="63" s="1"/>
  <c r="E78" i="63" s="1"/>
  <c r="E124" i="63" s="1"/>
  <c r="D53" i="27"/>
  <c r="D30" i="63"/>
  <c r="F53" i="27"/>
  <c r="F76" i="27" s="1"/>
  <c r="F122" i="27" s="1"/>
  <c r="F30" i="63"/>
  <c r="E53" i="63"/>
  <c r="F55" i="27"/>
  <c r="F32" i="63"/>
  <c r="D55" i="27"/>
  <c r="D78" i="27" s="1"/>
  <c r="D32" i="63"/>
  <c r="F49" i="26"/>
  <c r="F26" i="63"/>
  <c r="E49" i="26"/>
  <c r="E26" i="63"/>
  <c r="O29" i="63"/>
  <c r="K29" i="63"/>
  <c r="K52" i="63" s="1"/>
  <c r="K75" i="63" s="1"/>
  <c r="K121" i="63" s="1"/>
  <c r="I55" i="27"/>
  <c r="I32" i="63"/>
  <c r="N53" i="27"/>
  <c r="N76" i="27" s="1"/>
  <c r="N122" i="27" s="1"/>
  <c r="N30" i="63"/>
  <c r="J53" i="27"/>
  <c r="J76" i="27" s="1"/>
  <c r="J122" i="27" s="1"/>
  <c r="J30" i="63"/>
  <c r="P94" i="63"/>
  <c r="P113" i="63" s="1"/>
  <c r="P181" i="63" s="1"/>
  <c r="Q97" i="63"/>
  <c r="K31" i="63"/>
  <c r="H53" i="63"/>
  <c r="J55" i="27"/>
  <c r="J32" i="63"/>
  <c r="M55" i="27"/>
  <c r="M32" i="63"/>
  <c r="H55" i="27"/>
  <c r="H32" i="63"/>
  <c r="K53" i="27"/>
  <c r="K76" i="27" s="1"/>
  <c r="K122" i="27" s="1"/>
  <c r="K30" i="63"/>
  <c r="J49" i="26"/>
  <c r="J26" i="63"/>
  <c r="I31" i="63"/>
  <c r="M53" i="63"/>
  <c r="M76" i="63" s="1"/>
  <c r="H49" i="26"/>
  <c r="H26" i="63"/>
  <c r="L54" i="26"/>
  <c r="L57" i="26" s="1"/>
  <c r="L31" i="63"/>
  <c r="L53" i="63"/>
  <c r="L76" i="63" s="1"/>
  <c r="K49" i="26"/>
  <c r="K26" i="63"/>
  <c r="N55" i="27"/>
  <c r="N32" i="63"/>
  <c r="N55" i="63" s="1"/>
  <c r="N78" i="63" s="1"/>
  <c r="N124" i="63" s="1"/>
  <c r="L55" i="27"/>
  <c r="L32" i="63"/>
  <c r="G53" i="63"/>
  <c r="G76" i="63" s="1"/>
  <c r="O52" i="63"/>
  <c r="O75" i="63" s="1"/>
  <c r="O121" i="63" s="1"/>
  <c r="I53" i="63"/>
  <c r="H54" i="26"/>
  <c r="H57" i="26" s="1"/>
  <c r="H31" i="63"/>
  <c r="K55" i="27"/>
  <c r="K32" i="63"/>
  <c r="K55" i="63" s="1"/>
  <c r="K78" i="63" s="1"/>
  <c r="K124" i="63" s="1"/>
  <c r="O55" i="27"/>
  <c r="O32" i="63"/>
  <c r="O55" i="63" s="1"/>
  <c r="O78" i="63" s="1"/>
  <c r="O124" i="63" s="1"/>
  <c r="G55" i="27"/>
  <c r="G32" i="63"/>
  <c r="O31" i="63"/>
  <c r="O53" i="27"/>
  <c r="O76" i="27" s="1"/>
  <c r="O122" i="27" s="1"/>
  <c r="O30" i="63"/>
  <c r="N49" i="26"/>
  <c r="N26" i="63"/>
  <c r="M31" i="63"/>
  <c r="M54" i="63" s="1"/>
  <c r="M77" i="63" s="1"/>
  <c r="M123" i="63" s="1"/>
  <c r="M29" i="63"/>
  <c r="I29" i="63"/>
  <c r="L49" i="26"/>
  <c r="L51" i="26" s="1"/>
  <c r="L26" i="63"/>
  <c r="O49" i="26"/>
  <c r="O26" i="63"/>
  <c r="G49" i="26"/>
  <c r="G26" i="63"/>
  <c r="J31" i="63"/>
  <c r="M49" i="26"/>
  <c r="M51" i="26" s="1"/>
  <c r="M26" i="63"/>
  <c r="I49" i="26"/>
  <c r="I26" i="63"/>
  <c r="D49" i="27"/>
  <c r="D51" i="27" s="1"/>
  <c r="D26" i="63"/>
  <c r="B180" i="27"/>
  <c r="B185" i="27" s="1"/>
  <c r="B180" i="25"/>
  <c r="B185" i="25" s="1"/>
  <c r="B120" i="28"/>
  <c r="B180" i="63"/>
  <c r="B185" i="63" s="1"/>
  <c r="B86" i="46"/>
  <c r="B132" i="46" s="1"/>
  <c r="B122" i="28"/>
  <c r="B126" i="28" s="1"/>
  <c r="B95" i="46"/>
  <c r="B177" i="25"/>
  <c r="B121" i="28"/>
  <c r="B85" i="46"/>
  <c r="B113" i="25"/>
  <c r="B181" i="25" s="1"/>
  <c r="O61" i="26"/>
  <c r="I61" i="27"/>
  <c r="E61" i="25"/>
  <c r="I61" i="25"/>
  <c r="M58" i="29"/>
  <c r="D51" i="29"/>
  <c r="L58" i="27"/>
  <c r="H58" i="27"/>
  <c r="D58" i="27"/>
  <c r="N58" i="25"/>
  <c r="J58" i="25"/>
  <c r="O58" i="25"/>
  <c r="K58" i="25"/>
  <c r="G58" i="25"/>
  <c r="M65" i="26"/>
  <c r="M88" i="26" s="1"/>
  <c r="M134" i="26" s="1"/>
  <c r="I65" i="26"/>
  <c r="I88" i="26" s="1"/>
  <c r="I134" i="26" s="1"/>
  <c r="E65" i="26"/>
  <c r="E88" i="26" s="1"/>
  <c r="E134" i="26" s="1"/>
  <c r="M58" i="25"/>
  <c r="E57" i="29"/>
  <c r="K65" i="26"/>
  <c r="K88" i="26" s="1"/>
  <c r="K134" i="26" s="1"/>
  <c r="L58" i="26"/>
  <c r="H58" i="26"/>
  <c r="D58" i="26"/>
  <c r="O63" i="27"/>
  <c r="O86" i="27" s="1"/>
  <c r="O132" i="27" s="1"/>
  <c r="G63" i="27"/>
  <c r="G86" i="27" s="1"/>
  <c r="G132" i="27" s="1"/>
  <c r="L61" i="27"/>
  <c r="H61" i="26"/>
  <c r="D61" i="26"/>
  <c r="J65" i="26"/>
  <c r="J88" i="26" s="1"/>
  <c r="J134" i="26" s="1"/>
  <c r="F65" i="29"/>
  <c r="M63" i="26"/>
  <c r="M86" i="26" s="1"/>
  <c r="M132" i="26" s="1"/>
  <c r="E63" i="26"/>
  <c r="E86" i="26" s="1"/>
  <c r="E132" i="26" s="1"/>
  <c r="L65" i="29"/>
  <c r="B126" i="63"/>
  <c r="B117" i="63" s="1"/>
  <c r="B136" i="63" s="1"/>
  <c r="B182" i="63" s="1"/>
  <c r="B186" i="63" s="1"/>
  <c r="B187" i="63" s="1"/>
  <c r="N42" i="20"/>
  <c r="F42" i="20"/>
  <c r="I42" i="20"/>
  <c r="F63" i="29"/>
  <c r="L63" i="29"/>
  <c r="M62" i="25"/>
  <c r="M61" i="25" s="1"/>
  <c r="L61" i="26"/>
  <c r="H61" i="29"/>
  <c r="D61" i="29"/>
  <c r="E63" i="29"/>
  <c r="J61" i="26"/>
  <c r="F61" i="26"/>
  <c r="H65" i="29"/>
  <c r="H42" i="20"/>
  <c r="O42" i="20"/>
  <c r="G42" i="20"/>
  <c r="M65" i="25"/>
  <c r="M88" i="25" s="1"/>
  <c r="M134" i="25" s="1"/>
  <c r="O58" i="29"/>
  <c r="K58" i="29"/>
  <c r="G58" i="29"/>
  <c r="N63" i="26"/>
  <c r="N86" i="26" s="1"/>
  <c r="N132" i="26" s="1"/>
  <c r="J63" i="29"/>
  <c r="M65" i="27"/>
  <c r="M88" i="27" s="1"/>
  <c r="M134" i="27" s="1"/>
  <c r="I65" i="27"/>
  <c r="I88" i="27" s="1"/>
  <c r="I134" i="27" s="1"/>
  <c r="E65" i="27"/>
  <c r="E88" i="27" s="1"/>
  <c r="E134" i="27" s="1"/>
  <c r="J65" i="25"/>
  <c r="J88" i="25" s="1"/>
  <c r="J134" i="25" s="1"/>
  <c r="K63" i="26"/>
  <c r="K61" i="26" s="1"/>
  <c r="G63" i="26"/>
  <c r="G61" i="26" s="1"/>
  <c r="D61" i="25"/>
  <c r="N38" i="25"/>
  <c r="N62" i="25"/>
  <c r="N61" i="25" s="1"/>
  <c r="L65" i="27"/>
  <c r="L88" i="27" s="1"/>
  <c r="L134" i="27" s="1"/>
  <c r="H65" i="25"/>
  <c r="H88" i="25" s="1"/>
  <c r="H134" i="25" s="1"/>
  <c r="J42" i="20"/>
  <c r="M42" i="20"/>
  <c r="E42" i="20"/>
  <c r="I65" i="25"/>
  <c r="I88" i="25" s="1"/>
  <c r="I134" i="25" s="1"/>
  <c r="N63" i="29"/>
  <c r="O65" i="27"/>
  <c r="O88" i="27" s="1"/>
  <c r="O134" i="27" s="1"/>
  <c r="G65" i="27"/>
  <c r="G88" i="27" s="1"/>
  <c r="G134" i="27" s="1"/>
  <c r="H38" i="25"/>
  <c r="H62" i="25"/>
  <c r="H61" i="25" s="1"/>
  <c r="K38" i="25"/>
  <c r="K63" i="25"/>
  <c r="K61" i="25" s="1"/>
  <c r="L38" i="25"/>
  <c r="L62" i="25"/>
  <c r="L61" i="25" s="1"/>
  <c r="H61" i="27"/>
  <c r="D61" i="27"/>
  <c r="N65" i="26"/>
  <c r="N88" i="26" s="1"/>
  <c r="N134" i="26" s="1"/>
  <c r="J65" i="29"/>
  <c r="F65" i="26"/>
  <c r="F88" i="26" s="1"/>
  <c r="F134" i="26" s="1"/>
  <c r="M63" i="27"/>
  <c r="M61" i="27" s="1"/>
  <c r="N61" i="27"/>
  <c r="J61" i="27"/>
  <c r="F61" i="27"/>
  <c r="L42" i="20"/>
  <c r="D42" i="20"/>
  <c r="K42" i="20"/>
  <c r="O58" i="27"/>
  <c r="K58" i="27"/>
  <c r="G58" i="27"/>
  <c r="O56" i="25"/>
  <c r="O79" i="25" s="1"/>
  <c r="O125" i="25" s="1"/>
  <c r="K56" i="25"/>
  <c r="K79" i="25" s="1"/>
  <c r="K125" i="25" s="1"/>
  <c r="G56" i="25"/>
  <c r="G79" i="25" s="1"/>
  <c r="G125" i="25" s="1"/>
  <c r="O52" i="27"/>
  <c r="O75" i="27" s="1"/>
  <c r="O121" i="27" s="1"/>
  <c r="G52" i="27"/>
  <c r="G75" i="27" s="1"/>
  <c r="G121" i="27" s="1"/>
  <c r="M58" i="26"/>
  <c r="I58" i="26"/>
  <c r="E58" i="26"/>
  <c r="I57" i="29"/>
  <c r="E52" i="25"/>
  <c r="E75" i="25" s="1"/>
  <c r="E121" i="25" s="1"/>
  <c r="M50" i="25"/>
  <c r="M73" i="25" s="1"/>
  <c r="M119" i="25" s="1"/>
  <c r="L58" i="25"/>
  <c r="H58" i="25"/>
  <c r="D58" i="25"/>
  <c r="L56" i="25"/>
  <c r="L79" i="25" s="1"/>
  <c r="L125" i="25" s="1"/>
  <c r="H56" i="25"/>
  <c r="H79" i="25" s="1"/>
  <c r="H125" i="25" s="1"/>
  <c r="H52" i="27"/>
  <c r="H75" i="27" s="1"/>
  <c r="H121" i="27" s="1"/>
  <c r="H50" i="25"/>
  <c r="H51" i="25" s="1"/>
  <c r="N58" i="27"/>
  <c r="J58" i="27"/>
  <c r="F58" i="27"/>
  <c r="N52" i="25"/>
  <c r="N75" i="25" s="1"/>
  <c r="N121" i="25" s="1"/>
  <c r="F52" i="25"/>
  <c r="F75" i="25" s="1"/>
  <c r="F121" i="25" s="1"/>
  <c r="N50" i="25"/>
  <c r="N51" i="25" s="1"/>
  <c r="J50" i="25"/>
  <c r="J51" i="25" s="1"/>
  <c r="F50" i="25"/>
  <c r="F73" i="25" s="1"/>
  <c r="F119" i="25" s="1"/>
  <c r="K56" i="29"/>
  <c r="K79" i="29" s="1"/>
  <c r="K125" i="29" s="1"/>
  <c r="O54" i="26"/>
  <c r="O77" i="26" s="1"/>
  <c r="O123" i="26" s="1"/>
  <c r="K54" i="26"/>
  <c r="K77" i="26" s="1"/>
  <c r="K123" i="26" s="1"/>
  <c r="O52" i="26"/>
  <c r="O75" i="26" s="1"/>
  <c r="O121" i="26" s="1"/>
  <c r="K52" i="26"/>
  <c r="K75" i="26" s="1"/>
  <c r="K121" i="26" s="1"/>
  <c r="G52" i="29"/>
  <c r="O50" i="29"/>
  <c r="O73" i="29" s="1"/>
  <c r="O119" i="29" s="1"/>
  <c r="K50" i="26"/>
  <c r="G50" i="26"/>
  <c r="G73" i="26" s="1"/>
  <c r="G119" i="26" s="1"/>
  <c r="I58" i="29"/>
  <c r="E58" i="29"/>
  <c r="M56" i="26"/>
  <c r="M79" i="26" s="1"/>
  <c r="M125" i="26" s="1"/>
  <c r="I56" i="26"/>
  <c r="I79" i="26" s="1"/>
  <c r="I125" i="26" s="1"/>
  <c r="M54" i="26"/>
  <c r="M77" i="26" s="1"/>
  <c r="M123" i="26" s="1"/>
  <c r="I54" i="26"/>
  <c r="I77" i="26" s="1"/>
  <c r="I123" i="26" s="1"/>
  <c r="E54" i="26"/>
  <c r="E77" i="26" s="1"/>
  <c r="E123" i="26" s="1"/>
  <c r="M57" i="29"/>
  <c r="M52" i="25"/>
  <c r="M75" i="25" s="1"/>
  <c r="M121" i="25" s="1"/>
  <c r="I52" i="27"/>
  <c r="I75" i="27" s="1"/>
  <c r="I121" i="27" s="1"/>
  <c r="H52" i="29"/>
  <c r="H50" i="26"/>
  <c r="F58" i="25"/>
  <c r="N56" i="25"/>
  <c r="N79" i="25" s="1"/>
  <c r="N125" i="25" s="1"/>
  <c r="F56" i="25"/>
  <c r="F79" i="25" s="1"/>
  <c r="F125" i="25" s="1"/>
  <c r="N52" i="27"/>
  <c r="N75" i="27" s="1"/>
  <c r="N121" i="27" s="1"/>
  <c r="J52" i="27"/>
  <c r="J75" i="27" s="1"/>
  <c r="J121" i="27" s="1"/>
  <c r="F52" i="27"/>
  <c r="F75" i="27" s="1"/>
  <c r="F121" i="27" s="1"/>
  <c r="E51" i="29"/>
  <c r="O58" i="26"/>
  <c r="K58" i="26"/>
  <c r="G58" i="26"/>
  <c r="O56" i="29"/>
  <c r="O79" i="29" s="1"/>
  <c r="O125" i="29" s="1"/>
  <c r="G56" i="29"/>
  <c r="G57" i="29" s="1"/>
  <c r="O54" i="29"/>
  <c r="O77" i="29" s="1"/>
  <c r="O123" i="29" s="1"/>
  <c r="G54" i="26"/>
  <c r="G57" i="26" s="1"/>
  <c r="O52" i="29"/>
  <c r="K52" i="29"/>
  <c r="G52" i="26"/>
  <c r="G75" i="26" s="1"/>
  <c r="G121" i="26" s="1"/>
  <c r="O50" i="26"/>
  <c r="K50" i="29"/>
  <c r="K51" i="29" s="1"/>
  <c r="G50" i="29"/>
  <c r="G51" i="29" s="1"/>
  <c r="M58" i="27"/>
  <c r="I58" i="27"/>
  <c r="E58" i="27"/>
  <c r="E50" i="26"/>
  <c r="L58" i="29"/>
  <c r="H58" i="29"/>
  <c r="D58" i="29"/>
  <c r="L56" i="29"/>
  <c r="L79" i="29" s="1"/>
  <c r="L125" i="29" s="1"/>
  <c r="H54" i="29"/>
  <c r="H77" i="29" s="1"/>
  <c r="H123" i="29" s="1"/>
  <c r="L52" i="26"/>
  <c r="L75" i="26" s="1"/>
  <c r="L121" i="26" s="1"/>
  <c r="H52" i="26"/>
  <c r="H75" i="26" s="1"/>
  <c r="H121" i="26" s="1"/>
  <c r="L50" i="29"/>
  <c r="L73" i="29" s="1"/>
  <c r="L119" i="29" s="1"/>
  <c r="H50" i="29"/>
  <c r="H73" i="29" s="1"/>
  <c r="H119" i="29" s="1"/>
  <c r="G51" i="25"/>
  <c r="N58" i="26"/>
  <c r="J58" i="29"/>
  <c r="F58" i="26"/>
  <c r="N54" i="26"/>
  <c r="N77" i="26" s="1"/>
  <c r="N123" i="26" s="1"/>
  <c r="J54" i="26"/>
  <c r="J77" i="26" s="1"/>
  <c r="J123" i="26" s="1"/>
  <c r="F54" i="26"/>
  <c r="F77" i="26" s="1"/>
  <c r="F123" i="26" s="1"/>
  <c r="N52" i="26"/>
  <c r="N75" i="26" s="1"/>
  <c r="N121" i="26" s="1"/>
  <c r="J52" i="26"/>
  <c r="J75" i="26" s="1"/>
  <c r="J121" i="26" s="1"/>
  <c r="F52" i="26"/>
  <c r="F75" i="26" s="1"/>
  <c r="F121" i="26" s="1"/>
  <c r="N50" i="29"/>
  <c r="N51" i="29" s="1"/>
  <c r="J50" i="26"/>
  <c r="J73" i="26" s="1"/>
  <c r="J119" i="26" s="1"/>
  <c r="F50" i="26"/>
  <c r="M51" i="29"/>
  <c r="I51" i="29"/>
  <c r="K52" i="25"/>
  <c r="K75" i="25" s="1"/>
  <c r="K121" i="25" s="1"/>
  <c r="G52" i="25"/>
  <c r="G75" i="25" s="1"/>
  <c r="G121" i="25" s="1"/>
  <c r="O50" i="25"/>
  <c r="O73" i="25" s="1"/>
  <c r="O119" i="25" s="1"/>
  <c r="K50" i="25"/>
  <c r="K51" i="25" s="1"/>
  <c r="I58" i="25"/>
  <c r="E58" i="25"/>
  <c r="M56" i="25"/>
  <c r="M79" i="25" s="1"/>
  <c r="M125" i="25" s="1"/>
  <c r="E56" i="25"/>
  <c r="E79" i="25" s="1"/>
  <c r="E125" i="25" s="1"/>
  <c r="M52" i="26"/>
  <c r="M75" i="26" s="1"/>
  <c r="M121" i="26" s="1"/>
  <c r="I52" i="26"/>
  <c r="I75" i="26" s="1"/>
  <c r="I121" i="26" s="1"/>
  <c r="E52" i="26"/>
  <c r="E75" i="26" s="1"/>
  <c r="E121" i="26" s="1"/>
  <c r="I50" i="26"/>
  <c r="L52" i="25"/>
  <c r="L75" i="25" s="1"/>
  <c r="L121" i="25" s="1"/>
  <c r="H52" i="25"/>
  <c r="H75" i="25" s="1"/>
  <c r="H121" i="25" s="1"/>
  <c r="L50" i="25"/>
  <c r="L51" i="25" s="1"/>
  <c r="N58" i="29"/>
  <c r="J58" i="26"/>
  <c r="F58" i="29"/>
  <c r="N56" i="29"/>
  <c r="N79" i="29" s="1"/>
  <c r="N125" i="29" s="1"/>
  <c r="J56" i="29"/>
  <c r="J79" i="29" s="1"/>
  <c r="J125" i="29" s="1"/>
  <c r="F56" i="29"/>
  <c r="F79" i="29" s="1"/>
  <c r="F125" i="29" s="1"/>
  <c r="N54" i="29"/>
  <c r="N77" i="29" s="1"/>
  <c r="N123" i="29" s="1"/>
  <c r="J54" i="29"/>
  <c r="J77" i="29" s="1"/>
  <c r="J123" i="29" s="1"/>
  <c r="F54" i="29"/>
  <c r="N52" i="29"/>
  <c r="J52" i="29"/>
  <c r="F52" i="29"/>
  <c r="N50" i="26"/>
  <c r="J50" i="29"/>
  <c r="J73" i="29" s="1"/>
  <c r="J119" i="29" s="1"/>
  <c r="F50" i="29"/>
  <c r="F51" i="29" s="1"/>
  <c r="I51" i="25"/>
  <c r="I54" i="25"/>
  <c r="I77" i="25" s="1"/>
  <c r="I123" i="25" s="1"/>
  <c r="O54" i="25"/>
  <c r="O77" i="25" s="1"/>
  <c r="O123" i="25" s="1"/>
  <c r="K54" i="25"/>
  <c r="K77" i="25" s="1"/>
  <c r="K123" i="25" s="1"/>
  <c r="L54" i="25"/>
  <c r="L77" i="25" s="1"/>
  <c r="L123" i="25" s="1"/>
  <c r="H54" i="25"/>
  <c r="H77" i="25" s="1"/>
  <c r="H123" i="25" s="1"/>
  <c r="J57" i="25"/>
  <c r="M54" i="25"/>
  <c r="M77" i="25" s="1"/>
  <c r="M123" i="25" s="1"/>
  <c r="E54" i="25"/>
  <c r="E77" i="25" s="1"/>
  <c r="E123" i="25" s="1"/>
  <c r="I53" i="27"/>
  <c r="E53" i="27"/>
  <c r="E76" i="27" s="1"/>
  <c r="E122" i="27" s="1"/>
  <c r="O56" i="27"/>
  <c r="O79" i="27" s="1"/>
  <c r="O125" i="27" s="1"/>
  <c r="G56" i="27"/>
  <c r="G79" i="27" s="1"/>
  <c r="G125" i="27" s="1"/>
  <c r="O54" i="27"/>
  <c r="O77" i="27" s="1"/>
  <c r="O123" i="27" s="1"/>
  <c r="K54" i="27"/>
  <c r="G54" i="27"/>
  <c r="G77" i="27" s="1"/>
  <c r="G123" i="27" s="1"/>
  <c r="I56" i="27"/>
  <c r="I79" i="27" s="1"/>
  <c r="I125" i="27" s="1"/>
  <c r="M54" i="27"/>
  <c r="M77" i="27" s="1"/>
  <c r="M123" i="27" s="1"/>
  <c r="E54" i="27"/>
  <c r="E77" i="27" s="1"/>
  <c r="E123" i="27" s="1"/>
  <c r="M53" i="27"/>
  <c r="C90" i="63"/>
  <c r="C180" i="63" s="1"/>
  <c r="C44" i="63"/>
  <c r="N56" i="27"/>
  <c r="N79" i="27" s="1"/>
  <c r="N125" i="27" s="1"/>
  <c r="J56" i="27"/>
  <c r="N54" i="27"/>
  <c r="N77" i="27" s="1"/>
  <c r="N123" i="27" s="1"/>
  <c r="J54" i="27"/>
  <c r="J77" i="27" s="1"/>
  <c r="J123" i="27" s="1"/>
  <c r="F54" i="27"/>
  <c r="F77" i="27" s="1"/>
  <c r="F123" i="27" s="1"/>
  <c r="G53" i="27"/>
  <c r="H56" i="27"/>
  <c r="H79" i="27" s="1"/>
  <c r="H125" i="27" s="1"/>
  <c r="L54" i="27"/>
  <c r="L77" i="27" s="1"/>
  <c r="L123" i="27" s="1"/>
  <c r="L53" i="27"/>
  <c r="H53" i="27"/>
  <c r="C113" i="63"/>
  <c r="K50" i="27"/>
  <c r="K73" i="27" s="1"/>
  <c r="K119" i="27" s="1"/>
  <c r="G50" i="27"/>
  <c r="G51" i="27" s="1"/>
  <c r="L50" i="27"/>
  <c r="L51" i="27" s="1"/>
  <c r="O51" i="27"/>
  <c r="I51" i="27"/>
  <c r="H50" i="27"/>
  <c r="H73" i="27" s="1"/>
  <c r="H119" i="27" s="1"/>
  <c r="M50" i="27"/>
  <c r="M51" i="27" s="1"/>
  <c r="E50" i="27"/>
  <c r="E51" i="27" s="1"/>
  <c r="N50" i="27"/>
  <c r="N51" i="27" s="1"/>
  <c r="J50" i="27"/>
  <c r="J73" i="27" s="1"/>
  <c r="J119" i="27" s="1"/>
  <c r="E53" i="25"/>
  <c r="H55" i="25"/>
  <c r="H78" i="25" s="1"/>
  <c r="H124" i="25" s="1"/>
  <c r="M55" i="25"/>
  <c r="M78" i="25" s="1"/>
  <c r="M124" i="25" s="1"/>
  <c r="M53" i="25"/>
  <c r="G55" i="25"/>
  <c r="G57" i="25" s="1"/>
  <c r="I55" i="25"/>
  <c r="K55" i="25"/>
  <c r="I53" i="26"/>
  <c r="H53" i="29"/>
  <c r="L55" i="25"/>
  <c r="L78" i="25" s="1"/>
  <c r="L124" i="25" s="1"/>
  <c r="D57" i="26"/>
  <c r="O55" i="25"/>
  <c r="K53" i="26"/>
  <c r="M53" i="26"/>
  <c r="L53" i="29"/>
  <c r="J53" i="29"/>
  <c r="B126" i="27"/>
  <c r="B117" i="27" s="1"/>
  <c r="B136" i="27" s="1"/>
  <c r="B182" i="27" s="1"/>
  <c r="B186" i="27" s="1"/>
  <c r="O38" i="25"/>
  <c r="G86" i="25"/>
  <c r="G132" i="25" s="1"/>
  <c r="I86" i="26"/>
  <c r="I132" i="26" s="1"/>
  <c r="O86" i="26"/>
  <c r="O132" i="26" s="1"/>
  <c r="E86" i="25"/>
  <c r="E132" i="25" s="1"/>
  <c r="F38" i="25"/>
  <c r="D85" i="25"/>
  <c r="D131" i="25" s="1"/>
  <c r="N113" i="25"/>
  <c r="N181" i="25" s="1"/>
  <c r="G73" i="25"/>
  <c r="G119" i="25" s="1"/>
  <c r="J34" i="25"/>
  <c r="F34" i="25"/>
  <c r="D38" i="25"/>
  <c r="N86" i="27"/>
  <c r="N132" i="27" s="1"/>
  <c r="F76" i="25"/>
  <c r="F122" i="25" s="1"/>
  <c r="G34" i="25"/>
  <c r="B117" i="25"/>
  <c r="B136" i="25" s="1"/>
  <c r="B182" i="25" s="1"/>
  <c r="B186" i="25" s="1"/>
  <c r="C113" i="25"/>
  <c r="C181" i="25" s="1"/>
  <c r="J113" i="25"/>
  <c r="J181" i="25" s="1"/>
  <c r="B186" i="29"/>
  <c r="B187" i="29" s="1"/>
  <c r="P94" i="27"/>
  <c r="P113" i="27" s="1"/>
  <c r="P26" i="25"/>
  <c r="Q26" i="25" s="1"/>
  <c r="E28" i="25"/>
  <c r="H34" i="25"/>
  <c r="J28" i="25"/>
  <c r="N34" i="25"/>
  <c r="K28" i="25"/>
  <c r="F28" i="25"/>
  <c r="J76" i="25"/>
  <c r="J122" i="25" s="1"/>
  <c r="B186" i="26"/>
  <c r="B187" i="26" s="1"/>
  <c r="K34" i="25"/>
  <c r="L35" i="29"/>
  <c r="N28" i="25"/>
  <c r="M28" i="25"/>
  <c r="O28" i="25"/>
  <c r="F79" i="27"/>
  <c r="F125" i="27" s="1"/>
  <c r="I38" i="25"/>
  <c r="K35" i="25"/>
  <c r="G35" i="25"/>
  <c r="E35" i="26"/>
  <c r="I28" i="25"/>
  <c r="K113" i="25"/>
  <c r="K181" i="25" s="1"/>
  <c r="J86" i="27"/>
  <c r="J132" i="27" s="1"/>
  <c r="M35" i="29"/>
  <c r="E35" i="29"/>
  <c r="I73" i="27"/>
  <c r="I119" i="27" s="1"/>
  <c r="J38" i="25"/>
  <c r="C117" i="25"/>
  <c r="D34" i="25"/>
  <c r="M34" i="25"/>
  <c r="I34" i="25"/>
  <c r="G28" i="25"/>
  <c r="E34" i="25"/>
  <c r="P42" i="25"/>
  <c r="Q42" i="25" s="1"/>
  <c r="K86" i="27"/>
  <c r="K132" i="27" s="1"/>
  <c r="H35" i="25"/>
  <c r="P40" i="25"/>
  <c r="Q40" i="25" s="1"/>
  <c r="M38" i="25"/>
  <c r="O86" i="25"/>
  <c r="O132" i="25" s="1"/>
  <c r="C130" i="25"/>
  <c r="F86" i="27"/>
  <c r="F132" i="27" s="1"/>
  <c r="M35" i="27"/>
  <c r="I35" i="27"/>
  <c r="N35" i="25"/>
  <c r="J35" i="25"/>
  <c r="F35" i="25"/>
  <c r="O35" i="29"/>
  <c r="K35" i="29"/>
  <c r="G35" i="29"/>
  <c r="O79" i="26"/>
  <c r="O125" i="26" s="1"/>
  <c r="G79" i="26"/>
  <c r="G125" i="26" s="1"/>
  <c r="G77" i="29"/>
  <c r="G123" i="29" s="1"/>
  <c r="O76" i="26"/>
  <c r="O122" i="26" s="1"/>
  <c r="K75" i="27"/>
  <c r="K121" i="27" s="1"/>
  <c r="O73" i="27"/>
  <c r="O119" i="27" s="1"/>
  <c r="N28" i="26"/>
  <c r="J28" i="29"/>
  <c r="J86" i="26"/>
  <c r="J132" i="26" s="1"/>
  <c r="K85" i="27"/>
  <c r="K131" i="27" s="1"/>
  <c r="K38" i="27"/>
  <c r="G38" i="26"/>
  <c r="C85" i="29"/>
  <c r="C131" i="29" s="1"/>
  <c r="C130" i="29" s="1"/>
  <c r="C136" i="29" s="1"/>
  <c r="C182" i="29" s="1"/>
  <c r="C38" i="29"/>
  <c r="M35" i="26"/>
  <c r="I35" i="26"/>
  <c r="M79" i="29"/>
  <c r="M125" i="29" s="1"/>
  <c r="I79" i="29"/>
  <c r="I125" i="29" s="1"/>
  <c r="E79" i="29"/>
  <c r="E125" i="29" s="1"/>
  <c r="M77" i="29"/>
  <c r="M123" i="29" s="1"/>
  <c r="I77" i="29"/>
  <c r="I123" i="29" s="1"/>
  <c r="E77" i="29"/>
  <c r="E123" i="29" s="1"/>
  <c r="I76" i="29"/>
  <c r="I122" i="29" s="1"/>
  <c r="E76" i="29"/>
  <c r="E122" i="29" s="1"/>
  <c r="M73" i="29"/>
  <c r="M119" i="29" s="1"/>
  <c r="E73" i="29"/>
  <c r="E119" i="29" s="1"/>
  <c r="L28" i="26"/>
  <c r="H28" i="29"/>
  <c r="P26" i="29"/>
  <c r="Q26" i="29" s="1"/>
  <c r="D28" i="29"/>
  <c r="H86" i="27"/>
  <c r="H132" i="27" s="1"/>
  <c r="D86" i="26"/>
  <c r="P40" i="26"/>
  <c r="Q40" i="26" s="1"/>
  <c r="M85" i="29"/>
  <c r="M131" i="29" s="1"/>
  <c r="M38" i="29"/>
  <c r="I38" i="26"/>
  <c r="E38" i="26"/>
  <c r="P27" i="29"/>
  <c r="Q27" i="29" s="1"/>
  <c r="L83" i="26"/>
  <c r="L129" i="26" s="1"/>
  <c r="F83" i="26"/>
  <c r="F129" i="26" s="1"/>
  <c r="G83" i="26"/>
  <c r="G129" i="26" s="1"/>
  <c r="H83" i="26"/>
  <c r="H129" i="26" s="1"/>
  <c r="E83" i="26"/>
  <c r="E129" i="26" s="1"/>
  <c r="J83" i="26"/>
  <c r="J129" i="26" s="1"/>
  <c r="K83" i="26"/>
  <c r="K129" i="26" s="1"/>
  <c r="P37" i="26"/>
  <c r="Q37" i="26" s="1"/>
  <c r="I83" i="26"/>
  <c r="I129" i="26" s="1"/>
  <c r="N83" i="26"/>
  <c r="N129" i="26" s="1"/>
  <c r="M83" i="26"/>
  <c r="M129" i="26" s="1"/>
  <c r="O83" i="26"/>
  <c r="O129" i="26" s="1"/>
  <c r="H35" i="29"/>
  <c r="I82" i="29"/>
  <c r="I128" i="29" s="1"/>
  <c r="D35" i="29"/>
  <c r="N82" i="29"/>
  <c r="N128" i="29" s="1"/>
  <c r="J82" i="29"/>
  <c r="J128" i="29" s="1"/>
  <c r="K82" i="29"/>
  <c r="K128" i="29" s="1"/>
  <c r="D82" i="29"/>
  <c r="F82" i="29"/>
  <c r="F128" i="29" s="1"/>
  <c r="P36" i="29"/>
  <c r="Q36" i="29" s="1"/>
  <c r="G82" i="29"/>
  <c r="G128" i="29" s="1"/>
  <c r="H79" i="29"/>
  <c r="H125" i="29" s="1"/>
  <c r="P33" i="29"/>
  <c r="Q33" i="29" s="1"/>
  <c r="L77" i="29"/>
  <c r="L123" i="29" s="1"/>
  <c r="D77" i="29"/>
  <c r="P31" i="29"/>
  <c r="Q31" i="29" s="1"/>
  <c r="L76" i="26"/>
  <c r="L122" i="26" s="1"/>
  <c r="H76" i="26"/>
  <c r="H122" i="26" s="1"/>
  <c r="P30" i="29"/>
  <c r="Q30" i="29" s="1"/>
  <c r="P29" i="26"/>
  <c r="Q29" i="26" s="1"/>
  <c r="O28" i="29"/>
  <c r="H38" i="27"/>
  <c r="D38" i="27"/>
  <c r="P39" i="27"/>
  <c r="Q39" i="27" s="1"/>
  <c r="J79" i="25"/>
  <c r="J125" i="25" s="1"/>
  <c r="N77" i="25"/>
  <c r="N123" i="25" s="1"/>
  <c r="J77" i="25"/>
  <c r="J123" i="25" s="1"/>
  <c r="F77" i="25"/>
  <c r="F123" i="25" s="1"/>
  <c r="F73" i="27"/>
  <c r="F119" i="27" s="1"/>
  <c r="M28" i="26"/>
  <c r="I28" i="26"/>
  <c r="E28" i="29"/>
  <c r="D88" i="26"/>
  <c r="P42" i="26"/>
  <c r="Q42" i="26" s="1"/>
  <c r="E85" i="25"/>
  <c r="E131" i="25" s="1"/>
  <c r="H76" i="25"/>
  <c r="P39" i="25"/>
  <c r="Q39" i="25" s="1"/>
  <c r="O35" i="26"/>
  <c r="K35" i="26"/>
  <c r="G35" i="26"/>
  <c r="K79" i="26"/>
  <c r="K125" i="26" s="1"/>
  <c r="K77" i="29"/>
  <c r="K123" i="29" s="1"/>
  <c r="G76" i="29"/>
  <c r="G122" i="29" s="1"/>
  <c r="N28" i="29"/>
  <c r="F28" i="27"/>
  <c r="O38" i="27"/>
  <c r="K38" i="26"/>
  <c r="G38" i="29"/>
  <c r="I35" i="29"/>
  <c r="E79" i="26"/>
  <c r="E125" i="26" s="1"/>
  <c r="M76" i="29"/>
  <c r="M122" i="29" s="1"/>
  <c r="M75" i="27"/>
  <c r="M121" i="27" s="1"/>
  <c r="I75" i="25"/>
  <c r="I121" i="25" s="1"/>
  <c r="L28" i="25"/>
  <c r="H28" i="25"/>
  <c r="D28" i="25"/>
  <c r="L86" i="27"/>
  <c r="L132" i="27" s="1"/>
  <c r="P40" i="29"/>
  <c r="Q40" i="29" s="1"/>
  <c r="M38" i="26"/>
  <c r="E38" i="27"/>
  <c r="K88" i="27"/>
  <c r="K134" i="27" s="1"/>
  <c r="P27" i="27"/>
  <c r="Q27" i="27" s="1"/>
  <c r="N83" i="29"/>
  <c r="N129" i="29" s="1"/>
  <c r="P37" i="29"/>
  <c r="Q37" i="29" s="1"/>
  <c r="E83" i="29"/>
  <c r="E129" i="29" s="1"/>
  <c r="O83" i="29"/>
  <c r="O129" i="29" s="1"/>
  <c r="J83" i="29"/>
  <c r="J129" i="29" s="1"/>
  <c r="L83" i="29"/>
  <c r="L129" i="29" s="1"/>
  <c r="F83" i="29"/>
  <c r="F129" i="29" s="1"/>
  <c r="K83" i="29"/>
  <c r="K129" i="29" s="1"/>
  <c r="H83" i="29"/>
  <c r="H129" i="29" s="1"/>
  <c r="M83" i="29"/>
  <c r="M129" i="29" s="1"/>
  <c r="G83" i="29"/>
  <c r="G129" i="29" s="1"/>
  <c r="L35" i="26"/>
  <c r="H35" i="26"/>
  <c r="N82" i="26"/>
  <c r="N128" i="26" s="1"/>
  <c r="D35" i="26"/>
  <c r="J82" i="26"/>
  <c r="J128" i="26" s="1"/>
  <c r="P36" i="26"/>
  <c r="Q36" i="26" s="1"/>
  <c r="L79" i="26"/>
  <c r="L125" i="26" s="1"/>
  <c r="H79" i="26"/>
  <c r="H125" i="26" s="1"/>
  <c r="D79" i="26"/>
  <c r="P33" i="26"/>
  <c r="Q33" i="26" s="1"/>
  <c r="D77" i="26"/>
  <c r="P31" i="26"/>
  <c r="Q31" i="26" s="1"/>
  <c r="P29" i="25"/>
  <c r="Q29" i="25" s="1"/>
  <c r="K28" i="27"/>
  <c r="G28" i="27"/>
  <c r="L38" i="27"/>
  <c r="H85" i="26"/>
  <c r="H131" i="26" s="1"/>
  <c r="H38" i="26"/>
  <c r="D85" i="26"/>
  <c r="P39" i="26"/>
  <c r="Q39" i="26" s="1"/>
  <c r="D38" i="26"/>
  <c r="N88" i="29"/>
  <c r="N134" i="29" s="1"/>
  <c r="N35" i="26"/>
  <c r="J35" i="29"/>
  <c r="F35" i="26"/>
  <c r="N79" i="26"/>
  <c r="N125" i="26" s="1"/>
  <c r="J79" i="26"/>
  <c r="J125" i="26" s="1"/>
  <c r="F79" i="26"/>
  <c r="F125" i="26" s="1"/>
  <c r="N76" i="29"/>
  <c r="N122" i="29" s="1"/>
  <c r="F76" i="29"/>
  <c r="F122" i="29" s="1"/>
  <c r="M28" i="29"/>
  <c r="I28" i="29"/>
  <c r="I72" i="29"/>
  <c r="I86" i="27"/>
  <c r="I132" i="27" s="1"/>
  <c r="E86" i="27"/>
  <c r="E132" i="27" s="1"/>
  <c r="N38" i="27"/>
  <c r="N85" i="27"/>
  <c r="N131" i="27" s="1"/>
  <c r="J38" i="27"/>
  <c r="J85" i="27"/>
  <c r="J131" i="27" s="1"/>
  <c r="F38" i="27"/>
  <c r="P42" i="29"/>
  <c r="Q42" i="29" s="1"/>
  <c r="D88" i="29"/>
  <c r="O35" i="25"/>
  <c r="K79" i="27"/>
  <c r="K125" i="27" s="1"/>
  <c r="K76" i="29"/>
  <c r="K122" i="29" s="1"/>
  <c r="G76" i="26"/>
  <c r="G122" i="26" s="1"/>
  <c r="J28" i="27"/>
  <c r="F28" i="26"/>
  <c r="O38" i="26"/>
  <c r="K85" i="29"/>
  <c r="K131" i="29" s="1"/>
  <c r="K38" i="29"/>
  <c r="C85" i="27"/>
  <c r="C131" i="27" s="1"/>
  <c r="C130" i="27" s="1"/>
  <c r="C38" i="27"/>
  <c r="C84" i="27" s="1"/>
  <c r="M88" i="29"/>
  <c r="M134" i="29" s="1"/>
  <c r="I88" i="29"/>
  <c r="I134" i="29" s="1"/>
  <c r="E88" i="29"/>
  <c r="E134" i="29" s="1"/>
  <c r="E35" i="27"/>
  <c r="M79" i="27"/>
  <c r="M125" i="27" s="1"/>
  <c r="I79" i="25"/>
  <c r="E79" i="27"/>
  <c r="E125" i="27" s="1"/>
  <c r="I77" i="27"/>
  <c r="I123" i="27" s="1"/>
  <c r="E75" i="27"/>
  <c r="E121" i="27" s="1"/>
  <c r="L28" i="27"/>
  <c r="H72" i="27"/>
  <c r="H28" i="27"/>
  <c r="P26" i="27"/>
  <c r="Q26" i="27" s="1"/>
  <c r="D28" i="27"/>
  <c r="H86" i="29"/>
  <c r="H132" i="29" s="1"/>
  <c r="M38" i="27"/>
  <c r="I38" i="27"/>
  <c r="I85" i="27"/>
  <c r="I131" i="27" s="1"/>
  <c r="O88" i="26"/>
  <c r="O134" i="26" s="1"/>
  <c r="G88" i="26"/>
  <c r="G134" i="26" s="1"/>
  <c r="P27" i="25"/>
  <c r="Q27" i="25" s="1"/>
  <c r="I83" i="27"/>
  <c r="I129" i="27" s="1"/>
  <c r="H83" i="27"/>
  <c r="H129" i="27" s="1"/>
  <c r="J83" i="27"/>
  <c r="J129" i="27" s="1"/>
  <c r="L83" i="27"/>
  <c r="L129" i="27" s="1"/>
  <c r="G83" i="27"/>
  <c r="G129" i="27" s="1"/>
  <c r="P37" i="27"/>
  <c r="Q37" i="27" s="1"/>
  <c r="E83" i="27"/>
  <c r="E129" i="27" s="1"/>
  <c r="N83" i="27"/>
  <c r="N129" i="27" s="1"/>
  <c r="F83" i="27"/>
  <c r="F129" i="27" s="1"/>
  <c r="D83" i="27"/>
  <c r="M83" i="27"/>
  <c r="M129" i="27" s="1"/>
  <c r="K83" i="27"/>
  <c r="K129" i="27" s="1"/>
  <c r="L35" i="25"/>
  <c r="D35" i="25"/>
  <c r="O82" i="25"/>
  <c r="O128" i="25" s="1"/>
  <c r="M82" i="25"/>
  <c r="M128" i="25" s="1"/>
  <c r="P36" i="25"/>
  <c r="Q36" i="25" s="1"/>
  <c r="P33" i="25"/>
  <c r="Q33" i="25" s="1"/>
  <c r="D79" i="25"/>
  <c r="D125" i="25" s="1"/>
  <c r="P31" i="25"/>
  <c r="Q31" i="25" s="1"/>
  <c r="P30" i="27"/>
  <c r="Q30" i="27" s="1"/>
  <c r="L75" i="27"/>
  <c r="L121" i="27" s="1"/>
  <c r="D75" i="27"/>
  <c r="P29" i="27"/>
  <c r="Q29" i="27" s="1"/>
  <c r="O28" i="27"/>
  <c r="K28" i="26"/>
  <c r="G28" i="29"/>
  <c r="O86" i="29"/>
  <c r="O132" i="29" s="1"/>
  <c r="K86" i="29"/>
  <c r="K132" i="29" s="1"/>
  <c r="G86" i="29"/>
  <c r="G132" i="29" s="1"/>
  <c r="L85" i="26"/>
  <c r="L131" i="26" s="1"/>
  <c r="L38" i="26"/>
  <c r="H38" i="29"/>
  <c r="H85" i="29"/>
  <c r="H131" i="29" s="1"/>
  <c r="P39" i="29"/>
  <c r="Q39" i="29" s="1"/>
  <c r="D38" i="29"/>
  <c r="N35" i="29"/>
  <c r="J35" i="26"/>
  <c r="F35" i="29"/>
  <c r="N76" i="26"/>
  <c r="N122" i="26" s="1"/>
  <c r="J76" i="26"/>
  <c r="J122" i="26" s="1"/>
  <c r="F76" i="26"/>
  <c r="F122" i="26" s="1"/>
  <c r="E28" i="27"/>
  <c r="N38" i="29"/>
  <c r="J38" i="29"/>
  <c r="F38" i="29"/>
  <c r="L88" i="26"/>
  <c r="L134" i="26" s="1"/>
  <c r="H88" i="27"/>
  <c r="H134" i="27" s="1"/>
  <c r="G38" i="25"/>
  <c r="D86" i="25"/>
  <c r="D132" i="25" s="1"/>
  <c r="E38" i="25"/>
  <c r="C38" i="25"/>
  <c r="C84" i="25" s="1"/>
  <c r="C90" i="25" s="1"/>
  <c r="C180" i="25" s="1"/>
  <c r="C185" i="25" s="1"/>
  <c r="P32" i="25"/>
  <c r="Q32" i="25" s="1"/>
  <c r="O35" i="27"/>
  <c r="K35" i="27"/>
  <c r="G35" i="27"/>
  <c r="G77" i="25"/>
  <c r="G123" i="25" s="1"/>
  <c r="O76" i="29"/>
  <c r="O122" i="29" s="1"/>
  <c r="O75" i="25"/>
  <c r="O121" i="25" s="1"/>
  <c r="N28" i="27"/>
  <c r="J28" i="26"/>
  <c r="F28" i="29"/>
  <c r="F86" i="26"/>
  <c r="F132" i="26" s="1"/>
  <c r="O38" i="29"/>
  <c r="G38" i="27"/>
  <c r="C85" i="26"/>
  <c r="C131" i="26" s="1"/>
  <c r="C130" i="26" s="1"/>
  <c r="C136" i="26" s="1"/>
  <c r="C182" i="26" s="1"/>
  <c r="C38" i="26"/>
  <c r="M35" i="25"/>
  <c r="I35" i="25"/>
  <c r="E35" i="25"/>
  <c r="E76" i="26"/>
  <c r="E122" i="26" s="1"/>
  <c r="M75" i="29"/>
  <c r="M121" i="29" s="1"/>
  <c r="I75" i="29"/>
  <c r="I121" i="29" s="1"/>
  <c r="E75" i="29"/>
  <c r="E121" i="29" s="1"/>
  <c r="M73" i="26"/>
  <c r="M119" i="26" s="1"/>
  <c r="I73" i="29"/>
  <c r="I119" i="29" s="1"/>
  <c r="L28" i="29"/>
  <c r="H28" i="26"/>
  <c r="D72" i="26"/>
  <c r="P26" i="26"/>
  <c r="Q26" i="26" s="1"/>
  <c r="D28" i="26"/>
  <c r="D86" i="27"/>
  <c r="D132" i="27" s="1"/>
  <c r="P40" i="27"/>
  <c r="Q40" i="27" s="1"/>
  <c r="I38" i="29"/>
  <c r="E38" i="29"/>
  <c r="O88" i="29"/>
  <c r="O134" i="29" s="1"/>
  <c r="K88" i="29"/>
  <c r="K134" i="29" s="1"/>
  <c r="G88" i="29"/>
  <c r="G134" i="29" s="1"/>
  <c r="P27" i="26"/>
  <c r="Q27" i="26" s="1"/>
  <c r="M83" i="25"/>
  <c r="M129" i="25" s="1"/>
  <c r="K83" i="25"/>
  <c r="K129" i="25" s="1"/>
  <c r="N83" i="25"/>
  <c r="N129" i="25" s="1"/>
  <c r="E83" i="25"/>
  <c r="E129" i="25" s="1"/>
  <c r="J83" i="25"/>
  <c r="J129" i="25" s="1"/>
  <c r="L83" i="25"/>
  <c r="L129" i="25" s="1"/>
  <c r="O83" i="25"/>
  <c r="O129" i="25" s="1"/>
  <c r="G83" i="25"/>
  <c r="G129" i="25" s="1"/>
  <c r="P37" i="25"/>
  <c r="Q37" i="25" s="1"/>
  <c r="H83" i="25"/>
  <c r="H129" i="25" s="1"/>
  <c r="I83" i="25"/>
  <c r="I129" i="25" s="1"/>
  <c r="F83" i="25"/>
  <c r="F129" i="25" s="1"/>
  <c r="L35" i="27"/>
  <c r="H35" i="27"/>
  <c r="O82" i="27"/>
  <c r="O128" i="27" s="1"/>
  <c r="D35" i="27"/>
  <c r="L82" i="27"/>
  <c r="L128" i="27" s="1"/>
  <c r="P36" i="27"/>
  <c r="Q36" i="27" s="1"/>
  <c r="L79" i="27"/>
  <c r="L125" i="27" s="1"/>
  <c r="P33" i="27"/>
  <c r="Q33" i="27" s="1"/>
  <c r="H77" i="27"/>
  <c r="H123" i="27" s="1"/>
  <c r="P31" i="27"/>
  <c r="Q31" i="27" s="1"/>
  <c r="D76" i="26"/>
  <c r="Q30" i="26"/>
  <c r="L75" i="29"/>
  <c r="L121" i="29" s="1"/>
  <c r="P29" i="29"/>
  <c r="Q29" i="29" s="1"/>
  <c r="L73" i="26"/>
  <c r="L119" i="26" s="1"/>
  <c r="O28" i="26"/>
  <c r="K28" i="29"/>
  <c r="G28" i="26"/>
  <c r="L38" i="29"/>
  <c r="N88" i="27"/>
  <c r="N134" i="27" s="1"/>
  <c r="J88" i="27"/>
  <c r="J134" i="27" s="1"/>
  <c r="F88" i="27"/>
  <c r="F134" i="27" s="1"/>
  <c r="N35" i="27"/>
  <c r="J35" i="27"/>
  <c r="F35" i="27"/>
  <c r="J75" i="25"/>
  <c r="J121" i="25" s="1"/>
  <c r="M28" i="27"/>
  <c r="I72" i="27"/>
  <c r="I118" i="27" s="1"/>
  <c r="I28" i="27"/>
  <c r="E28" i="26"/>
  <c r="M86" i="29"/>
  <c r="M132" i="29" s="1"/>
  <c r="I86" i="29"/>
  <c r="I132" i="29" s="1"/>
  <c r="N38" i="26"/>
  <c r="J38" i="26"/>
  <c r="J85" i="26"/>
  <c r="J131" i="26" s="1"/>
  <c r="F38" i="26"/>
  <c r="H88" i="26"/>
  <c r="H134" i="26" s="1"/>
  <c r="P42" i="27"/>
  <c r="Q42" i="27" s="1"/>
  <c r="E78" i="25"/>
  <c r="E124" i="25" s="1"/>
  <c r="J72" i="25"/>
  <c r="O72" i="25"/>
  <c r="O118" i="25" s="1"/>
  <c r="L34" i="25"/>
  <c r="F113" i="25"/>
  <c r="F181" i="25" s="1"/>
  <c r="G113" i="25"/>
  <c r="G181" i="25" s="1"/>
  <c r="N34" i="26"/>
  <c r="J34" i="29"/>
  <c r="E34" i="27"/>
  <c r="L34" i="29"/>
  <c r="P32" i="27"/>
  <c r="Q32" i="27" s="1"/>
  <c r="D34" i="27"/>
  <c r="O34" i="26"/>
  <c r="K34" i="29"/>
  <c r="N34" i="29"/>
  <c r="F34" i="27"/>
  <c r="M34" i="27"/>
  <c r="I34" i="27"/>
  <c r="E34" i="26"/>
  <c r="H34" i="27"/>
  <c r="D78" i="26"/>
  <c r="D34" i="26"/>
  <c r="P32" i="26"/>
  <c r="Q32" i="26" s="1"/>
  <c r="O34" i="29"/>
  <c r="G34" i="27"/>
  <c r="J34" i="27"/>
  <c r="F34" i="26"/>
  <c r="M34" i="26"/>
  <c r="I34" i="26"/>
  <c r="E34" i="29"/>
  <c r="L34" i="27"/>
  <c r="H34" i="26"/>
  <c r="P32" i="29"/>
  <c r="Q32" i="29" s="1"/>
  <c r="D34" i="29"/>
  <c r="K34" i="27"/>
  <c r="G34" i="26"/>
  <c r="N34" i="27"/>
  <c r="J34" i="26"/>
  <c r="F34" i="29"/>
  <c r="M34" i="29"/>
  <c r="I34" i="29"/>
  <c r="L34" i="26"/>
  <c r="H34" i="29"/>
  <c r="O34" i="27"/>
  <c r="K34" i="26"/>
  <c r="G34" i="29"/>
  <c r="P113" i="29"/>
  <c r="Q94" i="29"/>
  <c r="Q94" i="26"/>
  <c r="P113" i="26"/>
  <c r="L76" i="25"/>
  <c r="N76" i="25"/>
  <c r="K76" i="25"/>
  <c r="G85" i="25"/>
  <c r="G131" i="25" s="1"/>
  <c r="K72" i="25"/>
  <c r="F72" i="25"/>
  <c r="Q97" i="25"/>
  <c r="I76" i="25"/>
  <c r="I72" i="25"/>
  <c r="N72" i="25"/>
  <c r="G72" i="25"/>
  <c r="I85" i="25"/>
  <c r="I131" i="25" s="1"/>
  <c r="D76" i="25"/>
  <c r="M72" i="25"/>
  <c r="G76" i="25"/>
  <c r="D88" i="25"/>
  <c r="E72" i="25"/>
  <c r="Q108" i="25"/>
  <c r="P107" i="25"/>
  <c r="Q107" i="25" s="1"/>
  <c r="J85" i="25"/>
  <c r="J131" i="25" s="1"/>
  <c r="J130" i="25" s="1"/>
  <c r="O85" i="25"/>
  <c r="O131" i="25" s="1"/>
  <c r="D124" i="25"/>
  <c r="F51" i="26" l="1"/>
  <c r="C90" i="27"/>
  <c r="N85" i="25"/>
  <c r="N131" i="25" s="1"/>
  <c r="N130" i="25" s="1"/>
  <c r="N57" i="25"/>
  <c r="N48" i="25" s="1"/>
  <c r="N67" i="25" s="1"/>
  <c r="O51" i="26"/>
  <c r="C126" i="27"/>
  <c r="C117" i="27" s="1"/>
  <c r="C122" i="63"/>
  <c r="C126" i="63" s="1"/>
  <c r="C117" i="63" s="1"/>
  <c r="C136" i="63" s="1"/>
  <c r="C182" i="63" s="1"/>
  <c r="M61" i="26"/>
  <c r="M84" i="26" s="1"/>
  <c r="B187" i="27"/>
  <c r="B71" i="28"/>
  <c r="B90" i="28" s="1"/>
  <c r="B183" i="63"/>
  <c r="H77" i="26"/>
  <c r="H123" i="26" s="1"/>
  <c r="J57" i="26"/>
  <c r="F75" i="29"/>
  <c r="F121" i="29" s="1"/>
  <c r="O75" i="29"/>
  <c r="O121" i="29" s="1"/>
  <c r="H75" i="29"/>
  <c r="H121" i="29" s="1"/>
  <c r="F86" i="29"/>
  <c r="F132" i="29" s="1"/>
  <c r="F88" i="29"/>
  <c r="F134" i="29" s="1"/>
  <c r="J75" i="29"/>
  <c r="J121" i="29" s="1"/>
  <c r="J88" i="29"/>
  <c r="J134" i="29" s="1"/>
  <c r="L88" i="29"/>
  <c r="L134" i="29" s="1"/>
  <c r="N75" i="29"/>
  <c r="N121" i="29" s="1"/>
  <c r="G75" i="29"/>
  <c r="G121" i="29" s="1"/>
  <c r="N86" i="29"/>
  <c r="N132" i="29" s="1"/>
  <c r="J61" i="29"/>
  <c r="J84" i="29" s="1"/>
  <c r="E61" i="29"/>
  <c r="K75" i="29"/>
  <c r="K121" i="29" s="1"/>
  <c r="H88" i="29"/>
  <c r="H134" i="29" s="1"/>
  <c r="L61" i="29"/>
  <c r="L84" i="29" s="1"/>
  <c r="I57" i="25"/>
  <c r="F57" i="26"/>
  <c r="F48" i="26" s="1"/>
  <c r="F67" i="26" s="1"/>
  <c r="I34" i="63"/>
  <c r="E34" i="63"/>
  <c r="E25" i="26"/>
  <c r="E44" i="26" s="1"/>
  <c r="E177" i="26" s="1"/>
  <c r="M72" i="26"/>
  <c r="M118" i="26" s="1"/>
  <c r="M120" i="26" s="1"/>
  <c r="E54" i="63"/>
  <c r="E77" i="63" s="1"/>
  <c r="E123" i="63" s="1"/>
  <c r="D52" i="63"/>
  <c r="D75" i="63" s="1"/>
  <c r="D121" i="63" s="1"/>
  <c r="D54" i="63"/>
  <c r="D77" i="63" s="1"/>
  <c r="D123" i="63" s="1"/>
  <c r="L77" i="26"/>
  <c r="L123" i="26" s="1"/>
  <c r="N51" i="26"/>
  <c r="E51" i="26"/>
  <c r="B136" i="46"/>
  <c r="E52" i="63"/>
  <c r="E75" i="63" s="1"/>
  <c r="E121" i="63" s="1"/>
  <c r="B187" i="25"/>
  <c r="F57" i="25"/>
  <c r="D53" i="63"/>
  <c r="D76" i="63" s="1"/>
  <c r="D34" i="63"/>
  <c r="D57" i="27"/>
  <c r="F53" i="63"/>
  <c r="F76" i="63" s="1"/>
  <c r="F34" i="63"/>
  <c r="Q94" i="63"/>
  <c r="F55" i="63"/>
  <c r="F78" i="63" s="1"/>
  <c r="F124" i="63" s="1"/>
  <c r="D55" i="63"/>
  <c r="D78" i="63" s="1"/>
  <c r="D124" i="63" s="1"/>
  <c r="E76" i="63"/>
  <c r="E49" i="63"/>
  <c r="E51" i="63" s="1"/>
  <c r="E28" i="63"/>
  <c r="F49" i="63"/>
  <c r="F51" i="63" s="1"/>
  <c r="F28" i="63"/>
  <c r="L122" i="63"/>
  <c r="L55" i="63"/>
  <c r="L78" i="63" s="1"/>
  <c r="L124" i="63" s="1"/>
  <c r="K49" i="63"/>
  <c r="K51" i="63" s="1"/>
  <c r="K28" i="63"/>
  <c r="N53" i="63"/>
  <c r="N57" i="63" s="1"/>
  <c r="N34" i="63"/>
  <c r="O57" i="26"/>
  <c r="O48" i="26" s="1"/>
  <c r="O67" i="26" s="1"/>
  <c r="H51" i="26"/>
  <c r="L54" i="63"/>
  <c r="L77" i="63" s="1"/>
  <c r="J49" i="63"/>
  <c r="J51" i="63" s="1"/>
  <c r="J28" i="63"/>
  <c r="I57" i="26"/>
  <c r="K51" i="26"/>
  <c r="O49" i="63"/>
  <c r="O51" i="63" s="1"/>
  <c r="O28" i="63"/>
  <c r="I52" i="63"/>
  <c r="I75" i="63" s="1"/>
  <c r="I121" i="63" s="1"/>
  <c r="G55" i="63"/>
  <c r="G57" i="63" s="1"/>
  <c r="P32" i="63"/>
  <c r="Q32" i="63" s="1"/>
  <c r="P29" i="63"/>
  <c r="Q29" i="63" s="1"/>
  <c r="G34" i="63"/>
  <c r="M34" i="63"/>
  <c r="G123" i="63"/>
  <c r="M55" i="63"/>
  <c r="M57" i="63" s="1"/>
  <c r="H76" i="63"/>
  <c r="J53" i="63"/>
  <c r="J34" i="63"/>
  <c r="I55" i="63"/>
  <c r="I78" i="63" s="1"/>
  <c r="I124" i="63" s="1"/>
  <c r="G49" i="63"/>
  <c r="G51" i="63" s="1"/>
  <c r="G28" i="63"/>
  <c r="L49" i="63"/>
  <c r="L51" i="63" s="1"/>
  <c r="L28" i="63"/>
  <c r="G122" i="63"/>
  <c r="I54" i="63"/>
  <c r="H55" i="63"/>
  <c r="H78" i="63" s="1"/>
  <c r="H124" i="63" s="1"/>
  <c r="J55" i="63"/>
  <c r="J78" i="63" s="1"/>
  <c r="J124" i="63" s="1"/>
  <c r="M49" i="63"/>
  <c r="M51" i="63" s="1"/>
  <c r="M28" i="63"/>
  <c r="N49" i="63"/>
  <c r="N51" i="63" s="1"/>
  <c r="N28" i="63"/>
  <c r="O54" i="63"/>
  <c r="O77" i="63" s="1"/>
  <c r="O123" i="63" s="1"/>
  <c r="H54" i="63"/>
  <c r="P30" i="63"/>
  <c r="Q30" i="63" s="1"/>
  <c r="M122" i="63"/>
  <c r="P31" i="63"/>
  <c r="Q31" i="63" s="1"/>
  <c r="K54" i="63"/>
  <c r="K77" i="63" s="1"/>
  <c r="K123" i="63" s="1"/>
  <c r="J57" i="29"/>
  <c r="K57" i="27"/>
  <c r="I51" i="26"/>
  <c r="K57" i="29"/>
  <c r="K48" i="29" s="1"/>
  <c r="K67" i="29" s="1"/>
  <c r="I49" i="63"/>
  <c r="I51" i="63" s="1"/>
  <c r="I28" i="63"/>
  <c r="J54" i="63"/>
  <c r="J77" i="63" s="1"/>
  <c r="J123" i="63" s="1"/>
  <c r="M52" i="63"/>
  <c r="M75" i="63" s="1"/>
  <c r="M121" i="63" s="1"/>
  <c r="O53" i="63"/>
  <c r="O34" i="63"/>
  <c r="G75" i="63"/>
  <c r="I76" i="63"/>
  <c r="L34" i="63"/>
  <c r="H49" i="63"/>
  <c r="H51" i="63" s="1"/>
  <c r="H28" i="63"/>
  <c r="K53" i="63"/>
  <c r="K76" i="63" s="1"/>
  <c r="K34" i="63"/>
  <c r="H34" i="63"/>
  <c r="D49" i="63"/>
  <c r="D72" i="63" s="1"/>
  <c r="D28" i="63"/>
  <c r="P26" i="63"/>
  <c r="Q26" i="63" s="1"/>
  <c r="H84" i="25"/>
  <c r="C180" i="27"/>
  <c r="C185" i="27" s="1"/>
  <c r="M84" i="25"/>
  <c r="B117" i="28"/>
  <c r="P65" i="25"/>
  <c r="Q65" i="25" s="1"/>
  <c r="O61" i="27"/>
  <c r="O84" i="27" s="1"/>
  <c r="E57" i="26"/>
  <c r="M57" i="26"/>
  <c r="N57" i="26"/>
  <c r="K57" i="26"/>
  <c r="H57" i="29"/>
  <c r="L57" i="29"/>
  <c r="O51" i="29"/>
  <c r="E61" i="26"/>
  <c r="E84" i="26" s="1"/>
  <c r="B141" i="46"/>
  <c r="B140" i="46" s="1"/>
  <c r="B131" i="46"/>
  <c r="B81" i="46"/>
  <c r="B100" i="46" s="1"/>
  <c r="K86" i="25"/>
  <c r="K132" i="25" s="1"/>
  <c r="K130" i="25" s="1"/>
  <c r="O51" i="25"/>
  <c r="H51" i="29"/>
  <c r="M51" i="25"/>
  <c r="G51" i="26"/>
  <c r="G48" i="26" s="1"/>
  <c r="G67" i="26" s="1"/>
  <c r="P52" i="26"/>
  <c r="Q52" i="26" s="1"/>
  <c r="F57" i="29"/>
  <c r="F48" i="29" s="1"/>
  <c r="G57" i="27"/>
  <c r="G48" i="27" s="1"/>
  <c r="G86" i="26"/>
  <c r="G132" i="26" s="1"/>
  <c r="E86" i="29"/>
  <c r="E132" i="29" s="1"/>
  <c r="L86" i="29"/>
  <c r="L132" i="29" s="1"/>
  <c r="M86" i="27"/>
  <c r="M132" i="27" s="1"/>
  <c r="K86" i="26"/>
  <c r="K132" i="26" s="1"/>
  <c r="M85" i="25"/>
  <c r="M131" i="25" s="1"/>
  <c r="M130" i="25" s="1"/>
  <c r="O73" i="26"/>
  <c r="O119" i="26" s="1"/>
  <c r="J51" i="26"/>
  <c r="J48" i="26" s="1"/>
  <c r="J67" i="26" s="1"/>
  <c r="N61" i="26"/>
  <c r="N84" i="26" s="1"/>
  <c r="F61" i="29"/>
  <c r="F84" i="29" s="1"/>
  <c r="G61" i="27"/>
  <c r="G84" i="27" s="1"/>
  <c r="O120" i="25"/>
  <c r="H57" i="27"/>
  <c r="J86" i="29"/>
  <c r="J132" i="29" s="1"/>
  <c r="N61" i="29"/>
  <c r="N84" i="29" s="1"/>
  <c r="I78" i="25"/>
  <c r="I124" i="25" s="1"/>
  <c r="G73" i="29"/>
  <c r="G119" i="29" s="1"/>
  <c r="E73" i="27"/>
  <c r="E119" i="27" s="1"/>
  <c r="J51" i="27"/>
  <c r="N57" i="27"/>
  <c r="N48" i="27" s="1"/>
  <c r="N67" i="27" s="1"/>
  <c r="K73" i="25"/>
  <c r="K119" i="25" s="1"/>
  <c r="F73" i="26"/>
  <c r="F119" i="26" s="1"/>
  <c r="N73" i="29"/>
  <c r="N119" i="29" s="1"/>
  <c r="E73" i="26"/>
  <c r="E119" i="26" s="1"/>
  <c r="K73" i="29"/>
  <c r="K119" i="29" s="1"/>
  <c r="K73" i="26"/>
  <c r="K119" i="26" s="1"/>
  <c r="H73" i="25"/>
  <c r="H119" i="25" s="1"/>
  <c r="H51" i="27"/>
  <c r="K51" i="27"/>
  <c r="G73" i="27"/>
  <c r="G119" i="27" s="1"/>
  <c r="H76" i="27"/>
  <c r="H122" i="27" s="1"/>
  <c r="I73" i="26"/>
  <c r="I119" i="26" s="1"/>
  <c r="N57" i="29"/>
  <c r="N48" i="29" s="1"/>
  <c r="L51" i="29"/>
  <c r="J51" i="29"/>
  <c r="G76" i="27"/>
  <c r="G122" i="27" s="1"/>
  <c r="J57" i="27"/>
  <c r="F73" i="29"/>
  <c r="F119" i="29" s="1"/>
  <c r="N73" i="26"/>
  <c r="N119" i="26" s="1"/>
  <c r="F77" i="29"/>
  <c r="F123" i="29" s="1"/>
  <c r="L73" i="25"/>
  <c r="L119" i="25" s="1"/>
  <c r="G77" i="26"/>
  <c r="G123" i="26" s="1"/>
  <c r="G79" i="29"/>
  <c r="G125" i="29" s="1"/>
  <c r="H73" i="26"/>
  <c r="H119" i="26" s="1"/>
  <c r="F51" i="25"/>
  <c r="N73" i="25"/>
  <c r="N119" i="25" s="1"/>
  <c r="O57" i="29"/>
  <c r="N73" i="27"/>
  <c r="N119" i="27" s="1"/>
  <c r="J73" i="25"/>
  <c r="J119" i="25" s="1"/>
  <c r="K57" i="25"/>
  <c r="K48" i="25" s="1"/>
  <c r="K67" i="25" s="1"/>
  <c r="E57" i="25"/>
  <c r="E48" i="25" s="1"/>
  <c r="E67" i="25" s="1"/>
  <c r="L57" i="25"/>
  <c r="L48" i="25" s="1"/>
  <c r="L67" i="25" s="1"/>
  <c r="O78" i="25"/>
  <c r="O124" i="25" s="1"/>
  <c r="M57" i="25"/>
  <c r="K77" i="27"/>
  <c r="K123" i="27" s="1"/>
  <c r="M57" i="27"/>
  <c r="O57" i="27"/>
  <c r="O48" i="27" s="1"/>
  <c r="F57" i="27"/>
  <c r="F48" i="27" s="1"/>
  <c r="F67" i="27" s="1"/>
  <c r="J79" i="27"/>
  <c r="J125" i="27" s="1"/>
  <c r="L57" i="27"/>
  <c r="L48" i="27" s="1"/>
  <c r="L67" i="27" s="1"/>
  <c r="C177" i="63"/>
  <c r="M76" i="27"/>
  <c r="M122" i="27" s="1"/>
  <c r="I57" i="27"/>
  <c r="L76" i="27"/>
  <c r="L122" i="27" s="1"/>
  <c r="I76" i="27"/>
  <c r="I122" i="27" s="1"/>
  <c r="C181" i="63"/>
  <c r="Q181" i="63" s="1"/>
  <c r="Q113" i="63"/>
  <c r="E57" i="27"/>
  <c r="E48" i="27" s="1"/>
  <c r="E67" i="27" s="1"/>
  <c r="L73" i="27"/>
  <c r="L119" i="27" s="1"/>
  <c r="M73" i="27"/>
  <c r="M119" i="27" s="1"/>
  <c r="M76" i="26"/>
  <c r="M122" i="26" s="1"/>
  <c r="P55" i="25"/>
  <c r="Q55" i="25" s="1"/>
  <c r="H57" i="25"/>
  <c r="H48" i="25" s="1"/>
  <c r="H67" i="25" s="1"/>
  <c r="H76" i="29"/>
  <c r="H122" i="29" s="1"/>
  <c r="K76" i="26"/>
  <c r="K122" i="26" s="1"/>
  <c r="K78" i="25"/>
  <c r="K124" i="25" s="1"/>
  <c r="G78" i="25"/>
  <c r="G124" i="25" s="1"/>
  <c r="M76" i="25"/>
  <c r="L80" i="25"/>
  <c r="I76" i="26"/>
  <c r="I122" i="26" s="1"/>
  <c r="E76" i="25"/>
  <c r="E122" i="25" s="1"/>
  <c r="E126" i="25" s="1"/>
  <c r="L76" i="29"/>
  <c r="L122" i="29" s="1"/>
  <c r="J76" i="29"/>
  <c r="J122" i="29" s="1"/>
  <c r="G130" i="25"/>
  <c r="E130" i="25"/>
  <c r="F84" i="25"/>
  <c r="N25" i="25"/>
  <c r="N44" i="25" s="1"/>
  <c r="N177" i="25" s="1"/>
  <c r="E73" i="25"/>
  <c r="E119" i="25" s="1"/>
  <c r="R94" i="63"/>
  <c r="J130" i="27"/>
  <c r="F25" i="25"/>
  <c r="F44" i="25" s="1"/>
  <c r="F177" i="25" s="1"/>
  <c r="F85" i="25"/>
  <c r="F131" i="25" s="1"/>
  <c r="F130" i="25" s="1"/>
  <c r="F81" i="26"/>
  <c r="F127" i="26" s="1"/>
  <c r="J25" i="25"/>
  <c r="J44" i="25" s="1"/>
  <c r="J177" i="25" s="1"/>
  <c r="P62" i="25"/>
  <c r="Q62" i="25" s="1"/>
  <c r="N25" i="29"/>
  <c r="N44" i="29" s="1"/>
  <c r="N177" i="29" s="1"/>
  <c r="F25" i="27"/>
  <c r="F44" i="27" s="1"/>
  <c r="F177" i="27" s="1"/>
  <c r="I81" i="26"/>
  <c r="I127" i="26" s="1"/>
  <c r="P38" i="25"/>
  <c r="Q38" i="25" s="1"/>
  <c r="E25" i="25"/>
  <c r="E44" i="25" s="1"/>
  <c r="E177" i="25" s="1"/>
  <c r="I25" i="26"/>
  <c r="I44" i="26" s="1"/>
  <c r="I177" i="26" s="1"/>
  <c r="F25" i="29"/>
  <c r="F44" i="29" s="1"/>
  <c r="F177" i="29" s="1"/>
  <c r="H25" i="26"/>
  <c r="H44" i="26" s="1"/>
  <c r="H177" i="26" s="1"/>
  <c r="M25" i="27"/>
  <c r="M44" i="27" s="1"/>
  <c r="M177" i="27" s="1"/>
  <c r="N25" i="26"/>
  <c r="N44" i="26" s="1"/>
  <c r="N177" i="26" s="1"/>
  <c r="E85" i="29"/>
  <c r="E131" i="29" s="1"/>
  <c r="G25" i="25"/>
  <c r="G44" i="25" s="1"/>
  <c r="G177" i="25" s="1"/>
  <c r="K130" i="27"/>
  <c r="K25" i="26"/>
  <c r="K44" i="26" s="1"/>
  <c r="K177" i="26" s="1"/>
  <c r="L25" i="26"/>
  <c r="L44" i="26" s="1"/>
  <c r="L177" i="26" s="1"/>
  <c r="M25" i="25"/>
  <c r="M44" i="25" s="1"/>
  <c r="M177" i="25" s="1"/>
  <c r="N84" i="25"/>
  <c r="D84" i="25"/>
  <c r="H85" i="25"/>
  <c r="H131" i="25" s="1"/>
  <c r="H130" i="25" s="1"/>
  <c r="K25" i="25"/>
  <c r="K44" i="25" s="1"/>
  <c r="K177" i="25" s="1"/>
  <c r="K84" i="25"/>
  <c r="M25" i="29"/>
  <c r="M44" i="29" s="1"/>
  <c r="M177" i="29" s="1"/>
  <c r="O74" i="25"/>
  <c r="L25" i="29"/>
  <c r="L44" i="29" s="1"/>
  <c r="L177" i="29" s="1"/>
  <c r="N130" i="27"/>
  <c r="K84" i="27"/>
  <c r="G25" i="26"/>
  <c r="G44" i="26" s="1"/>
  <c r="G177" i="26" s="1"/>
  <c r="F25" i="26"/>
  <c r="F44" i="26" s="1"/>
  <c r="F177" i="26" s="1"/>
  <c r="M81" i="26"/>
  <c r="M127" i="26" s="1"/>
  <c r="K81" i="26"/>
  <c r="K127" i="26" s="1"/>
  <c r="G81" i="26"/>
  <c r="G127" i="26" s="1"/>
  <c r="Q94" i="27"/>
  <c r="C136" i="27"/>
  <c r="C182" i="27" s="1"/>
  <c r="C186" i="27" s="1"/>
  <c r="C187" i="27" s="1"/>
  <c r="B183" i="25"/>
  <c r="B183" i="27"/>
  <c r="C136" i="25"/>
  <c r="C182" i="25" s="1"/>
  <c r="C183" i="25" s="1"/>
  <c r="I120" i="27"/>
  <c r="I25" i="25"/>
  <c r="I44" i="25" s="1"/>
  <c r="I177" i="25" s="1"/>
  <c r="G48" i="29"/>
  <c r="G67" i="29" s="1"/>
  <c r="L25" i="27"/>
  <c r="L44" i="27" s="1"/>
  <c r="L177" i="27" s="1"/>
  <c r="J25" i="29"/>
  <c r="J44" i="29" s="1"/>
  <c r="J177" i="29" s="1"/>
  <c r="I81" i="27"/>
  <c r="I127" i="27" s="1"/>
  <c r="H25" i="25"/>
  <c r="H44" i="25" s="1"/>
  <c r="H177" i="25" s="1"/>
  <c r="K25" i="27"/>
  <c r="K44" i="27" s="1"/>
  <c r="K177" i="27" s="1"/>
  <c r="O130" i="25"/>
  <c r="G25" i="29"/>
  <c r="G44" i="29" s="1"/>
  <c r="G177" i="29" s="1"/>
  <c r="O25" i="27"/>
  <c r="O44" i="27" s="1"/>
  <c r="O177" i="27" s="1"/>
  <c r="E48" i="29"/>
  <c r="E67" i="29" s="1"/>
  <c r="H25" i="27"/>
  <c r="H44" i="27" s="1"/>
  <c r="H177" i="27" s="1"/>
  <c r="P35" i="29"/>
  <c r="Q35" i="29" s="1"/>
  <c r="H81" i="26"/>
  <c r="H127" i="26" s="1"/>
  <c r="E81" i="27"/>
  <c r="E127" i="27" s="1"/>
  <c r="F84" i="27"/>
  <c r="P49" i="25"/>
  <c r="Q49" i="25" s="1"/>
  <c r="E84" i="25"/>
  <c r="K25" i="29"/>
  <c r="K44" i="29" s="1"/>
  <c r="K177" i="29" s="1"/>
  <c r="L81" i="26"/>
  <c r="L127" i="26" s="1"/>
  <c r="I84" i="25"/>
  <c r="G84" i="25"/>
  <c r="J84" i="25"/>
  <c r="L122" i="25"/>
  <c r="L126" i="25" s="1"/>
  <c r="G72" i="26"/>
  <c r="G118" i="26" s="1"/>
  <c r="G120" i="26" s="1"/>
  <c r="M85" i="27"/>
  <c r="M131" i="27" s="1"/>
  <c r="K84" i="26"/>
  <c r="O25" i="29"/>
  <c r="O44" i="29" s="1"/>
  <c r="O177" i="29" s="1"/>
  <c r="O25" i="26"/>
  <c r="O44" i="26" s="1"/>
  <c r="O177" i="26" s="1"/>
  <c r="L72" i="27"/>
  <c r="C44" i="25"/>
  <c r="C177" i="25" s="1"/>
  <c r="I84" i="26"/>
  <c r="L82" i="26"/>
  <c r="L128" i="26" s="1"/>
  <c r="H84" i="26"/>
  <c r="J130" i="26"/>
  <c r="P50" i="26"/>
  <c r="Q50" i="26" s="1"/>
  <c r="J85" i="29"/>
  <c r="J131" i="29" s="1"/>
  <c r="J130" i="29" s="1"/>
  <c r="H72" i="25"/>
  <c r="F80" i="25"/>
  <c r="J25" i="26"/>
  <c r="J44" i="26" s="1"/>
  <c r="J177" i="26" s="1"/>
  <c r="H48" i="26"/>
  <c r="H67" i="26" s="1"/>
  <c r="M25" i="26"/>
  <c r="M44" i="26" s="1"/>
  <c r="M177" i="26" s="1"/>
  <c r="I25" i="27"/>
  <c r="I44" i="27" s="1"/>
  <c r="I177" i="27" s="1"/>
  <c r="J84" i="26"/>
  <c r="K72" i="29"/>
  <c r="D73" i="26"/>
  <c r="D74" i="26" s="1"/>
  <c r="I84" i="29"/>
  <c r="O84" i="29"/>
  <c r="J72" i="26"/>
  <c r="J74" i="26" s="1"/>
  <c r="F85" i="29"/>
  <c r="F131" i="29" s="1"/>
  <c r="N85" i="29"/>
  <c r="N131" i="29" s="1"/>
  <c r="L81" i="25"/>
  <c r="L127" i="25" s="1"/>
  <c r="F72" i="26"/>
  <c r="F118" i="26" s="1"/>
  <c r="G82" i="26"/>
  <c r="G128" i="26" s="1"/>
  <c r="D75" i="26"/>
  <c r="D121" i="26" s="1"/>
  <c r="P121" i="26" s="1"/>
  <c r="Q121" i="26" s="1"/>
  <c r="M130" i="29"/>
  <c r="N81" i="26"/>
  <c r="N127" i="26" s="1"/>
  <c r="P63" i="25"/>
  <c r="Q63" i="25" s="1"/>
  <c r="H25" i="29"/>
  <c r="H44" i="29" s="1"/>
  <c r="H177" i="29" s="1"/>
  <c r="I25" i="29"/>
  <c r="I44" i="29" s="1"/>
  <c r="I177" i="29" s="1"/>
  <c r="E25" i="27"/>
  <c r="E44" i="27" s="1"/>
  <c r="E177" i="27" s="1"/>
  <c r="L84" i="26"/>
  <c r="M85" i="26"/>
  <c r="M131" i="26" s="1"/>
  <c r="M130" i="26" s="1"/>
  <c r="P28" i="25"/>
  <c r="Q28" i="25" s="1"/>
  <c r="K85" i="26"/>
  <c r="K131" i="26" s="1"/>
  <c r="K82" i="26"/>
  <c r="K128" i="26" s="1"/>
  <c r="C44" i="27"/>
  <c r="C177" i="27" s="1"/>
  <c r="I86" i="25"/>
  <c r="I132" i="25" s="1"/>
  <c r="O81" i="29"/>
  <c r="O127" i="29" s="1"/>
  <c r="E85" i="26"/>
  <c r="E131" i="26" s="1"/>
  <c r="E130" i="26" s="1"/>
  <c r="M82" i="26"/>
  <c r="M128" i="26" s="1"/>
  <c r="O84" i="25"/>
  <c r="D134" i="26"/>
  <c r="P134" i="26" s="1"/>
  <c r="Q134" i="26" s="1"/>
  <c r="P88" i="26"/>
  <c r="Q88" i="26" s="1"/>
  <c r="P132" i="27"/>
  <c r="Q132" i="27" s="1"/>
  <c r="D134" i="29"/>
  <c r="I118" i="29"/>
  <c r="I120" i="29" s="1"/>
  <c r="I74" i="29"/>
  <c r="H118" i="27"/>
  <c r="H120" i="27" s="1"/>
  <c r="H74" i="27"/>
  <c r="I125" i="25"/>
  <c r="P125" i="25" s="1"/>
  <c r="Q125" i="25" s="1"/>
  <c r="P79" i="25"/>
  <c r="Q79" i="25" s="1"/>
  <c r="F126" i="25"/>
  <c r="M72" i="27"/>
  <c r="N25" i="27"/>
  <c r="N44" i="27" s="1"/>
  <c r="N177" i="27" s="1"/>
  <c r="F78" i="27"/>
  <c r="F124" i="27" s="1"/>
  <c r="F126" i="27" s="1"/>
  <c r="P65" i="27"/>
  <c r="Q65" i="27" s="1"/>
  <c r="D88" i="27"/>
  <c r="F84" i="26"/>
  <c r="E72" i="26"/>
  <c r="P52" i="29"/>
  <c r="Q52" i="29" s="1"/>
  <c r="P56" i="27"/>
  <c r="M82" i="27"/>
  <c r="M128" i="27" s="1"/>
  <c r="M81" i="27"/>
  <c r="M127" i="27" s="1"/>
  <c r="G81" i="27"/>
  <c r="G127" i="27" s="1"/>
  <c r="G82" i="27"/>
  <c r="G128" i="27" s="1"/>
  <c r="F82" i="27"/>
  <c r="F128" i="27" s="1"/>
  <c r="F81" i="27"/>
  <c r="F127" i="27" s="1"/>
  <c r="D118" i="26"/>
  <c r="H72" i="26"/>
  <c r="L72" i="29"/>
  <c r="G85" i="27"/>
  <c r="G131" i="27" s="1"/>
  <c r="G130" i="27" s="1"/>
  <c r="F72" i="29"/>
  <c r="E72" i="27"/>
  <c r="H130" i="29"/>
  <c r="K72" i="26"/>
  <c r="O72" i="27"/>
  <c r="P52" i="27"/>
  <c r="Q52" i="27" s="1"/>
  <c r="J82" i="25"/>
  <c r="J128" i="25" s="1"/>
  <c r="J81" i="25"/>
  <c r="J127" i="25" s="1"/>
  <c r="F82" i="25"/>
  <c r="F128" i="25" s="1"/>
  <c r="F81" i="25"/>
  <c r="F127" i="25" s="1"/>
  <c r="H82" i="25"/>
  <c r="H128" i="25" s="1"/>
  <c r="H81" i="25"/>
  <c r="H127" i="25" s="1"/>
  <c r="D129" i="27"/>
  <c r="O81" i="27"/>
  <c r="O127" i="27" s="1"/>
  <c r="O83" i="27"/>
  <c r="O129" i="27" s="1"/>
  <c r="F85" i="27"/>
  <c r="F131" i="27" s="1"/>
  <c r="F130" i="27" s="1"/>
  <c r="P56" i="26"/>
  <c r="Q56" i="26" s="1"/>
  <c r="O81" i="26"/>
  <c r="O127" i="26" s="1"/>
  <c r="D81" i="26"/>
  <c r="P59" i="26"/>
  <c r="H82" i="26"/>
  <c r="H128" i="26" s="1"/>
  <c r="I81" i="29"/>
  <c r="I127" i="29" s="1"/>
  <c r="D86" i="29"/>
  <c r="P63" i="29"/>
  <c r="Q63" i="29" s="1"/>
  <c r="G84" i="29"/>
  <c r="O82" i="26"/>
  <c r="O128" i="26" s="1"/>
  <c r="I72" i="26"/>
  <c r="D85" i="27"/>
  <c r="P62" i="27"/>
  <c r="Q62" i="27" s="1"/>
  <c r="D123" i="29"/>
  <c r="D128" i="29"/>
  <c r="P59" i="29"/>
  <c r="Q59" i="29" s="1"/>
  <c r="M82" i="29"/>
  <c r="M128" i="29" s="1"/>
  <c r="M81" i="29"/>
  <c r="M127" i="29" s="1"/>
  <c r="P50" i="29"/>
  <c r="Q50" i="29" s="1"/>
  <c r="P28" i="29"/>
  <c r="Q28" i="29" s="1"/>
  <c r="H72" i="29"/>
  <c r="I82" i="26"/>
  <c r="I128" i="26" s="1"/>
  <c r="I83" i="29"/>
  <c r="I129" i="29" s="1"/>
  <c r="J72" i="29"/>
  <c r="O82" i="29"/>
  <c r="O128" i="29" s="1"/>
  <c r="D25" i="25"/>
  <c r="D44" i="25" s="1"/>
  <c r="J80" i="25"/>
  <c r="J48" i="25"/>
  <c r="J67" i="25" s="1"/>
  <c r="D130" i="25"/>
  <c r="G48" i="25"/>
  <c r="G67" i="25" s="1"/>
  <c r="E25" i="29"/>
  <c r="E44" i="29" s="1"/>
  <c r="E177" i="29" s="1"/>
  <c r="J25" i="27"/>
  <c r="J44" i="27" s="1"/>
  <c r="J177" i="27" s="1"/>
  <c r="G25" i="27"/>
  <c r="G44" i="27" s="1"/>
  <c r="G177" i="27" s="1"/>
  <c r="N85" i="26"/>
  <c r="N131" i="26" s="1"/>
  <c r="N130" i="26" s="1"/>
  <c r="O72" i="26"/>
  <c r="P53" i="26"/>
  <c r="K81" i="27"/>
  <c r="K127" i="27" s="1"/>
  <c r="K82" i="27"/>
  <c r="K128" i="27" s="1"/>
  <c r="J81" i="27"/>
  <c r="J127" i="27" s="1"/>
  <c r="J82" i="27"/>
  <c r="J128" i="27" s="1"/>
  <c r="D82" i="27"/>
  <c r="P59" i="27"/>
  <c r="Q59" i="27" s="1"/>
  <c r="D83" i="25"/>
  <c r="P60" i="25"/>
  <c r="Q60" i="25" s="1"/>
  <c r="E84" i="29"/>
  <c r="P28" i="26"/>
  <c r="Q28" i="26" s="1"/>
  <c r="D85" i="29"/>
  <c r="P62" i="29"/>
  <c r="Q62" i="29" s="1"/>
  <c r="H84" i="29"/>
  <c r="G72" i="29"/>
  <c r="D77" i="25"/>
  <c r="D80" i="25" s="1"/>
  <c r="P54" i="25"/>
  <c r="Q54" i="25" s="1"/>
  <c r="N82" i="25"/>
  <c r="N128" i="25" s="1"/>
  <c r="N81" i="25"/>
  <c r="N127" i="25" s="1"/>
  <c r="M81" i="25"/>
  <c r="M127" i="25" s="1"/>
  <c r="I82" i="25"/>
  <c r="I128" i="25" s="1"/>
  <c r="I81" i="25"/>
  <c r="I127" i="25" s="1"/>
  <c r="G82" i="25"/>
  <c r="G128" i="25" s="1"/>
  <c r="G81" i="25"/>
  <c r="G127" i="25" s="1"/>
  <c r="I84" i="27"/>
  <c r="P28" i="27"/>
  <c r="Q28" i="27" s="1"/>
  <c r="E82" i="27"/>
  <c r="E128" i="27" s="1"/>
  <c r="K84" i="29"/>
  <c r="J72" i="27"/>
  <c r="M72" i="29"/>
  <c r="F82" i="26"/>
  <c r="F128" i="26" s="1"/>
  <c r="P62" i="26"/>
  <c r="L84" i="27"/>
  <c r="L85" i="27"/>
  <c r="L131" i="27" s="1"/>
  <c r="L130" i="27" s="1"/>
  <c r="G72" i="27"/>
  <c r="D75" i="25"/>
  <c r="P52" i="25"/>
  <c r="Q52" i="25" s="1"/>
  <c r="P54" i="26"/>
  <c r="Q54" i="26" s="1"/>
  <c r="D82" i="26"/>
  <c r="H86" i="26"/>
  <c r="H132" i="26" s="1"/>
  <c r="H130" i="26" s="1"/>
  <c r="I73" i="25"/>
  <c r="I119" i="25" s="1"/>
  <c r="G85" i="29"/>
  <c r="G131" i="29" s="1"/>
  <c r="G130" i="29" s="1"/>
  <c r="I82" i="27"/>
  <c r="I128" i="27" s="1"/>
  <c r="L84" i="25"/>
  <c r="E72" i="29"/>
  <c r="L85" i="25"/>
  <c r="L131" i="25" s="1"/>
  <c r="L130" i="25" s="1"/>
  <c r="P54" i="29"/>
  <c r="Q54" i="29" s="1"/>
  <c r="D79" i="29"/>
  <c r="P56" i="29"/>
  <c r="Q56" i="29" s="1"/>
  <c r="G81" i="29"/>
  <c r="G127" i="29" s="1"/>
  <c r="K81" i="29"/>
  <c r="K127" i="29" s="1"/>
  <c r="E82" i="29"/>
  <c r="E128" i="29" s="1"/>
  <c r="E81" i="29"/>
  <c r="E127" i="29" s="1"/>
  <c r="D83" i="26"/>
  <c r="P60" i="26"/>
  <c r="I85" i="26"/>
  <c r="I131" i="26" s="1"/>
  <c r="I130" i="26" s="1"/>
  <c r="D84" i="26"/>
  <c r="P63" i="26"/>
  <c r="D72" i="29"/>
  <c r="P49" i="29"/>
  <c r="Q49" i="29" s="1"/>
  <c r="L72" i="26"/>
  <c r="C84" i="29"/>
  <c r="C90" i="29" s="1"/>
  <c r="C44" i="29"/>
  <c r="C177" i="29" s="1"/>
  <c r="N72" i="26"/>
  <c r="J126" i="25"/>
  <c r="L85" i="29"/>
  <c r="L131" i="29" s="1"/>
  <c r="D77" i="27"/>
  <c r="P54" i="27"/>
  <c r="N82" i="27"/>
  <c r="N128" i="27" s="1"/>
  <c r="N81" i="27"/>
  <c r="N127" i="27" s="1"/>
  <c r="C84" i="26"/>
  <c r="C90" i="26" s="1"/>
  <c r="C44" i="26"/>
  <c r="C177" i="26" s="1"/>
  <c r="I130" i="27"/>
  <c r="P38" i="29"/>
  <c r="Q38" i="29" s="1"/>
  <c r="C186" i="29"/>
  <c r="D121" i="27"/>
  <c r="P121" i="27" s="1"/>
  <c r="Q121" i="27" s="1"/>
  <c r="P75" i="27"/>
  <c r="Q75" i="27" s="1"/>
  <c r="O81" i="25"/>
  <c r="O127" i="25" s="1"/>
  <c r="P35" i="25"/>
  <c r="Q35" i="25" s="1"/>
  <c r="D72" i="27"/>
  <c r="P49" i="27"/>
  <c r="Q49" i="27" s="1"/>
  <c r="O85" i="26"/>
  <c r="O131" i="26" s="1"/>
  <c r="O130" i="26" s="1"/>
  <c r="O84" i="26"/>
  <c r="P65" i="29"/>
  <c r="Q65" i="29" s="1"/>
  <c r="P38" i="26"/>
  <c r="Q38" i="26" s="1"/>
  <c r="K72" i="27"/>
  <c r="D125" i="26"/>
  <c r="P125" i="26" s="1"/>
  <c r="Q125" i="26" s="1"/>
  <c r="P79" i="26"/>
  <c r="Q79" i="26" s="1"/>
  <c r="P35" i="26"/>
  <c r="Q35" i="26" s="1"/>
  <c r="D73" i="27"/>
  <c r="P50" i="27"/>
  <c r="E84" i="27"/>
  <c r="E85" i="27"/>
  <c r="E131" i="27" s="1"/>
  <c r="E130" i="27" s="1"/>
  <c r="F72" i="27"/>
  <c r="P65" i="26"/>
  <c r="P38" i="27"/>
  <c r="Q38" i="27" s="1"/>
  <c r="D76" i="29"/>
  <c r="P53" i="29"/>
  <c r="Q53" i="29" s="1"/>
  <c r="H81" i="29"/>
  <c r="H127" i="29" s="1"/>
  <c r="L82" i="29"/>
  <c r="L128" i="29" s="1"/>
  <c r="L81" i="29"/>
  <c r="L127" i="29" s="1"/>
  <c r="M84" i="29"/>
  <c r="N84" i="27"/>
  <c r="J118" i="25"/>
  <c r="I74" i="27"/>
  <c r="L25" i="25"/>
  <c r="L44" i="25" s="1"/>
  <c r="L177" i="25" s="1"/>
  <c r="F85" i="26"/>
  <c r="F131" i="26" s="1"/>
  <c r="F130" i="26" s="1"/>
  <c r="D75" i="29"/>
  <c r="D122" i="26"/>
  <c r="D79" i="27"/>
  <c r="H82" i="27"/>
  <c r="H128" i="27" s="1"/>
  <c r="H81" i="27"/>
  <c r="H127" i="27" s="1"/>
  <c r="L81" i="27"/>
  <c r="L127" i="27" s="1"/>
  <c r="P35" i="27"/>
  <c r="Q35" i="27" s="1"/>
  <c r="I85" i="29"/>
  <c r="I131" i="29" s="1"/>
  <c r="I130" i="29" s="1"/>
  <c r="P63" i="27"/>
  <c r="Q63" i="27" s="1"/>
  <c r="P49" i="26"/>
  <c r="C186" i="26"/>
  <c r="O85" i="29"/>
  <c r="O131" i="29" s="1"/>
  <c r="O130" i="29" s="1"/>
  <c r="J84" i="27"/>
  <c r="N72" i="27"/>
  <c r="D76" i="27"/>
  <c r="P53" i="27"/>
  <c r="Q53" i="27" s="1"/>
  <c r="P56" i="25"/>
  <c r="Q56" i="25" s="1"/>
  <c r="E82" i="25"/>
  <c r="E128" i="25" s="1"/>
  <c r="E81" i="25"/>
  <c r="E127" i="25" s="1"/>
  <c r="K82" i="25"/>
  <c r="K128" i="25" s="1"/>
  <c r="K81" i="25"/>
  <c r="K127" i="25" s="1"/>
  <c r="D81" i="25"/>
  <c r="D127" i="25" s="1"/>
  <c r="P59" i="25"/>
  <c r="Q59" i="25" s="1"/>
  <c r="L82" i="25"/>
  <c r="L128" i="25" s="1"/>
  <c r="P60" i="27"/>
  <c r="Q60" i="27" s="1"/>
  <c r="D73" i="25"/>
  <c r="P50" i="25"/>
  <c r="Q50" i="25" s="1"/>
  <c r="M84" i="27"/>
  <c r="L86" i="26"/>
  <c r="L132" i="26" s="1"/>
  <c r="L130" i="26" s="1"/>
  <c r="K130" i="29"/>
  <c r="D131" i="26"/>
  <c r="D123" i="26"/>
  <c r="J81" i="26"/>
  <c r="J127" i="26" s="1"/>
  <c r="E82" i="26"/>
  <c r="E128" i="26" s="1"/>
  <c r="E81" i="26"/>
  <c r="E127" i="26" s="1"/>
  <c r="D83" i="29"/>
  <c r="P60" i="29"/>
  <c r="Q60" i="29" s="1"/>
  <c r="L72" i="25"/>
  <c r="O85" i="27"/>
  <c r="O131" i="27" s="1"/>
  <c r="O130" i="27" s="1"/>
  <c r="N72" i="29"/>
  <c r="H84" i="27"/>
  <c r="H85" i="27"/>
  <c r="H131" i="27" s="1"/>
  <c r="H130" i="27" s="1"/>
  <c r="O72" i="29"/>
  <c r="F81" i="29"/>
  <c r="F127" i="29" s="1"/>
  <c r="J81" i="29"/>
  <c r="J127" i="29" s="1"/>
  <c r="N81" i="29"/>
  <c r="N127" i="29" s="1"/>
  <c r="H82" i="29"/>
  <c r="H128" i="29" s="1"/>
  <c r="D73" i="29"/>
  <c r="D132" i="26"/>
  <c r="G85" i="26"/>
  <c r="G131" i="26" s="1"/>
  <c r="G84" i="26"/>
  <c r="D82" i="25"/>
  <c r="M78" i="29"/>
  <c r="M80" i="29" s="1"/>
  <c r="L78" i="26"/>
  <c r="L78" i="27"/>
  <c r="L124" i="27" s="1"/>
  <c r="O78" i="29"/>
  <c r="O80" i="29" s="1"/>
  <c r="K78" i="29"/>
  <c r="K124" i="29" s="1"/>
  <c r="K126" i="29" s="1"/>
  <c r="H78" i="27"/>
  <c r="O78" i="27"/>
  <c r="H78" i="29"/>
  <c r="H124" i="29" s="1"/>
  <c r="I78" i="29"/>
  <c r="I124" i="29" s="1"/>
  <c r="I126" i="29" s="1"/>
  <c r="F78" i="29"/>
  <c r="G78" i="29"/>
  <c r="N78" i="27"/>
  <c r="E78" i="29"/>
  <c r="M78" i="26"/>
  <c r="G78" i="27"/>
  <c r="P55" i="26"/>
  <c r="E78" i="26"/>
  <c r="I78" i="27"/>
  <c r="O78" i="26"/>
  <c r="P55" i="27"/>
  <c r="Q55" i="27" s="1"/>
  <c r="E78" i="27"/>
  <c r="P55" i="29"/>
  <c r="Q55" i="29" s="1"/>
  <c r="J78" i="27"/>
  <c r="M78" i="27"/>
  <c r="D124" i="27"/>
  <c r="N78" i="26"/>
  <c r="K78" i="26"/>
  <c r="J78" i="26"/>
  <c r="G78" i="26"/>
  <c r="D78" i="29"/>
  <c r="H78" i="26"/>
  <c r="I78" i="26"/>
  <c r="F78" i="26"/>
  <c r="P34" i="26"/>
  <c r="Q34" i="26" s="1"/>
  <c r="D25" i="26"/>
  <c r="N78" i="29"/>
  <c r="P34" i="27"/>
  <c r="Q34" i="27" s="1"/>
  <c r="D25" i="27"/>
  <c r="K78" i="27"/>
  <c r="D25" i="29"/>
  <c r="D44" i="29" s="1"/>
  <c r="P34" i="29"/>
  <c r="Q34" i="29" s="1"/>
  <c r="D124" i="26"/>
  <c r="D80" i="26"/>
  <c r="L78" i="29"/>
  <c r="J78" i="29"/>
  <c r="P181" i="29"/>
  <c r="Q181" i="29" s="1"/>
  <c r="Q113" i="29"/>
  <c r="P181" i="26"/>
  <c r="Q113" i="26"/>
  <c r="P181" i="27"/>
  <c r="Q181" i="27" s="1"/>
  <c r="Q113" i="27"/>
  <c r="D134" i="25"/>
  <c r="P134" i="25" s="1"/>
  <c r="Q134" i="25" s="1"/>
  <c r="P88" i="25"/>
  <c r="Q88" i="25" s="1"/>
  <c r="F118" i="25"/>
  <c r="F120" i="25" s="1"/>
  <c r="F74" i="25"/>
  <c r="G122" i="25"/>
  <c r="K118" i="25"/>
  <c r="K120" i="25" s="1"/>
  <c r="K74" i="25"/>
  <c r="K122" i="25"/>
  <c r="M118" i="25"/>
  <c r="M120" i="25" s="1"/>
  <c r="M74" i="25"/>
  <c r="G118" i="25"/>
  <c r="G120" i="25" s="1"/>
  <c r="G74" i="25"/>
  <c r="I118" i="25"/>
  <c r="I122" i="25"/>
  <c r="N122" i="25"/>
  <c r="N126" i="25" s="1"/>
  <c r="N80" i="25"/>
  <c r="E118" i="25"/>
  <c r="D122" i="25"/>
  <c r="N118" i="25"/>
  <c r="N120" i="25" s="1"/>
  <c r="N74" i="25"/>
  <c r="H122" i="25"/>
  <c r="H126" i="25" s="1"/>
  <c r="H80" i="25"/>
  <c r="M25" i="63" l="1"/>
  <c r="M44" i="63" s="1"/>
  <c r="M177" i="63" s="1"/>
  <c r="N48" i="26"/>
  <c r="F130" i="29"/>
  <c r="P123" i="29"/>
  <c r="Q123" i="29" s="1"/>
  <c r="P88" i="29"/>
  <c r="Q88" i="29" s="1"/>
  <c r="P134" i="29"/>
  <c r="Q134" i="29" s="1"/>
  <c r="P86" i="27"/>
  <c r="Q86" i="27" s="1"/>
  <c r="G130" i="26"/>
  <c r="M74" i="26"/>
  <c r="N67" i="26"/>
  <c r="N178" i="26" s="1"/>
  <c r="P132" i="25"/>
  <c r="Q132" i="25" s="1"/>
  <c r="N130" i="29"/>
  <c r="E80" i="25"/>
  <c r="B127" i="46"/>
  <c r="I25" i="63"/>
  <c r="I44" i="63" s="1"/>
  <c r="I177" i="63" s="1"/>
  <c r="N25" i="63"/>
  <c r="N44" i="63" s="1"/>
  <c r="N177" i="63" s="1"/>
  <c r="G80" i="25"/>
  <c r="G71" i="25" s="1"/>
  <c r="G90" i="25" s="1"/>
  <c r="G180" i="25" s="1"/>
  <c r="G185" i="25" s="1"/>
  <c r="E25" i="63"/>
  <c r="E44" i="63" s="1"/>
  <c r="E177" i="63" s="1"/>
  <c r="L80" i="26"/>
  <c r="P77" i="29"/>
  <c r="Q77" i="29" s="1"/>
  <c r="O57" i="63"/>
  <c r="O48" i="63" s="1"/>
  <c r="O67" i="63" s="1"/>
  <c r="O178" i="63" s="1"/>
  <c r="E48" i="26"/>
  <c r="E67" i="26" s="1"/>
  <c r="E178" i="26" s="1"/>
  <c r="E57" i="63"/>
  <c r="E48" i="63" s="1"/>
  <c r="E67" i="63" s="1"/>
  <c r="E178" i="63" s="1"/>
  <c r="K48" i="26"/>
  <c r="K67" i="26" s="1"/>
  <c r="K178" i="26" s="1"/>
  <c r="F25" i="63"/>
  <c r="F44" i="63" s="1"/>
  <c r="F177" i="63" s="1"/>
  <c r="H57" i="63"/>
  <c r="H48" i="63" s="1"/>
  <c r="H67" i="63" s="1"/>
  <c r="H178" i="63" s="1"/>
  <c r="F48" i="25"/>
  <c r="F67" i="25" s="1"/>
  <c r="F178" i="25" s="1"/>
  <c r="E72" i="63"/>
  <c r="E118" i="63" s="1"/>
  <c r="E120" i="63" s="1"/>
  <c r="F72" i="63"/>
  <c r="F118" i="63" s="1"/>
  <c r="F120" i="63" s="1"/>
  <c r="D122" i="63"/>
  <c r="D126" i="63" s="1"/>
  <c r="D80" i="63"/>
  <c r="I57" i="63"/>
  <c r="I48" i="63" s="1"/>
  <c r="I67" i="63" s="1"/>
  <c r="I178" i="63" s="1"/>
  <c r="H25" i="63"/>
  <c r="H44" i="63" s="1"/>
  <c r="H177" i="63" s="1"/>
  <c r="F122" i="63"/>
  <c r="F126" i="63" s="1"/>
  <c r="F80" i="63"/>
  <c r="E122" i="63"/>
  <c r="E126" i="63" s="1"/>
  <c r="E80" i="63"/>
  <c r="F57" i="63"/>
  <c r="F48" i="63" s="1"/>
  <c r="F67" i="63" s="1"/>
  <c r="F178" i="63" s="1"/>
  <c r="D57" i="63"/>
  <c r="J72" i="63"/>
  <c r="J118" i="63" s="1"/>
  <c r="J120" i="63" s="1"/>
  <c r="K72" i="63"/>
  <c r="K74" i="63" s="1"/>
  <c r="M48" i="25"/>
  <c r="M67" i="25" s="1"/>
  <c r="M178" i="25" s="1"/>
  <c r="M48" i="63"/>
  <c r="M67" i="63" s="1"/>
  <c r="M178" i="63" s="1"/>
  <c r="P52" i="63"/>
  <c r="Q52" i="63" s="1"/>
  <c r="L25" i="63"/>
  <c r="L44" i="63" s="1"/>
  <c r="L177" i="63" s="1"/>
  <c r="N76" i="63"/>
  <c r="N122" i="63" s="1"/>
  <c r="N126" i="63" s="1"/>
  <c r="L123" i="63"/>
  <c r="L126" i="63" s="1"/>
  <c r="L80" i="63"/>
  <c r="K80" i="63"/>
  <c r="K122" i="63"/>
  <c r="K126" i="63" s="1"/>
  <c r="G25" i="63"/>
  <c r="G44" i="63" s="1"/>
  <c r="G177" i="63" s="1"/>
  <c r="P34" i="63"/>
  <c r="Q34" i="63" s="1"/>
  <c r="O25" i="63"/>
  <c r="O44" i="63" s="1"/>
  <c r="O177" i="63" s="1"/>
  <c r="I122" i="63"/>
  <c r="J25" i="63"/>
  <c r="J44" i="63" s="1"/>
  <c r="J177" i="63" s="1"/>
  <c r="K57" i="63"/>
  <c r="K48" i="63" s="1"/>
  <c r="K67" i="63" s="1"/>
  <c r="K178" i="63" s="1"/>
  <c r="G121" i="63"/>
  <c r="P121" i="63" s="1"/>
  <c r="Q121" i="63" s="1"/>
  <c r="P75" i="63"/>
  <c r="Q75" i="63" s="1"/>
  <c r="I72" i="63"/>
  <c r="M72" i="63"/>
  <c r="I77" i="63"/>
  <c r="I123" i="63" s="1"/>
  <c r="G72" i="63"/>
  <c r="H122" i="63"/>
  <c r="N48" i="63"/>
  <c r="N67" i="63" s="1"/>
  <c r="N178" i="63" s="1"/>
  <c r="G48" i="63"/>
  <c r="G67" i="63" s="1"/>
  <c r="G178" i="63" s="1"/>
  <c r="P55" i="63"/>
  <c r="Q55" i="63" s="1"/>
  <c r="J57" i="63"/>
  <c r="K25" i="63"/>
  <c r="K44" i="63" s="1"/>
  <c r="K177" i="63" s="1"/>
  <c r="J48" i="27"/>
  <c r="J67" i="27" s="1"/>
  <c r="J178" i="27" s="1"/>
  <c r="P54" i="63"/>
  <c r="Q54" i="63" s="1"/>
  <c r="H72" i="63"/>
  <c r="P53" i="63"/>
  <c r="Q53" i="63" s="1"/>
  <c r="O76" i="63"/>
  <c r="H77" i="63"/>
  <c r="H80" i="63" s="1"/>
  <c r="N72" i="63"/>
  <c r="L57" i="63"/>
  <c r="L48" i="63" s="1"/>
  <c r="L67" i="63" s="1"/>
  <c r="L178" i="63" s="1"/>
  <c r="L72" i="63"/>
  <c r="J76" i="63"/>
  <c r="M78" i="63"/>
  <c r="G78" i="63"/>
  <c r="O72" i="63"/>
  <c r="D25" i="63"/>
  <c r="P28" i="63"/>
  <c r="Q28" i="63" s="1"/>
  <c r="D74" i="63"/>
  <c r="D118" i="63"/>
  <c r="D51" i="63"/>
  <c r="P49" i="63"/>
  <c r="Q49" i="63" s="1"/>
  <c r="G67" i="27"/>
  <c r="G178" i="27" s="1"/>
  <c r="C180" i="26"/>
  <c r="C185" i="26" s="1"/>
  <c r="C180" i="29"/>
  <c r="C185" i="29" s="1"/>
  <c r="E130" i="29"/>
  <c r="O48" i="29"/>
  <c r="O67" i="29" s="1"/>
  <c r="F67" i="29"/>
  <c r="F178" i="29" s="1"/>
  <c r="B180" i="28"/>
  <c r="B185" i="28" s="1"/>
  <c r="O67" i="27"/>
  <c r="O178" i="27" s="1"/>
  <c r="P123" i="26"/>
  <c r="Q123" i="26" s="1"/>
  <c r="P77" i="26"/>
  <c r="Q77" i="26" s="1"/>
  <c r="H126" i="29"/>
  <c r="K80" i="25"/>
  <c r="K71" i="25" s="1"/>
  <c r="K90" i="25" s="1"/>
  <c r="K180" i="25" s="1"/>
  <c r="K185" i="25" s="1"/>
  <c r="L130" i="29"/>
  <c r="K74" i="29"/>
  <c r="I80" i="25"/>
  <c r="L126" i="27"/>
  <c r="K130" i="26"/>
  <c r="M130" i="27"/>
  <c r="H80" i="27"/>
  <c r="H71" i="27" s="1"/>
  <c r="H90" i="27" s="1"/>
  <c r="L74" i="27"/>
  <c r="N67" i="29"/>
  <c r="N178" i="29" s="1"/>
  <c r="K126" i="25"/>
  <c r="K117" i="25" s="1"/>
  <c r="K136" i="25" s="1"/>
  <c r="K182" i="25" s="1"/>
  <c r="J120" i="25"/>
  <c r="J117" i="25" s="1"/>
  <c r="J136" i="25" s="1"/>
  <c r="J182" i="25" s="1"/>
  <c r="J186" i="25" s="1"/>
  <c r="E74" i="25"/>
  <c r="F120" i="26"/>
  <c r="Q63" i="26"/>
  <c r="R63" i="63"/>
  <c r="Q62" i="26"/>
  <c r="R62" i="63"/>
  <c r="Q65" i="26"/>
  <c r="R65" i="63"/>
  <c r="Q59" i="26"/>
  <c r="R59" i="63"/>
  <c r="Q60" i="26"/>
  <c r="R60" i="63"/>
  <c r="J74" i="25"/>
  <c r="J71" i="25" s="1"/>
  <c r="J90" i="25" s="1"/>
  <c r="J180" i="25" s="1"/>
  <c r="J185" i="25" s="1"/>
  <c r="P124" i="25"/>
  <c r="Q124" i="25" s="1"/>
  <c r="I80" i="29"/>
  <c r="I71" i="29" s="1"/>
  <c r="I90" i="29" s="1"/>
  <c r="I180" i="29" s="1"/>
  <c r="Q54" i="27"/>
  <c r="Q56" i="27"/>
  <c r="R56" i="63"/>
  <c r="C185" i="63"/>
  <c r="C186" i="63"/>
  <c r="C183" i="63"/>
  <c r="Q50" i="27"/>
  <c r="R50" i="63"/>
  <c r="Q49" i="26"/>
  <c r="G126" i="25"/>
  <c r="G117" i="25" s="1"/>
  <c r="G136" i="25" s="1"/>
  <c r="G182" i="25" s="1"/>
  <c r="G186" i="25" s="1"/>
  <c r="P76" i="26"/>
  <c r="Q76" i="26" s="1"/>
  <c r="P122" i="26"/>
  <c r="Q122" i="26" s="1"/>
  <c r="P78" i="25"/>
  <c r="Q78" i="25" s="1"/>
  <c r="Q55" i="26"/>
  <c r="M122" i="25"/>
  <c r="M126" i="25" s="1"/>
  <c r="M117" i="25" s="1"/>
  <c r="M136" i="25" s="1"/>
  <c r="M182" i="25" s="1"/>
  <c r="M80" i="25"/>
  <c r="M71" i="25" s="1"/>
  <c r="M90" i="25" s="1"/>
  <c r="M180" i="25" s="1"/>
  <c r="M185" i="25" s="1"/>
  <c r="M124" i="29"/>
  <c r="M126" i="29" s="1"/>
  <c r="Q53" i="26"/>
  <c r="M48" i="29"/>
  <c r="Q181" i="26"/>
  <c r="R181" i="63"/>
  <c r="G74" i="26"/>
  <c r="F74" i="26"/>
  <c r="J118" i="26"/>
  <c r="J120" i="26" s="1"/>
  <c r="M48" i="27"/>
  <c r="L48" i="26"/>
  <c r="P75" i="26"/>
  <c r="Q75" i="26" s="1"/>
  <c r="P85" i="25"/>
  <c r="Q85" i="25" s="1"/>
  <c r="H124" i="27"/>
  <c r="H126" i="27" s="1"/>
  <c r="H117" i="27" s="1"/>
  <c r="H136" i="27" s="1"/>
  <c r="H182" i="27" s="1"/>
  <c r="H186" i="27" s="1"/>
  <c r="I48" i="27"/>
  <c r="D48" i="26"/>
  <c r="D67" i="26" s="1"/>
  <c r="P73" i="26"/>
  <c r="Q73" i="26" s="1"/>
  <c r="K118" i="29"/>
  <c r="K120" i="29" s="1"/>
  <c r="K117" i="29" s="1"/>
  <c r="K136" i="29" s="1"/>
  <c r="K182" i="29" s="1"/>
  <c r="K186" i="29" s="1"/>
  <c r="H48" i="29"/>
  <c r="O124" i="29"/>
  <c r="O126" i="29" s="1"/>
  <c r="L118" i="27"/>
  <c r="L120" i="27" s="1"/>
  <c r="E178" i="29"/>
  <c r="F80" i="27"/>
  <c r="N178" i="27"/>
  <c r="I48" i="29"/>
  <c r="H48" i="27"/>
  <c r="C183" i="27"/>
  <c r="P131" i="25"/>
  <c r="Q131" i="25" s="1"/>
  <c r="I120" i="25"/>
  <c r="C186" i="25"/>
  <c r="C187" i="25" s="1"/>
  <c r="I126" i="25"/>
  <c r="I117" i="29"/>
  <c r="I136" i="29" s="1"/>
  <c r="I182" i="29" s="1"/>
  <c r="I186" i="29" s="1"/>
  <c r="H178" i="26"/>
  <c r="I130" i="25"/>
  <c r="I74" i="25"/>
  <c r="P132" i="26"/>
  <c r="Q132" i="26" s="1"/>
  <c r="P51" i="25"/>
  <c r="Q51" i="25" s="1"/>
  <c r="P86" i="25"/>
  <c r="Q86" i="25" s="1"/>
  <c r="N117" i="25"/>
  <c r="N136" i="25" s="1"/>
  <c r="N182" i="25" s="1"/>
  <c r="K178" i="25"/>
  <c r="N178" i="25"/>
  <c r="L48" i="29"/>
  <c r="L124" i="26"/>
  <c r="L126" i="26" s="1"/>
  <c r="P61" i="25"/>
  <c r="Q61" i="25" s="1"/>
  <c r="J48" i="29"/>
  <c r="G178" i="26"/>
  <c r="P86" i="26"/>
  <c r="Q86" i="26" s="1"/>
  <c r="L178" i="25"/>
  <c r="D119" i="26"/>
  <c r="P119" i="26" s="1"/>
  <c r="Q119" i="26" s="1"/>
  <c r="H118" i="25"/>
  <c r="H120" i="25" s="1"/>
  <c r="H117" i="25" s="1"/>
  <c r="H136" i="25" s="1"/>
  <c r="H182" i="25" s="1"/>
  <c r="H74" i="25"/>
  <c r="H71" i="25" s="1"/>
  <c r="H90" i="25" s="1"/>
  <c r="H180" i="25" s="1"/>
  <c r="H185" i="25" s="1"/>
  <c r="G178" i="29"/>
  <c r="N71" i="25"/>
  <c r="N90" i="25" s="1"/>
  <c r="N180" i="25" s="1"/>
  <c r="N185" i="25" s="1"/>
  <c r="F71" i="25"/>
  <c r="F90" i="25" s="1"/>
  <c r="F180" i="25" s="1"/>
  <c r="F185" i="25" s="1"/>
  <c r="F178" i="26"/>
  <c r="P78" i="26"/>
  <c r="Q78" i="26" s="1"/>
  <c r="J178" i="26"/>
  <c r="K80" i="29"/>
  <c r="D119" i="29"/>
  <c r="P119" i="29" s="1"/>
  <c r="Q119" i="29" s="1"/>
  <c r="P73" i="29"/>
  <c r="Q73" i="29" s="1"/>
  <c r="P131" i="26"/>
  <c r="D130" i="26"/>
  <c r="D122" i="27"/>
  <c r="P122" i="27" s="1"/>
  <c r="Q122" i="27" s="1"/>
  <c r="P76" i="27"/>
  <c r="Q76" i="27" s="1"/>
  <c r="N118" i="27"/>
  <c r="N120" i="27" s="1"/>
  <c r="N74" i="27"/>
  <c r="P51" i="26"/>
  <c r="F118" i="27"/>
  <c r="F120" i="27" s="1"/>
  <c r="F117" i="27" s="1"/>
  <c r="F136" i="27" s="1"/>
  <c r="F182" i="27" s="1"/>
  <c r="F186" i="27" s="1"/>
  <c r="F74" i="27"/>
  <c r="D121" i="25"/>
  <c r="P121" i="25" s="1"/>
  <c r="Q121" i="25" s="1"/>
  <c r="P75" i="25"/>
  <c r="Q75" i="25" s="1"/>
  <c r="D129" i="25"/>
  <c r="P129" i="25" s="1"/>
  <c r="Q129" i="25" s="1"/>
  <c r="P83" i="25"/>
  <c r="Q83" i="25" s="1"/>
  <c r="E118" i="26"/>
  <c r="E120" i="26" s="1"/>
  <c r="E74" i="26"/>
  <c r="P81" i="25"/>
  <c r="Q81" i="25" s="1"/>
  <c r="O118" i="29"/>
  <c r="O120" i="29" s="1"/>
  <c r="O74" i="29"/>
  <c r="O71" i="29" s="1"/>
  <c r="O90" i="29" s="1"/>
  <c r="D119" i="25"/>
  <c r="P119" i="25" s="1"/>
  <c r="Q119" i="25" s="1"/>
  <c r="P73" i="25"/>
  <c r="Q73" i="25" s="1"/>
  <c r="K74" i="27"/>
  <c r="K118" i="27"/>
  <c r="K120" i="27" s="1"/>
  <c r="L74" i="26"/>
  <c r="L71" i="26" s="1"/>
  <c r="L90" i="26" s="1"/>
  <c r="L118" i="26"/>
  <c r="L120" i="26" s="1"/>
  <c r="P83" i="26"/>
  <c r="Q83" i="26" s="1"/>
  <c r="D129" i="26"/>
  <c r="P129" i="26" s="1"/>
  <c r="Q129" i="26" s="1"/>
  <c r="D118" i="25"/>
  <c r="D74" i="25"/>
  <c r="D71" i="25" s="1"/>
  <c r="P61" i="29"/>
  <c r="Q61" i="29" s="1"/>
  <c r="G178" i="25"/>
  <c r="P58" i="29"/>
  <c r="Q58" i="29" s="1"/>
  <c r="D131" i="27"/>
  <c r="P85" i="27"/>
  <c r="Q85" i="27" s="1"/>
  <c r="K118" i="26"/>
  <c r="K120" i="26" s="1"/>
  <c r="K74" i="26"/>
  <c r="L118" i="29"/>
  <c r="L120" i="29" s="1"/>
  <c r="L74" i="29"/>
  <c r="M74" i="27"/>
  <c r="M118" i="27"/>
  <c r="M120" i="27" s="1"/>
  <c r="E178" i="27"/>
  <c r="E178" i="25"/>
  <c r="K48" i="27"/>
  <c r="L80" i="27"/>
  <c r="O178" i="26"/>
  <c r="M48" i="26"/>
  <c r="D128" i="25"/>
  <c r="P128" i="25" s="1"/>
  <c r="P82" i="25"/>
  <c r="Q82" i="25" s="1"/>
  <c r="N118" i="29"/>
  <c r="N120" i="29" s="1"/>
  <c r="N74" i="29"/>
  <c r="D119" i="27"/>
  <c r="P119" i="27" s="1"/>
  <c r="Q119" i="27" s="1"/>
  <c r="P73" i="27"/>
  <c r="Q73" i="27" s="1"/>
  <c r="P51" i="27"/>
  <c r="Q51" i="27" s="1"/>
  <c r="D84" i="29"/>
  <c r="P84" i="29" s="1"/>
  <c r="Q84" i="29" s="1"/>
  <c r="D123" i="27"/>
  <c r="P123" i="27" s="1"/>
  <c r="Q123" i="27" s="1"/>
  <c r="P77" i="27"/>
  <c r="Q77" i="27" s="1"/>
  <c r="N74" i="26"/>
  <c r="N118" i="26"/>
  <c r="N120" i="26" s="1"/>
  <c r="P51" i="29"/>
  <c r="Q51" i="29" s="1"/>
  <c r="P61" i="26"/>
  <c r="D81" i="29"/>
  <c r="G118" i="27"/>
  <c r="G120" i="27" s="1"/>
  <c r="G74" i="27"/>
  <c r="G74" i="29"/>
  <c r="G118" i="29"/>
  <c r="G120" i="29" s="1"/>
  <c r="D131" i="29"/>
  <c r="P85" i="29"/>
  <c r="Q85" i="29" s="1"/>
  <c r="P83" i="27"/>
  <c r="Q83" i="27" s="1"/>
  <c r="H118" i="26"/>
  <c r="H120" i="26" s="1"/>
  <c r="H74" i="26"/>
  <c r="D134" i="27"/>
  <c r="P134" i="27" s="1"/>
  <c r="Q134" i="27" s="1"/>
  <c r="P88" i="27"/>
  <c r="Q88" i="27" s="1"/>
  <c r="I48" i="25"/>
  <c r="L118" i="25"/>
  <c r="L120" i="25" s="1"/>
  <c r="L117" i="25" s="1"/>
  <c r="L136" i="25" s="1"/>
  <c r="L182" i="25" s="1"/>
  <c r="L186" i="25" s="1"/>
  <c r="L74" i="25"/>
  <c r="L71" i="25" s="1"/>
  <c r="L90" i="25" s="1"/>
  <c r="L180" i="25" s="1"/>
  <c r="L185" i="25" s="1"/>
  <c r="D125" i="27"/>
  <c r="P125" i="27" s="1"/>
  <c r="Q125" i="27" s="1"/>
  <c r="P79" i="27"/>
  <c r="Q79" i="27" s="1"/>
  <c r="D122" i="29"/>
  <c r="P122" i="29" s="1"/>
  <c r="Q122" i="29" s="1"/>
  <c r="P76" i="29"/>
  <c r="Q76" i="29" s="1"/>
  <c r="D118" i="29"/>
  <c r="P72" i="29"/>
  <c r="Q72" i="29" s="1"/>
  <c r="D74" i="29"/>
  <c r="P79" i="29"/>
  <c r="Q79" i="29" s="1"/>
  <c r="D125" i="29"/>
  <c r="P125" i="29" s="1"/>
  <c r="Q125" i="29" s="1"/>
  <c r="D128" i="26"/>
  <c r="P128" i="26" s="1"/>
  <c r="P82" i="26"/>
  <c r="Q82" i="26" s="1"/>
  <c r="J118" i="27"/>
  <c r="J120" i="27" s="1"/>
  <c r="J74" i="27"/>
  <c r="P128" i="29"/>
  <c r="O118" i="27"/>
  <c r="O120" i="27" s="1"/>
  <c r="O74" i="27"/>
  <c r="L178" i="27"/>
  <c r="D48" i="25"/>
  <c r="D67" i="25" s="1"/>
  <c r="P58" i="25"/>
  <c r="Q58" i="25" s="1"/>
  <c r="D123" i="25"/>
  <c r="P123" i="25" s="1"/>
  <c r="Q123" i="25" s="1"/>
  <c r="P77" i="25"/>
  <c r="Q77" i="25" s="1"/>
  <c r="D81" i="27"/>
  <c r="P58" i="27"/>
  <c r="Q58" i="27" s="1"/>
  <c r="O118" i="26"/>
  <c r="O120" i="26" s="1"/>
  <c r="O74" i="26"/>
  <c r="F118" i="29"/>
  <c r="F120" i="29" s="1"/>
  <c r="F74" i="29"/>
  <c r="P72" i="26"/>
  <c r="Q72" i="26" s="1"/>
  <c r="P72" i="25"/>
  <c r="Q72" i="25" s="1"/>
  <c r="P84" i="25"/>
  <c r="Q84" i="25" s="1"/>
  <c r="F117" i="25"/>
  <c r="F136" i="25" s="1"/>
  <c r="F182" i="25" s="1"/>
  <c r="F186" i="25" s="1"/>
  <c r="J178" i="25"/>
  <c r="D80" i="27"/>
  <c r="D129" i="29"/>
  <c r="P129" i="29" s="1"/>
  <c r="Q129" i="29" s="1"/>
  <c r="P83" i="29"/>
  <c r="Q83" i="29" s="1"/>
  <c r="P85" i="26"/>
  <c r="Q85" i="26" s="1"/>
  <c r="D121" i="29"/>
  <c r="P121" i="29" s="1"/>
  <c r="Q121" i="29" s="1"/>
  <c r="P75" i="29"/>
  <c r="Q75" i="29" s="1"/>
  <c r="K178" i="29"/>
  <c r="F178" i="27"/>
  <c r="D127" i="26"/>
  <c r="P81" i="26"/>
  <c r="Q81" i="26" s="1"/>
  <c r="P84" i="26"/>
  <c r="Q84" i="26" s="1"/>
  <c r="D74" i="27"/>
  <c r="D118" i="27"/>
  <c r="P72" i="27"/>
  <c r="Q72" i="27" s="1"/>
  <c r="E118" i="29"/>
  <c r="E120" i="29" s="1"/>
  <c r="E74" i="29"/>
  <c r="M74" i="29"/>
  <c r="M71" i="29" s="1"/>
  <c r="M90" i="29" s="1"/>
  <c r="M180" i="29" s="1"/>
  <c r="M118" i="29"/>
  <c r="M120" i="29" s="1"/>
  <c r="D128" i="27"/>
  <c r="P128" i="27" s="1"/>
  <c r="P82" i="27"/>
  <c r="Q82" i="27" s="1"/>
  <c r="J118" i="29"/>
  <c r="J120" i="29" s="1"/>
  <c r="J74" i="29"/>
  <c r="H74" i="29"/>
  <c r="H118" i="29"/>
  <c r="H120" i="29" s="1"/>
  <c r="P82" i="29"/>
  <c r="Q82" i="29" s="1"/>
  <c r="P61" i="27"/>
  <c r="Q61" i="27" s="1"/>
  <c r="D84" i="27"/>
  <c r="P84" i="27" s="1"/>
  <c r="Q84" i="27" s="1"/>
  <c r="I74" i="26"/>
  <c r="I118" i="26"/>
  <c r="I120" i="26" s="1"/>
  <c r="D132" i="29"/>
  <c r="P132" i="29" s="1"/>
  <c r="Q132" i="29" s="1"/>
  <c r="P86" i="29"/>
  <c r="Q86" i="29" s="1"/>
  <c r="P58" i="26"/>
  <c r="P129" i="27"/>
  <c r="Q129" i="27" s="1"/>
  <c r="E74" i="27"/>
  <c r="E118" i="27"/>
  <c r="E120" i="27" s="1"/>
  <c r="H178" i="25"/>
  <c r="H80" i="29"/>
  <c r="O124" i="27"/>
  <c r="O126" i="27" s="1"/>
  <c r="O80" i="27"/>
  <c r="J124" i="29"/>
  <c r="J126" i="29" s="1"/>
  <c r="J80" i="29"/>
  <c r="D71" i="26"/>
  <c r="P25" i="29"/>
  <c r="Q25" i="29" s="1"/>
  <c r="P57" i="26"/>
  <c r="I48" i="26"/>
  <c r="M124" i="27"/>
  <c r="M126" i="27" s="1"/>
  <c r="M80" i="27"/>
  <c r="P57" i="27"/>
  <c r="Q57" i="27" s="1"/>
  <c r="D48" i="27"/>
  <c r="D67" i="27" s="1"/>
  <c r="I124" i="27"/>
  <c r="I126" i="27" s="1"/>
  <c r="I117" i="27" s="1"/>
  <c r="I136" i="27" s="1"/>
  <c r="I182" i="27" s="1"/>
  <c r="I80" i="27"/>
  <c r="I71" i="27" s="1"/>
  <c r="I90" i="27" s="1"/>
  <c r="G124" i="27"/>
  <c r="G126" i="27" s="1"/>
  <c r="G80" i="27"/>
  <c r="N124" i="27"/>
  <c r="N126" i="27" s="1"/>
  <c r="N80" i="27"/>
  <c r="L124" i="29"/>
  <c r="L126" i="29" s="1"/>
  <c r="L80" i="29"/>
  <c r="N124" i="29"/>
  <c r="N126" i="29" s="1"/>
  <c r="N80" i="29"/>
  <c r="I124" i="26"/>
  <c r="I126" i="26" s="1"/>
  <c r="I80" i="26"/>
  <c r="G124" i="26"/>
  <c r="G126" i="26" s="1"/>
  <c r="G117" i="26" s="1"/>
  <c r="G136" i="26" s="1"/>
  <c r="G182" i="26" s="1"/>
  <c r="G80" i="26"/>
  <c r="K124" i="26"/>
  <c r="K126" i="26" s="1"/>
  <c r="K80" i="26"/>
  <c r="N124" i="26"/>
  <c r="N126" i="26" s="1"/>
  <c r="N80" i="26"/>
  <c r="E124" i="26"/>
  <c r="E126" i="26" s="1"/>
  <c r="E80" i="26"/>
  <c r="D126" i="26"/>
  <c r="K124" i="27"/>
  <c r="K126" i="27" s="1"/>
  <c r="K80" i="27"/>
  <c r="P25" i="27"/>
  <c r="Q25" i="27" s="1"/>
  <c r="D44" i="27"/>
  <c r="P25" i="26"/>
  <c r="D44" i="26"/>
  <c r="D177" i="26" s="1"/>
  <c r="H124" i="26"/>
  <c r="H126" i="26" s="1"/>
  <c r="H80" i="26"/>
  <c r="J124" i="27"/>
  <c r="J126" i="27" s="1"/>
  <c r="J80" i="27"/>
  <c r="P57" i="29"/>
  <c r="Q57" i="29" s="1"/>
  <c r="D48" i="29"/>
  <c r="D67" i="29" s="1"/>
  <c r="E124" i="27"/>
  <c r="E126" i="27" s="1"/>
  <c r="E80" i="27"/>
  <c r="O124" i="26"/>
  <c r="O126" i="26" s="1"/>
  <c r="O80" i="26"/>
  <c r="M124" i="26"/>
  <c r="M126" i="26" s="1"/>
  <c r="M117" i="26" s="1"/>
  <c r="M136" i="26" s="1"/>
  <c r="M182" i="26" s="1"/>
  <c r="M80" i="26"/>
  <c r="M71" i="26" s="1"/>
  <c r="M90" i="26" s="1"/>
  <c r="F124" i="26"/>
  <c r="F126" i="26" s="1"/>
  <c r="F80" i="26"/>
  <c r="D80" i="29"/>
  <c r="P78" i="29"/>
  <c r="Q78" i="29" s="1"/>
  <c r="D124" i="29"/>
  <c r="J124" i="26"/>
  <c r="J126" i="26" s="1"/>
  <c r="J80" i="26"/>
  <c r="J71" i="26" s="1"/>
  <c r="J90" i="26" s="1"/>
  <c r="P78" i="27"/>
  <c r="Q78" i="27" s="1"/>
  <c r="E124" i="29"/>
  <c r="E126" i="29" s="1"/>
  <c r="E80" i="29"/>
  <c r="G124" i="29"/>
  <c r="G126" i="29" s="1"/>
  <c r="G80" i="29"/>
  <c r="F124" i="29"/>
  <c r="F126" i="29" s="1"/>
  <c r="F80" i="29"/>
  <c r="D177" i="25"/>
  <c r="E120" i="25"/>
  <c r="E74" i="63" l="1"/>
  <c r="R52" i="63"/>
  <c r="K118" i="63"/>
  <c r="K120" i="63" s="1"/>
  <c r="K117" i="63" s="1"/>
  <c r="K136" i="63" s="1"/>
  <c r="K182" i="63" s="1"/>
  <c r="I71" i="25"/>
  <c r="I90" i="25" s="1"/>
  <c r="I180" i="25" s="1"/>
  <c r="I185" i="25" s="1"/>
  <c r="E71" i="25"/>
  <c r="E90" i="25" s="1"/>
  <c r="E180" i="25" s="1"/>
  <c r="E185" i="25" s="1"/>
  <c r="D120" i="25"/>
  <c r="P120" i="25" s="1"/>
  <c r="C187" i="26"/>
  <c r="C183" i="26"/>
  <c r="H117" i="29"/>
  <c r="H136" i="29" s="1"/>
  <c r="H182" i="29" s="1"/>
  <c r="H186" i="29" s="1"/>
  <c r="F74" i="63"/>
  <c r="F71" i="63" s="1"/>
  <c r="F90" i="63" s="1"/>
  <c r="F180" i="63" s="1"/>
  <c r="F185" i="63" s="1"/>
  <c r="H71" i="29"/>
  <c r="H90" i="29" s="1"/>
  <c r="H180" i="29" s="1"/>
  <c r="H185" i="29" s="1"/>
  <c r="F117" i="63"/>
  <c r="F136" i="63" s="1"/>
  <c r="F182" i="63" s="1"/>
  <c r="F186" i="63" s="1"/>
  <c r="E71" i="63"/>
  <c r="E90" i="63" s="1"/>
  <c r="E180" i="63" s="1"/>
  <c r="E185" i="63" s="1"/>
  <c r="J74" i="63"/>
  <c r="E117" i="63"/>
  <c r="E136" i="63" s="1"/>
  <c r="E182" i="63" s="1"/>
  <c r="E186" i="63" s="1"/>
  <c r="R49" i="63"/>
  <c r="P72" i="63"/>
  <c r="Q72" i="63" s="1"/>
  <c r="L117" i="27"/>
  <c r="L136" i="27" s="1"/>
  <c r="L182" i="27" s="1"/>
  <c r="L186" i="27" s="1"/>
  <c r="N80" i="63"/>
  <c r="R53" i="63"/>
  <c r="P57" i="63"/>
  <c r="Q57" i="63" s="1"/>
  <c r="R54" i="63"/>
  <c r="O74" i="63"/>
  <c r="O118" i="63"/>
  <c r="O120" i="63" s="1"/>
  <c r="L74" i="63"/>
  <c r="L71" i="63" s="1"/>
  <c r="L90" i="63" s="1"/>
  <c r="L180" i="63" s="1"/>
  <c r="L185" i="63" s="1"/>
  <c r="L118" i="63"/>
  <c r="L120" i="63" s="1"/>
  <c r="L117" i="63" s="1"/>
  <c r="L136" i="63" s="1"/>
  <c r="L182" i="63" s="1"/>
  <c r="O80" i="63"/>
  <c r="O122" i="63"/>
  <c r="O126" i="63" s="1"/>
  <c r="I126" i="63"/>
  <c r="K71" i="29"/>
  <c r="K90" i="29" s="1"/>
  <c r="K180" i="29" s="1"/>
  <c r="K185" i="29" s="1"/>
  <c r="R55" i="63"/>
  <c r="G124" i="63"/>
  <c r="P78" i="63"/>
  <c r="Q78" i="63" s="1"/>
  <c r="G80" i="63"/>
  <c r="I74" i="63"/>
  <c r="I118" i="63"/>
  <c r="I120" i="63" s="1"/>
  <c r="J122" i="63"/>
  <c r="J126" i="63" s="1"/>
  <c r="J117" i="63" s="1"/>
  <c r="J136" i="63" s="1"/>
  <c r="J182" i="63" s="1"/>
  <c r="J80" i="63"/>
  <c r="H123" i="63"/>
  <c r="P123" i="63" s="1"/>
  <c r="Q123" i="63" s="1"/>
  <c r="P77" i="63"/>
  <c r="Q77" i="63" s="1"/>
  <c r="I80" i="63"/>
  <c r="M74" i="63"/>
  <c r="M118" i="63"/>
  <c r="M120" i="63" s="1"/>
  <c r="M124" i="63"/>
  <c r="M126" i="63" s="1"/>
  <c r="M80" i="63"/>
  <c r="N74" i="63"/>
  <c r="N118" i="63"/>
  <c r="N120" i="63" s="1"/>
  <c r="N117" i="63" s="1"/>
  <c r="N136" i="63" s="1"/>
  <c r="N182" i="63" s="1"/>
  <c r="H74" i="63"/>
  <c r="H71" i="63" s="1"/>
  <c r="H90" i="63" s="1"/>
  <c r="H180" i="63" s="1"/>
  <c r="H185" i="63" s="1"/>
  <c r="H118" i="63"/>
  <c r="H120" i="63" s="1"/>
  <c r="K71" i="63"/>
  <c r="K90" i="63" s="1"/>
  <c r="K180" i="63" s="1"/>
  <c r="K185" i="63" s="1"/>
  <c r="J48" i="63"/>
  <c r="J67" i="63" s="1"/>
  <c r="J178" i="63" s="1"/>
  <c r="G74" i="63"/>
  <c r="G118" i="63"/>
  <c r="G120" i="63" s="1"/>
  <c r="P76" i="63"/>
  <c r="Q76" i="63" s="1"/>
  <c r="P51" i="63"/>
  <c r="Q51" i="63" s="1"/>
  <c r="D48" i="63"/>
  <c r="D71" i="63"/>
  <c r="D120" i="63"/>
  <c r="D44" i="63"/>
  <c r="P25" i="63"/>
  <c r="Q25" i="63" s="1"/>
  <c r="L180" i="26"/>
  <c r="L185" i="26" s="1"/>
  <c r="M180" i="26"/>
  <c r="M185" i="26" s="1"/>
  <c r="O180" i="29"/>
  <c r="O185" i="29" s="1"/>
  <c r="J180" i="26"/>
  <c r="J185" i="26" s="1"/>
  <c r="I180" i="27"/>
  <c r="I185" i="27" s="1"/>
  <c r="H180" i="27"/>
  <c r="H185" i="27" s="1"/>
  <c r="C187" i="29"/>
  <c r="C183" i="29"/>
  <c r="L71" i="27"/>
  <c r="L90" i="27" s="1"/>
  <c r="F117" i="26"/>
  <c r="F136" i="26" s="1"/>
  <c r="F182" i="26" s="1"/>
  <c r="F186" i="26" s="1"/>
  <c r="Q61" i="26"/>
  <c r="R61" i="63"/>
  <c r="Q58" i="26"/>
  <c r="R58" i="63"/>
  <c r="C187" i="63"/>
  <c r="Q51" i="26"/>
  <c r="M117" i="29"/>
  <c r="M136" i="29" s="1"/>
  <c r="M182" i="29" s="1"/>
  <c r="M186" i="29" s="1"/>
  <c r="M187" i="29" s="1"/>
  <c r="Q57" i="26"/>
  <c r="M67" i="27"/>
  <c r="M178" i="27" s="1"/>
  <c r="K67" i="27"/>
  <c r="K178" i="27" s="1"/>
  <c r="H67" i="27"/>
  <c r="H178" i="27" s="1"/>
  <c r="I67" i="27"/>
  <c r="I178" i="27" s="1"/>
  <c r="I67" i="26"/>
  <c r="I178" i="26" s="1"/>
  <c r="M67" i="26"/>
  <c r="M178" i="26" s="1"/>
  <c r="L67" i="26"/>
  <c r="L67" i="29"/>
  <c r="L178" i="29" s="1"/>
  <c r="J67" i="29"/>
  <c r="J178" i="29" s="1"/>
  <c r="H67" i="29"/>
  <c r="H178" i="29" s="1"/>
  <c r="I67" i="29"/>
  <c r="I178" i="29" s="1"/>
  <c r="M67" i="29"/>
  <c r="M178" i="29" s="1"/>
  <c r="I67" i="25"/>
  <c r="I178" i="25" s="1"/>
  <c r="O178" i="29"/>
  <c r="J117" i="26"/>
  <c r="J136" i="26" s="1"/>
  <c r="J182" i="26" s="1"/>
  <c r="Q25" i="26"/>
  <c r="R25" i="63"/>
  <c r="G71" i="26"/>
  <c r="G90" i="26" s="1"/>
  <c r="O117" i="29"/>
  <c r="O136" i="29" s="1"/>
  <c r="O182" i="29" s="1"/>
  <c r="O186" i="29" s="1"/>
  <c r="O71" i="26"/>
  <c r="O90" i="26" s="1"/>
  <c r="F71" i="26"/>
  <c r="F90" i="26" s="1"/>
  <c r="N71" i="26"/>
  <c r="N90" i="26" s="1"/>
  <c r="M183" i="25"/>
  <c r="F71" i="27"/>
  <c r="F90" i="27" s="1"/>
  <c r="N71" i="27"/>
  <c r="N90" i="27" s="1"/>
  <c r="L71" i="29"/>
  <c r="L90" i="29" s="1"/>
  <c r="F187" i="25"/>
  <c r="N71" i="29"/>
  <c r="N90" i="29" s="1"/>
  <c r="I117" i="25"/>
  <c r="I136" i="25" s="1"/>
  <c r="I182" i="25" s="1"/>
  <c r="I186" i="25" s="1"/>
  <c r="I187" i="25" s="1"/>
  <c r="P130" i="25"/>
  <c r="Q130" i="25" s="1"/>
  <c r="O117" i="27"/>
  <c r="O136" i="27" s="1"/>
  <c r="O182" i="27" s="1"/>
  <c r="O186" i="27" s="1"/>
  <c r="H117" i="26"/>
  <c r="H136" i="26" s="1"/>
  <c r="H182" i="26" s="1"/>
  <c r="H186" i="26" s="1"/>
  <c r="D126" i="25"/>
  <c r="G117" i="29"/>
  <c r="G136" i="29" s="1"/>
  <c r="G182" i="29" s="1"/>
  <c r="G186" i="29" s="1"/>
  <c r="O117" i="26"/>
  <c r="O136" i="26" s="1"/>
  <c r="O182" i="26" s="1"/>
  <c r="O186" i="26" s="1"/>
  <c r="N117" i="29"/>
  <c r="N136" i="29" s="1"/>
  <c r="N182" i="29" s="1"/>
  <c r="E71" i="26"/>
  <c r="E90" i="26" s="1"/>
  <c r="I71" i="26"/>
  <c r="I90" i="26" s="1"/>
  <c r="M71" i="27"/>
  <c r="M90" i="27" s="1"/>
  <c r="G187" i="25"/>
  <c r="G183" i="25"/>
  <c r="K71" i="27"/>
  <c r="K90" i="27" s="1"/>
  <c r="M117" i="27"/>
  <c r="M136" i="27" s="1"/>
  <c r="M182" i="27" s="1"/>
  <c r="M186" i="27" s="1"/>
  <c r="O71" i="27"/>
  <c r="O90" i="27" s="1"/>
  <c r="J183" i="25"/>
  <c r="K117" i="27"/>
  <c r="K136" i="27" s="1"/>
  <c r="K182" i="27" s="1"/>
  <c r="K186" i="27" s="1"/>
  <c r="P74" i="25"/>
  <c r="Q74" i="25" s="1"/>
  <c r="N183" i="25"/>
  <c r="J187" i="25"/>
  <c r="D120" i="26"/>
  <c r="P120" i="26" s="1"/>
  <c r="Q120" i="26" s="1"/>
  <c r="N186" i="25"/>
  <c r="N187" i="25" s="1"/>
  <c r="J117" i="29"/>
  <c r="J136" i="29" s="1"/>
  <c r="J182" i="29" s="1"/>
  <c r="L117" i="26"/>
  <c r="L136" i="26" s="1"/>
  <c r="L182" i="26" s="1"/>
  <c r="M186" i="25"/>
  <c r="M187" i="25" s="1"/>
  <c r="K117" i="26"/>
  <c r="K136" i="26" s="1"/>
  <c r="K182" i="26" s="1"/>
  <c r="K186" i="26" s="1"/>
  <c r="I117" i="26"/>
  <c r="I136" i="26" s="1"/>
  <c r="I182" i="26" s="1"/>
  <c r="I185" i="29"/>
  <c r="I183" i="29"/>
  <c r="G71" i="29"/>
  <c r="G90" i="29" s="1"/>
  <c r="I187" i="29"/>
  <c r="H183" i="25"/>
  <c r="H186" i="25"/>
  <c r="H187" i="25" s="1"/>
  <c r="P74" i="27"/>
  <c r="Q74" i="27" s="1"/>
  <c r="F183" i="25"/>
  <c r="J71" i="27"/>
  <c r="J90" i="27" s="1"/>
  <c r="L187" i="25"/>
  <c r="P74" i="26"/>
  <c r="Q74" i="26" s="1"/>
  <c r="F117" i="29"/>
  <c r="F136" i="29" s="1"/>
  <c r="F182" i="29" s="1"/>
  <c r="F186" i="29" s="1"/>
  <c r="E117" i="29"/>
  <c r="E136" i="29" s="1"/>
  <c r="E182" i="29" s="1"/>
  <c r="E186" i="29" s="1"/>
  <c r="K71" i="26"/>
  <c r="K90" i="26" s="1"/>
  <c r="J71" i="29"/>
  <c r="J90" i="29" s="1"/>
  <c r="M185" i="29"/>
  <c r="D120" i="27"/>
  <c r="P120" i="27" s="1"/>
  <c r="Q120" i="27" s="1"/>
  <c r="P118" i="27"/>
  <c r="Q118" i="27" s="1"/>
  <c r="Q128" i="25"/>
  <c r="P127" i="25"/>
  <c r="Q127" i="25" s="1"/>
  <c r="P131" i="27"/>
  <c r="D130" i="27"/>
  <c r="Q131" i="26"/>
  <c r="P130" i="26"/>
  <c r="Q130" i="26" s="1"/>
  <c r="E117" i="26"/>
  <c r="E136" i="26" s="1"/>
  <c r="E182" i="26" s="1"/>
  <c r="E186" i="26" s="1"/>
  <c r="P74" i="29"/>
  <c r="Q74" i="29" s="1"/>
  <c r="P118" i="25"/>
  <c r="Q118" i="25" s="1"/>
  <c r="H187" i="27"/>
  <c r="G71" i="27"/>
  <c r="G90" i="27" s="1"/>
  <c r="D126" i="27"/>
  <c r="P127" i="27"/>
  <c r="Q127" i="27" s="1"/>
  <c r="Q128" i="27"/>
  <c r="P127" i="29"/>
  <c r="Q128" i="29"/>
  <c r="Q128" i="26"/>
  <c r="P127" i="26"/>
  <c r="Q127" i="26" s="1"/>
  <c r="P81" i="29"/>
  <c r="Q81" i="29" s="1"/>
  <c r="D127" i="29"/>
  <c r="L183" i="25"/>
  <c r="N117" i="27"/>
  <c r="N136" i="27" s="1"/>
  <c r="N182" i="27" s="1"/>
  <c r="P131" i="29"/>
  <c r="D130" i="29"/>
  <c r="P118" i="26"/>
  <c r="Q118" i="26" s="1"/>
  <c r="E71" i="29"/>
  <c r="E90" i="29" s="1"/>
  <c r="D71" i="29"/>
  <c r="D90" i="29" s="1"/>
  <c r="D180" i="29" s="1"/>
  <c r="E117" i="27"/>
  <c r="E136" i="27" s="1"/>
  <c r="E182" i="27" s="1"/>
  <c r="E186" i="27" s="1"/>
  <c r="J117" i="27"/>
  <c r="J136" i="27" s="1"/>
  <c r="J182" i="27" s="1"/>
  <c r="H71" i="26"/>
  <c r="H90" i="26" s="1"/>
  <c r="N117" i="26"/>
  <c r="N136" i="26" s="1"/>
  <c r="N182" i="26" s="1"/>
  <c r="N186" i="26" s="1"/>
  <c r="L117" i="29"/>
  <c r="L136" i="29" s="1"/>
  <c r="L182" i="29" s="1"/>
  <c r="G117" i="27"/>
  <c r="G136" i="27" s="1"/>
  <c r="G182" i="27" s="1"/>
  <c r="G186" i="27" s="1"/>
  <c r="D71" i="27"/>
  <c r="D90" i="27" s="1"/>
  <c r="D127" i="27"/>
  <c r="P81" i="27"/>
  <c r="Q81" i="27" s="1"/>
  <c r="P118" i="29"/>
  <c r="Q118" i="29" s="1"/>
  <c r="D120" i="29"/>
  <c r="P120" i="29" s="1"/>
  <c r="Q120" i="29" s="1"/>
  <c r="P48" i="26"/>
  <c r="P48" i="29"/>
  <c r="Q48" i="29" s="1"/>
  <c r="D177" i="27"/>
  <c r="P44" i="27"/>
  <c r="P48" i="27"/>
  <c r="Q48" i="27" s="1"/>
  <c r="P80" i="26"/>
  <c r="Q80" i="26" s="1"/>
  <c r="D178" i="26"/>
  <c r="P124" i="29"/>
  <c r="D126" i="29"/>
  <c r="P124" i="26"/>
  <c r="G186" i="26"/>
  <c r="P124" i="27"/>
  <c r="D90" i="26"/>
  <c r="D180" i="26" s="1"/>
  <c r="P80" i="29"/>
  <c r="Q80" i="29" s="1"/>
  <c r="F71" i="29"/>
  <c r="F90" i="29" s="1"/>
  <c r="E71" i="27"/>
  <c r="P80" i="27"/>
  <c r="Q80" i="27" s="1"/>
  <c r="P44" i="26"/>
  <c r="M186" i="26"/>
  <c r="I186" i="27"/>
  <c r="P44" i="29"/>
  <c r="D177" i="29"/>
  <c r="E117" i="25"/>
  <c r="E136" i="25" s="1"/>
  <c r="E182" i="25" s="1"/>
  <c r="D90" i="25"/>
  <c r="K186" i="25"/>
  <c r="K187" i="25" s="1"/>
  <c r="K183" i="25"/>
  <c r="I117" i="63" l="1"/>
  <c r="I136" i="63" s="1"/>
  <c r="I182" i="63" s="1"/>
  <c r="I186" i="63" s="1"/>
  <c r="D117" i="25"/>
  <c r="D136" i="25" s="1"/>
  <c r="D182" i="25" s="1"/>
  <c r="D186" i="25" s="1"/>
  <c r="N71" i="63"/>
  <c r="N90" i="63" s="1"/>
  <c r="N180" i="63" s="1"/>
  <c r="N185" i="63" s="1"/>
  <c r="L183" i="26"/>
  <c r="M183" i="26"/>
  <c r="J183" i="26"/>
  <c r="E187" i="63"/>
  <c r="M187" i="26"/>
  <c r="O187" i="29"/>
  <c r="J71" i="63"/>
  <c r="J90" i="63" s="1"/>
  <c r="J180" i="63" s="1"/>
  <c r="J185" i="63" s="1"/>
  <c r="F187" i="63"/>
  <c r="M71" i="63"/>
  <c r="M90" i="63" s="1"/>
  <c r="M180" i="63" s="1"/>
  <c r="M185" i="63" s="1"/>
  <c r="E183" i="63"/>
  <c r="I183" i="27"/>
  <c r="I187" i="27"/>
  <c r="I71" i="63"/>
  <c r="I90" i="63" s="1"/>
  <c r="I180" i="63" s="1"/>
  <c r="I185" i="63" s="1"/>
  <c r="H187" i="29"/>
  <c r="R57" i="63"/>
  <c r="F183" i="63"/>
  <c r="O117" i="63"/>
  <c r="O136" i="63" s="1"/>
  <c r="O182" i="63" s="1"/>
  <c r="O186" i="63" s="1"/>
  <c r="O71" i="63"/>
  <c r="O90" i="63" s="1"/>
  <c r="O180" i="63" s="1"/>
  <c r="O185" i="63" s="1"/>
  <c r="P74" i="63"/>
  <c r="Q74" i="63" s="1"/>
  <c r="J186" i="63"/>
  <c r="M117" i="63"/>
  <c r="M136" i="63" s="1"/>
  <c r="M182" i="63" s="1"/>
  <c r="H183" i="27"/>
  <c r="K187" i="29"/>
  <c r="R51" i="63"/>
  <c r="P122" i="63"/>
  <c r="L186" i="63"/>
  <c r="L187" i="63" s="1"/>
  <c r="L183" i="63"/>
  <c r="K183" i="63"/>
  <c r="K186" i="63"/>
  <c r="K187" i="63" s="1"/>
  <c r="K183" i="29"/>
  <c r="N186" i="63"/>
  <c r="G71" i="63"/>
  <c r="G90" i="63" s="1"/>
  <c r="G180" i="63" s="1"/>
  <c r="G185" i="63" s="1"/>
  <c r="P80" i="63"/>
  <c r="Q80" i="63" s="1"/>
  <c r="P118" i="63"/>
  <c r="Q118" i="63" s="1"/>
  <c r="P124" i="63"/>
  <c r="Q124" i="63" s="1"/>
  <c r="G126" i="63"/>
  <c r="G117" i="63" s="1"/>
  <c r="G136" i="63" s="1"/>
  <c r="G182" i="63" s="1"/>
  <c r="H126" i="63"/>
  <c r="H117" i="63" s="1"/>
  <c r="H136" i="63" s="1"/>
  <c r="H182" i="63" s="1"/>
  <c r="D177" i="63"/>
  <c r="P44" i="63"/>
  <c r="D67" i="63"/>
  <c r="P48" i="63"/>
  <c r="Q48" i="63" s="1"/>
  <c r="P120" i="63"/>
  <c r="D117" i="63"/>
  <c r="D136" i="63" s="1"/>
  <c r="D182" i="63" s="1"/>
  <c r="D90" i="63"/>
  <c r="M183" i="29"/>
  <c r="H183" i="29"/>
  <c r="E180" i="29"/>
  <c r="E185" i="29" s="1"/>
  <c r="G180" i="27"/>
  <c r="G185" i="27" s="1"/>
  <c r="J180" i="29"/>
  <c r="J185" i="29" s="1"/>
  <c r="G180" i="29"/>
  <c r="G185" i="29" s="1"/>
  <c r="O180" i="27"/>
  <c r="O185" i="27" s="1"/>
  <c r="N180" i="29"/>
  <c r="N185" i="29" s="1"/>
  <c r="F180" i="26"/>
  <c r="F185" i="26" s="1"/>
  <c r="K180" i="26"/>
  <c r="K185" i="26" s="1"/>
  <c r="M180" i="27"/>
  <c r="M187" i="27" s="1"/>
  <c r="F180" i="27"/>
  <c r="F185" i="27" s="1"/>
  <c r="O180" i="26"/>
  <c r="O185" i="26" s="1"/>
  <c r="L180" i="27"/>
  <c r="L185" i="27" s="1"/>
  <c r="F180" i="29"/>
  <c r="F185" i="29" s="1"/>
  <c r="D180" i="27"/>
  <c r="D185" i="27" s="1"/>
  <c r="J180" i="27"/>
  <c r="J185" i="27" s="1"/>
  <c r="K180" i="27"/>
  <c r="K185" i="27" s="1"/>
  <c r="I180" i="26"/>
  <c r="I185" i="26" s="1"/>
  <c r="L180" i="29"/>
  <c r="L185" i="29" s="1"/>
  <c r="H180" i="26"/>
  <c r="H185" i="26" s="1"/>
  <c r="E180" i="26"/>
  <c r="E185" i="26" s="1"/>
  <c r="N180" i="27"/>
  <c r="N185" i="27" s="1"/>
  <c r="N180" i="26"/>
  <c r="N185" i="26" s="1"/>
  <c r="G180" i="26"/>
  <c r="G185" i="26" s="1"/>
  <c r="P67" i="26"/>
  <c r="Q67" i="26" s="1"/>
  <c r="L178" i="26"/>
  <c r="Q48" i="26"/>
  <c r="P67" i="29"/>
  <c r="Q127" i="29"/>
  <c r="J186" i="26"/>
  <c r="J187" i="26" s="1"/>
  <c r="O183" i="29"/>
  <c r="J186" i="27"/>
  <c r="L186" i="26"/>
  <c r="L187" i="26" s="1"/>
  <c r="I183" i="25"/>
  <c r="N186" i="29"/>
  <c r="J186" i="29"/>
  <c r="I186" i="26"/>
  <c r="N186" i="27"/>
  <c r="D117" i="26"/>
  <c r="D136" i="26" s="1"/>
  <c r="D182" i="26" s="1"/>
  <c r="D186" i="26" s="1"/>
  <c r="L186" i="29"/>
  <c r="D117" i="27"/>
  <c r="D136" i="27" s="1"/>
  <c r="D182" i="27" s="1"/>
  <c r="P130" i="29"/>
  <c r="Q130" i="29" s="1"/>
  <c r="Q131" i="29"/>
  <c r="D178" i="25"/>
  <c r="P71" i="26"/>
  <c r="Q71" i="26" s="1"/>
  <c r="D117" i="29"/>
  <c r="D136" i="29" s="1"/>
  <c r="D182" i="29" s="1"/>
  <c r="P130" i="27"/>
  <c r="Q130" i="27" s="1"/>
  <c r="Q131" i="27"/>
  <c r="P71" i="29"/>
  <c r="Q71" i="29" s="1"/>
  <c r="P177" i="29"/>
  <c r="Q177" i="29" s="1"/>
  <c r="Q44" i="29"/>
  <c r="P90" i="29"/>
  <c r="P180" i="29" s="1"/>
  <c r="E90" i="27"/>
  <c r="E180" i="27" s="1"/>
  <c r="P71" i="27"/>
  <c r="Q71" i="27" s="1"/>
  <c r="P90" i="26"/>
  <c r="P180" i="26" s="1"/>
  <c r="P177" i="26"/>
  <c r="Q44" i="26"/>
  <c r="Q124" i="27"/>
  <c r="P126" i="27"/>
  <c r="D178" i="27"/>
  <c r="P67" i="27"/>
  <c r="D178" i="29"/>
  <c r="Q124" i="26"/>
  <c r="P126" i="26"/>
  <c r="Q124" i="29"/>
  <c r="P126" i="29"/>
  <c r="P177" i="27"/>
  <c r="Q177" i="27" s="1"/>
  <c r="Q44" i="27"/>
  <c r="Q120" i="25"/>
  <c r="D180" i="25"/>
  <c r="E186" i="25"/>
  <c r="E187" i="25" s="1"/>
  <c r="E183" i="25"/>
  <c r="N183" i="63" l="1"/>
  <c r="O187" i="27"/>
  <c r="D187" i="25"/>
  <c r="N187" i="63"/>
  <c r="K183" i="26"/>
  <c r="K187" i="26"/>
  <c r="G183" i="29"/>
  <c r="G187" i="29"/>
  <c r="J183" i="29"/>
  <c r="J187" i="29"/>
  <c r="L183" i="29"/>
  <c r="J187" i="27"/>
  <c r="I187" i="26"/>
  <c r="F187" i="26"/>
  <c r="P71" i="63"/>
  <c r="Q71" i="63" s="1"/>
  <c r="O183" i="26"/>
  <c r="F183" i="26"/>
  <c r="J187" i="63"/>
  <c r="J183" i="63"/>
  <c r="F187" i="29"/>
  <c r="F183" i="29"/>
  <c r="M183" i="27"/>
  <c r="I187" i="63"/>
  <c r="G183" i="27"/>
  <c r="N183" i="26"/>
  <c r="L187" i="29"/>
  <c r="I183" i="26"/>
  <c r="I183" i="63"/>
  <c r="N187" i="26"/>
  <c r="N187" i="27"/>
  <c r="F183" i="27"/>
  <c r="F187" i="27"/>
  <c r="E183" i="26"/>
  <c r="E187" i="26"/>
  <c r="N183" i="27"/>
  <c r="O187" i="63"/>
  <c r="O183" i="63"/>
  <c r="H186" i="63"/>
  <c r="H187" i="63" s="1"/>
  <c r="H183" i="63"/>
  <c r="M186" i="63"/>
  <c r="M187" i="63" s="1"/>
  <c r="M183" i="63"/>
  <c r="K187" i="27"/>
  <c r="R48" i="63"/>
  <c r="G187" i="27"/>
  <c r="H187" i="26"/>
  <c r="J183" i="27"/>
  <c r="O183" i="27"/>
  <c r="P126" i="63"/>
  <c r="Q126" i="63" s="1"/>
  <c r="Q122" i="63"/>
  <c r="G186" i="63"/>
  <c r="G187" i="63" s="1"/>
  <c r="G183" i="63"/>
  <c r="H183" i="26"/>
  <c r="K183" i="27"/>
  <c r="G183" i="26"/>
  <c r="D180" i="63"/>
  <c r="D185" i="63" s="1"/>
  <c r="P90" i="63"/>
  <c r="D186" i="63"/>
  <c r="P67" i="63"/>
  <c r="R67" i="63" s="1"/>
  <c r="D178" i="63"/>
  <c r="Q120" i="63"/>
  <c r="P177" i="63"/>
  <c r="Q177" i="63" s="1"/>
  <c r="Q44" i="63"/>
  <c r="O187" i="26"/>
  <c r="N183" i="29"/>
  <c r="E183" i="29"/>
  <c r="N187" i="29"/>
  <c r="E187" i="29"/>
  <c r="G187" i="26"/>
  <c r="M185" i="27"/>
  <c r="L183" i="27"/>
  <c r="L187" i="27"/>
  <c r="P178" i="26"/>
  <c r="Q178" i="26" s="1"/>
  <c r="Q177" i="26"/>
  <c r="R177" i="63"/>
  <c r="D183" i="29"/>
  <c r="D186" i="29"/>
  <c r="D187" i="29" s="1"/>
  <c r="D186" i="27"/>
  <c r="D187" i="27" s="1"/>
  <c r="D183" i="27"/>
  <c r="Q126" i="26"/>
  <c r="P117" i="26"/>
  <c r="D185" i="29"/>
  <c r="Q126" i="29"/>
  <c r="P117" i="29"/>
  <c r="P136" i="29" s="1"/>
  <c r="P178" i="29"/>
  <c r="Q178" i="29" s="1"/>
  <c r="Q67" i="29"/>
  <c r="Q126" i="27"/>
  <c r="P117" i="27"/>
  <c r="Q90" i="26"/>
  <c r="P178" i="27"/>
  <c r="Q178" i="27" s="1"/>
  <c r="Q67" i="27"/>
  <c r="P90" i="27"/>
  <c r="P180" i="27" s="1"/>
  <c r="D185" i="26"/>
  <c r="D183" i="26"/>
  <c r="D187" i="26"/>
  <c r="Q90" i="29"/>
  <c r="D185" i="25"/>
  <c r="D183" i="25"/>
  <c r="D187" i="63" l="1"/>
  <c r="D183" i="63"/>
  <c r="P117" i="63"/>
  <c r="Q117" i="63" s="1"/>
  <c r="P180" i="63"/>
  <c r="Q90" i="63"/>
  <c r="Q67" i="63"/>
  <c r="P178" i="63"/>
  <c r="Q178" i="63" s="1"/>
  <c r="R178" i="63"/>
  <c r="E185" i="27"/>
  <c r="E183" i="27"/>
  <c r="E187" i="27"/>
  <c r="P185" i="29"/>
  <c r="Q185" i="29" s="1"/>
  <c r="Q180" i="29"/>
  <c r="P136" i="27"/>
  <c r="Q117" i="27"/>
  <c r="Q117" i="29"/>
  <c r="Q117" i="26"/>
  <c r="P136" i="26"/>
  <c r="R180" i="63"/>
  <c r="Q90" i="27"/>
  <c r="P185" i="26"/>
  <c r="Q180" i="26"/>
  <c r="D27" i="46"/>
  <c r="E5" i="2"/>
  <c r="F5" i="2"/>
  <c r="F27" i="46" s="1"/>
  <c r="G5" i="2"/>
  <c r="G27" i="46" s="1"/>
  <c r="H5" i="2"/>
  <c r="H27" i="46" s="1"/>
  <c r="I5" i="2"/>
  <c r="I27" i="46" s="1"/>
  <c r="J5" i="2"/>
  <c r="J27" i="46" s="1"/>
  <c r="K5" i="2"/>
  <c r="K27" i="46" s="1"/>
  <c r="L5" i="2"/>
  <c r="L27" i="46" s="1"/>
  <c r="M5" i="2"/>
  <c r="M27" i="46" s="1"/>
  <c r="N5" i="2"/>
  <c r="N27" i="46" s="1"/>
  <c r="O5" i="2"/>
  <c r="O27" i="46" s="1"/>
  <c r="N8" i="2"/>
  <c r="N30" i="46" s="1"/>
  <c r="M8" i="2"/>
  <c r="M30" i="46" s="1"/>
  <c r="L8" i="2"/>
  <c r="L30" i="46" s="1"/>
  <c r="K8" i="2"/>
  <c r="K30" i="46" s="1"/>
  <c r="J8" i="2"/>
  <c r="J30" i="46" s="1"/>
  <c r="I8" i="2"/>
  <c r="I30" i="46" s="1"/>
  <c r="H8" i="2"/>
  <c r="H30" i="46" s="1"/>
  <c r="G8" i="2"/>
  <c r="G30" i="46" s="1"/>
  <c r="F8" i="2"/>
  <c r="F30" i="46" s="1"/>
  <c r="E8" i="2"/>
  <c r="D30" i="46"/>
  <c r="C8" i="2"/>
  <c r="C30" i="46" s="1"/>
  <c r="C5" i="2"/>
  <c r="C27" i="46" s="1"/>
  <c r="O4" i="2"/>
  <c r="O26" i="46" s="1"/>
  <c r="N4" i="2"/>
  <c r="N26" i="46" s="1"/>
  <c r="M4" i="2"/>
  <c r="M26" i="46" s="1"/>
  <c r="L4" i="2"/>
  <c r="L26" i="46" s="1"/>
  <c r="K4" i="2"/>
  <c r="K26" i="46" s="1"/>
  <c r="J4" i="2"/>
  <c r="J26" i="46" s="1"/>
  <c r="I4" i="2"/>
  <c r="I26" i="46" s="1"/>
  <c r="H4" i="2"/>
  <c r="H26" i="46" s="1"/>
  <c r="G4" i="2"/>
  <c r="G26" i="46" s="1"/>
  <c r="F4" i="2"/>
  <c r="F26" i="46" s="1"/>
  <c r="E4" i="2"/>
  <c r="D26" i="46"/>
  <c r="C4" i="2"/>
  <c r="C26" i="46" s="1"/>
  <c r="B30" i="46"/>
  <c r="B5" i="2"/>
  <c r="B27" i="46" s="1"/>
  <c r="B4" i="2"/>
  <c r="B26" i="46" s="1"/>
  <c r="P136" i="63" l="1"/>
  <c r="P182" i="63" s="1"/>
  <c r="P185" i="63"/>
  <c r="Q185" i="63" s="1"/>
  <c r="Q180" i="63"/>
  <c r="E30" i="46"/>
  <c r="E26" i="46"/>
  <c r="P26" i="46" s="1"/>
  <c r="P4" i="2"/>
  <c r="Q4" i="2" s="1"/>
  <c r="E27" i="46"/>
  <c r="P27" i="46" s="1"/>
  <c r="Q27" i="46" s="1"/>
  <c r="P5" i="2"/>
  <c r="Q185" i="26"/>
  <c r="R136" i="63"/>
  <c r="P185" i="27"/>
  <c r="Q185" i="27" s="1"/>
  <c r="Q180" i="27"/>
  <c r="Q136" i="29"/>
  <c r="P182" i="29"/>
  <c r="Q136" i="26"/>
  <c r="P182" i="26"/>
  <c r="Q136" i="27"/>
  <c r="P182" i="27"/>
  <c r="H155" i="46"/>
  <c r="B103" i="36"/>
  <c r="B103" i="28" s="1"/>
  <c r="B113" i="46" s="1"/>
  <c r="P20" i="4"/>
  <c r="Q20" i="4" s="1"/>
  <c r="P16" i="4"/>
  <c r="P15" i="4"/>
  <c r="Q15" i="4" s="1"/>
  <c r="P20" i="20"/>
  <c r="R20" i="20" s="1"/>
  <c r="P20" i="28"/>
  <c r="P12" i="4"/>
  <c r="Q12" i="4" s="1"/>
  <c r="P10" i="4"/>
  <c r="Q10" i="4" s="1"/>
  <c r="Q9" i="4"/>
  <c r="P8" i="4"/>
  <c r="Q8" i="4" s="1"/>
  <c r="P6" i="4"/>
  <c r="Q6" i="4" s="1"/>
  <c r="P43" i="18"/>
  <c r="P43" i="17"/>
  <c r="P43" i="15"/>
  <c r="P43" i="14"/>
  <c r="P43" i="13"/>
  <c r="P43" i="12"/>
  <c r="P43" i="11"/>
  <c r="P43" i="10"/>
  <c r="P43" i="9"/>
  <c r="P43" i="7"/>
  <c r="P43" i="5"/>
  <c r="P43" i="6"/>
  <c r="P43" i="4"/>
  <c r="P43" i="20"/>
  <c r="R43" i="20" s="1"/>
  <c r="P40" i="36"/>
  <c r="P39" i="36"/>
  <c r="P37" i="36"/>
  <c r="P36" i="36"/>
  <c r="P33" i="36"/>
  <c r="P32" i="36"/>
  <c r="P31" i="36"/>
  <c r="P29" i="36"/>
  <c r="P28" i="36"/>
  <c r="P27" i="36"/>
  <c r="P26" i="36"/>
  <c r="P43" i="28"/>
  <c r="R53" i="46" s="1"/>
  <c r="P66" i="18"/>
  <c r="P66" i="17"/>
  <c r="P66" i="15"/>
  <c r="P66" i="14"/>
  <c r="P66" i="13"/>
  <c r="P66" i="12"/>
  <c r="P66" i="11"/>
  <c r="P66" i="10"/>
  <c r="P66" i="9"/>
  <c r="P66" i="7"/>
  <c r="P66" i="5"/>
  <c r="P66" i="6"/>
  <c r="P66" i="4"/>
  <c r="P66" i="20"/>
  <c r="P66" i="36"/>
  <c r="P66" i="28"/>
  <c r="R76" i="46" s="1"/>
  <c r="P89" i="18"/>
  <c r="P89" i="17"/>
  <c r="P89" i="15"/>
  <c r="P89" i="14"/>
  <c r="P89" i="13"/>
  <c r="P89" i="12"/>
  <c r="P89" i="11"/>
  <c r="P89" i="10"/>
  <c r="P89" i="9"/>
  <c r="P89" i="7"/>
  <c r="P89" i="5"/>
  <c r="P89" i="6"/>
  <c r="P89" i="4"/>
  <c r="P89" i="20"/>
  <c r="P89" i="36"/>
  <c r="P89" i="28"/>
  <c r="R99" i="46" s="1"/>
  <c r="O88" i="36"/>
  <c r="O134" i="36" s="1"/>
  <c r="N88" i="36"/>
  <c r="N134" i="36" s="1"/>
  <c r="M88" i="36"/>
  <c r="M134" i="36" s="1"/>
  <c r="L88" i="36"/>
  <c r="L134" i="36" s="1"/>
  <c r="K88" i="36"/>
  <c r="K134" i="36" s="1"/>
  <c r="J88" i="36"/>
  <c r="J134" i="36" s="1"/>
  <c r="I88" i="36"/>
  <c r="I134" i="36" s="1"/>
  <c r="H88" i="36"/>
  <c r="H134" i="36" s="1"/>
  <c r="G88" i="36"/>
  <c r="G134" i="36" s="1"/>
  <c r="F88" i="36"/>
  <c r="F134" i="36" s="1"/>
  <c r="E88" i="36"/>
  <c r="E134" i="36" s="1"/>
  <c r="O86" i="36"/>
  <c r="O132" i="36" s="1"/>
  <c r="N86" i="36"/>
  <c r="N132" i="36" s="1"/>
  <c r="M86" i="36"/>
  <c r="M132" i="36" s="1"/>
  <c r="L86" i="36"/>
  <c r="L132" i="36" s="1"/>
  <c r="K86" i="36"/>
  <c r="K132" i="36" s="1"/>
  <c r="J86" i="36"/>
  <c r="J132" i="36" s="1"/>
  <c r="I86" i="36"/>
  <c r="I132" i="36" s="1"/>
  <c r="H86" i="36"/>
  <c r="H132" i="36" s="1"/>
  <c r="G86" i="36"/>
  <c r="G132" i="36" s="1"/>
  <c r="F86" i="36"/>
  <c r="F132" i="36" s="1"/>
  <c r="O85" i="36"/>
  <c r="O131" i="36" s="1"/>
  <c r="N85" i="36"/>
  <c r="N131" i="36" s="1"/>
  <c r="M85" i="36"/>
  <c r="M131" i="36" s="1"/>
  <c r="L85" i="36"/>
  <c r="L131" i="36" s="1"/>
  <c r="K85" i="36"/>
  <c r="K131" i="36" s="1"/>
  <c r="J85" i="36"/>
  <c r="J131" i="36" s="1"/>
  <c r="I85" i="36"/>
  <c r="I131" i="36" s="1"/>
  <c r="H85" i="36"/>
  <c r="H131" i="36" s="1"/>
  <c r="G85" i="36"/>
  <c r="G131" i="36" s="1"/>
  <c r="E85" i="36"/>
  <c r="D88" i="36"/>
  <c r="C88" i="36"/>
  <c r="C134" i="36" s="1"/>
  <c r="B88" i="36"/>
  <c r="B134" i="36" s="1"/>
  <c r="C86" i="36"/>
  <c r="C132" i="36" s="1"/>
  <c r="B86" i="36"/>
  <c r="B132" i="36" s="1"/>
  <c r="F85" i="36"/>
  <c r="F131" i="36" s="1"/>
  <c r="D85" i="36"/>
  <c r="D131" i="36" s="1"/>
  <c r="C85" i="36"/>
  <c r="C131" i="36" s="1"/>
  <c r="B85" i="36"/>
  <c r="B131" i="36" s="1"/>
  <c r="R89" i="20" l="1"/>
  <c r="R66" i="20"/>
  <c r="Q16" i="4"/>
  <c r="R16" i="20"/>
  <c r="Q136" i="63"/>
  <c r="P186" i="63"/>
  <c r="P183" i="63"/>
  <c r="Q183" i="63" s="1"/>
  <c r="Q182" i="63"/>
  <c r="W66" i="28"/>
  <c r="X66" i="28" s="1"/>
  <c r="D86" i="36"/>
  <c r="D132" i="36" s="1"/>
  <c r="P63" i="36"/>
  <c r="E86" i="36"/>
  <c r="E132" i="36" s="1"/>
  <c r="O140" i="20"/>
  <c r="D140" i="20"/>
  <c r="D184" i="20" s="1"/>
  <c r="P141" i="20"/>
  <c r="P143" i="20"/>
  <c r="R185" i="63"/>
  <c r="R182" i="63"/>
  <c r="Q26" i="46"/>
  <c r="D134" i="36"/>
  <c r="P134" i="36" s="1"/>
  <c r="P88" i="36"/>
  <c r="E131" i="36"/>
  <c r="P131" i="36" s="1"/>
  <c r="P85" i="36"/>
  <c r="P62" i="36"/>
  <c r="P65" i="36"/>
  <c r="P149" i="20"/>
  <c r="P157" i="20"/>
  <c r="P161" i="20"/>
  <c r="P167" i="20"/>
  <c r="P171" i="20"/>
  <c r="P148" i="20"/>
  <c r="P152" i="20"/>
  <c r="P156" i="20"/>
  <c r="P168" i="20"/>
  <c r="P165" i="20"/>
  <c r="P150" i="20"/>
  <c r="P158" i="20"/>
  <c r="P162" i="20"/>
  <c r="P166" i="20"/>
  <c r="P151" i="20"/>
  <c r="P155" i="20"/>
  <c r="P159" i="20"/>
  <c r="P163" i="20"/>
  <c r="P173" i="20"/>
  <c r="P164" i="20"/>
  <c r="P160" i="20"/>
  <c r="P153" i="20"/>
  <c r="P147" i="20"/>
  <c r="P145" i="20"/>
  <c r="P144" i="20"/>
  <c r="Q182" i="27"/>
  <c r="P183" i="27"/>
  <c r="Q183" i="27" s="1"/>
  <c r="P186" i="27"/>
  <c r="Q182" i="26"/>
  <c r="P186" i="26"/>
  <c r="P183" i="26"/>
  <c r="P183" i="29"/>
  <c r="Q183" i="29" s="1"/>
  <c r="Q182" i="29"/>
  <c r="P186" i="29"/>
  <c r="P169" i="20"/>
  <c r="P146" i="20"/>
  <c r="P170" i="20"/>
  <c r="P154" i="20"/>
  <c r="P172" i="20"/>
  <c r="Q169" i="20" l="1"/>
  <c r="Q154" i="20"/>
  <c r="Q153" i="20"/>
  <c r="Q163" i="20"/>
  <c r="Q166" i="20"/>
  <c r="Q165" i="20"/>
  <c r="Q148" i="20"/>
  <c r="Q157" i="20"/>
  <c r="Q143" i="20"/>
  <c r="Q144" i="20"/>
  <c r="Q159" i="20"/>
  <c r="Q162" i="20"/>
  <c r="Q171" i="20"/>
  <c r="Q149" i="20"/>
  <c r="Q170" i="20"/>
  <c r="Q160" i="20"/>
  <c r="Q168" i="20"/>
  <c r="Q146" i="20"/>
  <c r="Q145" i="20"/>
  <c r="Q164" i="20"/>
  <c r="Q155" i="20"/>
  <c r="Q158" i="20"/>
  <c r="Q156" i="20"/>
  <c r="Q167" i="20"/>
  <c r="Q141" i="20"/>
  <c r="Q172" i="20"/>
  <c r="Q147" i="20"/>
  <c r="Q173" i="20"/>
  <c r="Q151" i="20"/>
  <c r="Q150" i="20"/>
  <c r="Q152" i="20"/>
  <c r="Q161" i="20"/>
  <c r="P187" i="63"/>
  <c r="Q187" i="63" s="1"/>
  <c r="Q186" i="63"/>
  <c r="P132" i="36"/>
  <c r="P86" i="36"/>
  <c r="P140" i="20"/>
  <c r="D201" i="46"/>
  <c r="Q183" i="26"/>
  <c r="R183" i="63"/>
  <c r="R186" i="63"/>
  <c r="P187" i="27"/>
  <c r="Q187" i="27" s="1"/>
  <c r="Q186" i="27"/>
  <c r="P187" i="29"/>
  <c r="Q187" i="29" s="1"/>
  <c r="Q186" i="29"/>
  <c r="P187" i="26"/>
  <c r="Q186" i="26"/>
  <c r="Q187" i="26" l="1"/>
  <c r="R187" i="63"/>
  <c r="C56" i="37"/>
  <c r="B56" i="37"/>
  <c r="A56" i="37"/>
  <c r="C55" i="37"/>
  <c r="B55" i="37"/>
  <c r="A55" i="37"/>
  <c r="C54" i="37"/>
  <c r="B54" i="37"/>
  <c r="A54" i="37"/>
  <c r="C53" i="37"/>
  <c r="B53" i="37"/>
  <c r="A53" i="37"/>
  <c r="K52" i="37"/>
  <c r="L52" i="37" s="1"/>
  <c r="C52" i="37"/>
  <c r="B52" i="37"/>
  <c r="A52" i="37"/>
  <c r="C51" i="37"/>
  <c r="B51" i="37"/>
  <c r="A51" i="37"/>
  <c r="K50" i="37"/>
  <c r="L50" i="37" s="1"/>
  <c r="C50" i="37"/>
  <c r="B50" i="37"/>
  <c r="A50" i="37"/>
  <c r="K49" i="37"/>
  <c r="L49" i="37" s="1"/>
  <c r="C49" i="37"/>
  <c r="B49" i="37"/>
  <c r="A49" i="37"/>
  <c r="K48" i="37"/>
  <c r="L48" i="37" s="1"/>
  <c r="C48" i="37"/>
  <c r="B48" i="37"/>
  <c r="A48" i="37"/>
  <c r="K47" i="37"/>
  <c r="L47" i="37" s="1"/>
  <c r="C47" i="37"/>
  <c r="B47" i="37"/>
  <c r="A47" i="37"/>
  <c r="K46" i="37"/>
  <c r="L46" i="37" s="1"/>
  <c r="C46" i="37"/>
  <c r="B46" i="37"/>
  <c r="A46" i="37"/>
  <c r="K45" i="37"/>
  <c r="L45" i="37" s="1"/>
  <c r="C45" i="37"/>
  <c r="B45" i="37"/>
  <c r="A45" i="37"/>
  <c r="K44" i="37"/>
  <c r="L44" i="37" s="1"/>
  <c r="C44" i="37"/>
  <c r="B44" i="37"/>
  <c r="A44" i="37"/>
  <c r="K43" i="37"/>
  <c r="L43" i="37" s="1"/>
  <c r="C43" i="37"/>
  <c r="B43" i="37"/>
  <c r="A43" i="37"/>
  <c r="K42" i="37"/>
  <c r="L42" i="37" s="1"/>
  <c r="C42" i="37"/>
  <c r="B42" i="37"/>
  <c r="A42" i="37"/>
  <c r="C41" i="37"/>
  <c r="B41" i="37"/>
  <c r="A41" i="37"/>
  <c r="K40" i="37"/>
  <c r="L40" i="37" s="1"/>
  <c r="C40" i="37"/>
  <c r="B40" i="37"/>
  <c r="A40" i="37"/>
  <c r="K39" i="37"/>
  <c r="L39" i="37" s="1"/>
  <c r="C39" i="37"/>
  <c r="B39" i="37"/>
  <c r="A39" i="37"/>
  <c r="K38" i="37"/>
  <c r="L38" i="37" s="1"/>
  <c r="C38" i="37"/>
  <c r="B38" i="37"/>
  <c r="A38" i="37"/>
  <c r="K37" i="37"/>
  <c r="L37" i="37" s="1"/>
  <c r="C37" i="37"/>
  <c r="B37" i="37"/>
  <c r="A37" i="37"/>
  <c r="K36" i="37"/>
  <c r="L36" i="37" s="1"/>
  <c r="C36" i="37"/>
  <c r="B36" i="37"/>
  <c r="A36" i="37"/>
  <c r="K35" i="37"/>
  <c r="L35" i="37" s="1"/>
  <c r="C35" i="37"/>
  <c r="K34" i="37"/>
  <c r="L34" i="37" s="1"/>
  <c r="C34" i="37"/>
  <c r="B34" i="37"/>
  <c r="A34" i="37"/>
  <c r="K33" i="37"/>
  <c r="L33" i="37" s="1"/>
  <c r="C33" i="37"/>
  <c r="B33" i="37"/>
  <c r="A33" i="37"/>
  <c r="K32" i="37"/>
  <c r="L32" i="37" s="1"/>
  <c r="C32" i="37"/>
  <c r="B32" i="37"/>
  <c r="A32" i="37"/>
  <c r="K31" i="37"/>
  <c r="L31" i="37" s="1"/>
  <c r="C31" i="37"/>
  <c r="B31" i="37"/>
  <c r="A31" i="37"/>
  <c r="K30" i="37"/>
  <c r="L30" i="37" s="1"/>
  <c r="C30" i="37"/>
  <c r="B30" i="37"/>
  <c r="A30" i="37"/>
  <c r="K29" i="37"/>
  <c r="L29" i="37" s="1"/>
  <c r="C29" i="37"/>
  <c r="B29" i="37"/>
  <c r="A29" i="37"/>
  <c r="K28" i="37"/>
  <c r="L28" i="37" s="1"/>
  <c r="C28" i="37"/>
  <c r="B28" i="37"/>
  <c r="A28" i="37"/>
  <c r="K27" i="37"/>
  <c r="L27" i="37" s="1"/>
  <c r="C27" i="37"/>
  <c r="B27" i="37"/>
  <c r="A27" i="37"/>
  <c r="K26" i="37"/>
  <c r="L26" i="37" s="1"/>
  <c r="C26" i="37"/>
  <c r="B26" i="37"/>
  <c r="A26" i="37"/>
  <c r="K25" i="37"/>
  <c r="L25" i="37" s="1"/>
  <c r="C25" i="37"/>
  <c r="B25" i="37"/>
  <c r="A25" i="37"/>
  <c r="K24" i="37"/>
  <c r="L24" i="37" s="1"/>
  <c r="A24" i="37"/>
  <c r="K23" i="37"/>
  <c r="L23" i="37" s="1"/>
  <c r="C23" i="37"/>
  <c r="B23" i="37"/>
  <c r="A23" i="37"/>
  <c r="K22" i="37"/>
  <c r="L22" i="37" s="1"/>
  <c r="C22" i="37"/>
  <c r="B22" i="37"/>
  <c r="A22" i="37"/>
  <c r="K21" i="37"/>
  <c r="L21" i="37" s="1"/>
  <c r="C21" i="37"/>
  <c r="B21" i="37"/>
  <c r="A21" i="37"/>
  <c r="K20" i="37"/>
  <c r="L20" i="37" s="1"/>
  <c r="C20" i="37"/>
  <c r="B20" i="37"/>
  <c r="A20" i="37"/>
  <c r="K19" i="37"/>
  <c r="L19" i="37" s="1"/>
  <c r="C19" i="37"/>
  <c r="A19" i="37"/>
  <c r="K18" i="37"/>
  <c r="L18" i="37" s="1"/>
  <c r="C18" i="37"/>
  <c r="B18" i="37"/>
  <c r="A18" i="37"/>
  <c r="K17" i="37"/>
  <c r="L17" i="37" s="1"/>
  <c r="C17" i="37"/>
  <c r="B17" i="37"/>
  <c r="A17" i="37"/>
  <c r="K16" i="37"/>
  <c r="L16" i="37" s="1"/>
  <c r="C16" i="37"/>
  <c r="B16" i="37"/>
  <c r="A16" i="37"/>
  <c r="K14" i="37"/>
  <c r="L14" i="37" s="1"/>
  <c r="C14" i="37"/>
  <c r="B14" i="37"/>
  <c r="A14" i="37"/>
  <c r="K13" i="37"/>
  <c r="L13" i="37" s="1"/>
  <c r="C13" i="37"/>
  <c r="B13" i="37"/>
  <c r="A13" i="37"/>
  <c r="K12" i="37"/>
  <c r="L12" i="37" s="1"/>
  <c r="C12" i="37"/>
  <c r="B12" i="37"/>
  <c r="A12" i="37"/>
  <c r="K11" i="37"/>
  <c r="L11" i="37" s="1"/>
  <c r="C11" i="37"/>
  <c r="B11" i="37"/>
  <c r="A11" i="37"/>
  <c r="K10" i="37"/>
  <c r="L10" i="37" s="1"/>
  <c r="C10" i="37"/>
  <c r="B10" i="37"/>
  <c r="A10" i="37"/>
  <c r="K9" i="37"/>
  <c r="L9" i="37" s="1"/>
  <c r="C9" i="37"/>
  <c r="B9" i="37"/>
  <c r="A9" i="37"/>
  <c r="J4" i="37"/>
  <c r="J3" i="37"/>
  <c r="C5" i="28" l="1"/>
  <c r="C5" i="46" l="1"/>
  <c r="P173" i="36"/>
  <c r="P172" i="36"/>
  <c r="P171" i="36"/>
  <c r="P170" i="36"/>
  <c r="P169" i="36"/>
  <c r="P168" i="36"/>
  <c r="P167" i="36"/>
  <c r="P166" i="36"/>
  <c r="P165" i="36"/>
  <c r="P164" i="36"/>
  <c r="P163" i="36"/>
  <c r="P162" i="36"/>
  <c r="P161" i="36"/>
  <c r="P160" i="36"/>
  <c r="P159" i="36"/>
  <c r="P158" i="36"/>
  <c r="P157" i="36"/>
  <c r="P156" i="36"/>
  <c r="P155" i="36"/>
  <c r="P154" i="36"/>
  <c r="P153" i="36"/>
  <c r="P152" i="36"/>
  <c r="P151" i="36"/>
  <c r="P150" i="36"/>
  <c r="P149" i="36"/>
  <c r="P148" i="36"/>
  <c r="P147" i="36"/>
  <c r="P146" i="36"/>
  <c r="P145" i="36"/>
  <c r="P144" i="36"/>
  <c r="P143" i="36"/>
  <c r="P142" i="36"/>
  <c r="P141" i="36"/>
  <c r="O140" i="36"/>
  <c r="O184" i="36" s="1"/>
  <c r="N140" i="36"/>
  <c r="N184" i="36" s="1"/>
  <c r="M140" i="36"/>
  <c r="M184" i="36" s="1"/>
  <c r="L140" i="36"/>
  <c r="L184" i="36" s="1"/>
  <c r="K140" i="36"/>
  <c r="K184" i="36" s="1"/>
  <c r="J140" i="36"/>
  <c r="J184" i="36" s="1"/>
  <c r="I140" i="36"/>
  <c r="I184" i="36" s="1"/>
  <c r="H140" i="36"/>
  <c r="H184" i="36" s="1"/>
  <c r="G140" i="36"/>
  <c r="G184" i="36" s="1"/>
  <c r="F140" i="36"/>
  <c r="F184" i="36" s="1"/>
  <c r="E140" i="36"/>
  <c r="E184" i="36" s="1"/>
  <c r="D140" i="36"/>
  <c r="D184" i="36" s="1"/>
  <c r="B140" i="36"/>
  <c r="B184" i="36" s="1"/>
  <c r="Q134" i="36"/>
  <c r="Q132" i="36"/>
  <c r="Q131" i="36"/>
  <c r="P130" i="36"/>
  <c r="O130" i="36"/>
  <c r="N130" i="36"/>
  <c r="M130" i="36"/>
  <c r="L130" i="36"/>
  <c r="K130" i="36"/>
  <c r="J130" i="36"/>
  <c r="I130" i="36"/>
  <c r="H130" i="36"/>
  <c r="G130" i="36"/>
  <c r="F130" i="36"/>
  <c r="E130" i="36"/>
  <c r="D130" i="36"/>
  <c r="C130" i="36"/>
  <c r="B130" i="36"/>
  <c r="P111" i="36"/>
  <c r="Q111" i="36" s="1"/>
  <c r="P109" i="36"/>
  <c r="Q109" i="36" s="1"/>
  <c r="P108" i="36"/>
  <c r="Q108" i="36" s="1"/>
  <c r="O107" i="36"/>
  <c r="N107" i="36"/>
  <c r="M107" i="36"/>
  <c r="L107" i="36"/>
  <c r="K107" i="36"/>
  <c r="J107" i="36"/>
  <c r="I107" i="36"/>
  <c r="H107" i="36"/>
  <c r="G107" i="36"/>
  <c r="F107" i="36"/>
  <c r="E107" i="36"/>
  <c r="D107" i="36"/>
  <c r="C107" i="36"/>
  <c r="C107" i="28" s="1"/>
  <c r="B107" i="36"/>
  <c r="B107" i="28" s="1"/>
  <c r="P106" i="36"/>
  <c r="Q106" i="36" s="1"/>
  <c r="P105" i="36"/>
  <c r="Q105" i="36" s="1"/>
  <c r="O104" i="36"/>
  <c r="N104" i="36"/>
  <c r="M104" i="36"/>
  <c r="L104" i="36"/>
  <c r="K104" i="36"/>
  <c r="K113" i="36" s="1"/>
  <c r="K181" i="36" s="1"/>
  <c r="J104" i="36"/>
  <c r="I104" i="36"/>
  <c r="H104" i="36"/>
  <c r="G104" i="36"/>
  <c r="F104" i="36"/>
  <c r="E104" i="36"/>
  <c r="D104" i="36"/>
  <c r="C104" i="36"/>
  <c r="B104" i="36"/>
  <c r="B104" i="28" s="1"/>
  <c r="Q102" i="36"/>
  <c r="Q101" i="36"/>
  <c r="Q100" i="36"/>
  <c r="Q98" i="36"/>
  <c r="B94" i="36"/>
  <c r="B94" i="28" s="1"/>
  <c r="B104" i="46" s="1"/>
  <c r="Q96" i="36"/>
  <c r="Q95" i="36"/>
  <c r="Q88" i="36"/>
  <c r="Q86" i="36"/>
  <c r="Q85" i="36"/>
  <c r="C83" i="36"/>
  <c r="C129" i="36" s="1"/>
  <c r="B83" i="36"/>
  <c r="B129" i="36" s="1"/>
  <c r="C82" i="36"/>
  <c r="C128" i="36" s="1"/>
  <c r="B82" i="36"/>
  <c r="B128" i="36" s="1"/>
  <c r="C79" i="36"/>
  <c r="C125" i="36" s="1"/>
  <c r="B79" i="36"/>
  <c r="B125" i="36" s="1"/>
  <c r="C78" i="36"/>
  <c r="C124" i="36" s="1"/>
  <c r="B78" i="36"/>
  <c r="B124" i="36" s="1"/>
  <c r="C77" i="36"/>
  <c r="C123" i="36" s="1"/>
  <c r="B77" i="36"/>
  <c r="B123" i="36" s="1"/>
  <c r="B76" i="36"/>
  <c r="C75" i="36"/>
  <c r="C121" i="36" s="1"/>
  <c r="B75" i="36"/>
  <c r="B121" i="36" s="1"/>
  <c r="C73" i="36"/>
  <c r="B73" i="36"/>
  <c r="B119" i="36" s="1"/>
  <c r="C72" i="36"/>
  <c r="C118" i="36" s="1"/>
  <c r="B72" i="36"/>
  <c r="Q65" i="36"/>
  <c r="Q63" i="36"/>
  <c r="Q62" i="36"/>
  <c r="C61" i="36"/>
  <c r="B61" i="36"/>
  <c r="O83" i="36"/>
  <c r="O129" i="36" s="1"/>
  <c r="N83" i="36"/>
  <c r="N129" i="36" s="1"/>
  <c r="M83" i="36"/>
  <c r="M129" i="36" s="1"/>
  <c r="L83" i="36"/>
  <c r="L129" i="36" s="1"/>
  <c r="K83" i="36"/>
  <c r="K129" i="36" s="1"/>
  <c r="J83" i="36"/>
  <c r="J129" i="36" s="1"/>
  <c r="I83" i="36"/>
  <c r="I129" i="36" s="1"/>
  <c r="H83" i="36"/>
  <c r="H129" i="36" s="1"/>
  <c r="G83" i="36"/>
  <c r="G129" i="36" s="1"/>
  <c r="F83" i="36"/>
  <c r="F129" i="36" s="1"/>
  <c r="E83" i="36"/>
  <c r="E129" i="36" s="1"/>
  <c r="O82" i="36"/>
  <c r="O128" i="36" s="1"/>
  <c r="N82" i="36"/>
  <c r="N128" i="36" s="1"/>
  <c r="L82" i="36"/>
  <c r="L128" i="36" s="1"/>
  <c r="K82" i="36"/>
  <c r="K128" i="36" s="1"/>
  <c r="J82" i="36"/>
  <c r="J128" i="36" s="1"/>
  <c r="I82" i="36"/>
  <c r="I128" i="36" s="1"/>
  <c r="H82" i="36"/>
  <c r="H128" i="36" s="1"/>
  <c r="G82" i="36"/>
  <c r="G128" i="36" s="1"/>
  <c r="F82" i="36"/>
  <c r="F128" i="36" s="1"/>
  <c r="C58" i="36"/>
  <c r="B58" i="36"/>
  <c r="C57" i="36"/>
  <c r="B57" i="36"/>
  <c r="O79" i="36"/>
  <c r="O125" i="36" s="1"/>
  <c r="N79" i="36"/>
  <c r="N125" i="36" s="1"/>
  <c r="M79" i="36"/>
  <c r="M125" i="36" s="1"/>
  <c r="L79" i="36"/>
  <c r="L125" i="36" s="1"/>
  <c r="K79" i="36"/>
  <c r="K125" i="36" s="1"/>
  <c r="J79" i="36"/>
  <c r="J125" i="36" s="1"/>
  <c r="I79" i="36"/>
  <c r="I125" i="36" s="1"/>
  <c r="H79" i="36"/>
  <c r="H125" i="36" s="1"/>
  <c r="G79" i="36"/>
  <c r="G125" i="36" s="1"/>
  <c r="F79" i="36"/>
  <c r="F125" i="36" s="1"/>
  <c r="E79" i="36"/>
  <c r="E125" i="36" s="1"/>
  <c r="O78" i="36"/>
  <c r="O124" i="36" s="1"/>
  <c r="N78" i="36"/>
  <c r="N124" i="36" s="1"/>
  <c r="M78" i="36"/>
  <c r="M124" i="36" s="1"/>
  <c r="L78" i="36"/>
  <c r="L124" i="36" s="1"/>
  <c r="K78" i="36"/>
  <c r="K124" i="36" s="1"/>
  <c r="J78" i="36"/>
  <c r="J124" i="36" s="1"/>
  <c r="I78" i="36"/>
  <c r="I124" i="36" s="1"/>
  <c r="H78" i="36"/>
  <c r="H124" i="36" s="1"/>
  <c r="G78" i="36"/>
  <c r="G124" i="36" s="1"/>
  <c r="F78" i="36"/>
  <c r="F124" i="36" s="1"/>
  <c r="E78" i="36"/>
  <c r="E124" i="36" s="1"/>
  <c r="O77" i="36"/>
  <c r="O123" i="36" s="1"/>
  <c r="N77" i="36"/>
  <c r="N123" i="36" s="1"/>
  <c r="M77" i="36"/>
  <c r="M123" i="36" s="1"/>
  <c r="L77" i="36"/>
  <c r="L123" i="36" s="1"/>
  <c r="K77" i="36"/>
  <c r="K123" i="36" s="1"/>
  <c r="J77" i="36"/>
  <c r="J123" i="36" s="1"/>
  <c r="I77" i="36"/>
  <c r="I123" i="36" s="1"/>
  <c r="H77" i="36"/>
  <c r="H123" i="36" s="1"/>
  <c r="G77" i="36"/>
  <c r="G123" i="36" s="1"/>
  <c r="F77" i="36"/>
  <c r="F123" i="36" s="1"/>
  <c r="E77" i="36"/>
  <c r="E123" i="36" s="1"/>
  <c r="O76" i="36"/>
  <c r="N48" i="36"/>
  <c r="N67" i="36" s="1"/>
  <c r="M48" i="36"/>
  <c r="M67" i="36" s="1"/>
  <c r="L48" i="36"/>
  <c r="L67" i="36" s="1"/>
  <c r="K76" i="36"/>
  <c r="J76" i="36"/>
  <c r="I48" i="36"/>
  <c r="I67" i="36" s="1"/>
  <c r="H48" i="36"/>
  <c r="H67" i="36" s="1"/>
  <c r="G76" i="36"/>
  <c r="F48" i="36"/>
  <c r="F67" i="36" s="1"/>
  <c r="E48" i="36"/>
  <c r="E67" i="36" s="1"/>
  <c r="O75" i="36"/>
  <c r="O121" i="36" s="1"/>
  <c r="N75" i="36"/>
  <c r="N121" i="36" s="1"/>
  <c r="M75" i="36"/>
  <c r="M121" i="36" s="1"/>
  <c r="L75" i="36"/>
  <c r="L121" i="36" s="1"/>
  <c r="K75" i="36"/>
  <c r="K121" i="36" s="1"/>
  <c r="J75" i="36"/>
  <c r="J121" i="36" s="1"/>
  <c r="I75" i="36"/>
  <c r="I121" i="36" s="1"/>
  <c r="H75" i="36"/>
  <c r="H121" i="36" s="1"/>
  <c r="G75" i="36"/>
  <c r="G121" i="36" s="1"/>
  <c r="F75" i="36"/>
  <c r="F121" i="36" s="1"/>
  <c r="E75" i="36"/>
  <c r="E121" i="36" s="1"/>
  <c r="C51" i="36"/>
  <c r="B51" i="36"/>
  <c r="O73" i="36"/>
  <c r="O119" i="36" s="1"/>
  <c r="N73" i="36"/>
  <c r="N119" i="36" s="1"/>
  <c r="M73" i="36"/>
  <c r="M119" i="36" s="1"/>
  <c r="L73" i="36"/>
  <c r="L119" i="36" s="1"/>
  <c r="K73" i="36"/>
  <c r="K119" i="36" s="1"/>
  <c r="J73" i="36"/>
  <c r="J119" i="36" s="1"/>
  <c r="I73" i="36"/>
  <c r="I119" i="36" s="1"/>
  <c r="H73" i="36"/>
  <c r="H119" i="36" s="1"/>
  <c r="G73" i="36"/>
  <c r="G119" i="36" s="1"/>
  <c r="F73" i="36"/>
  <c r="F119" i="36" s="1"/>
  <c r="E73" i="36"/>
  <c r="E119" i="36" s="1"/>
  <c r="O72" i="36"/>
  <c r="N72" i="36"/>
  <c r="M72" i="36"/>
  <c r="L72" i="36"/>
  <c r="K72" i="36"/>
  <c r="I72" i="36"/>
  <c r="H72" i="36"/>
  <c r="G72" i="36"/>
  <c r="F72" i="36"/>
  <c r="E72" i="36"/>
  <c r="Q42" i="36"/>
  <c r="Q40" i="36"/>
  <c r="Q39" i="36"/>
  <c r="O38" i="36"/>
  <c r="N38" i="36"/>
  <c r="M38" i="36"/>
  <c r="L38" i="36"/>
  <c r="K38" i="36"/>
  <c r="J38" i="36"/>
  <c r="I38" i="36"/>
  <c r="H38" i="36"/>
  <c r="G38" i="36"/>
  <c r="F38" i="36"/>
  <c r="E38" i="36"/>
  <c r="D38" i="36"/>
  <c r="C38" i="36"/>
  <c r="B38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B34" i="36"/>
  <c r="B25" i="36" s="1"/>
  <c r="Q32" i="36"/>
  <c r="Q31" i="36"/>
  <c r="Q29" i="36"/>
  <c r="J6" i="2"/>
  <c r="J28" i="46" s="1"/>
  <c r="F6" i="2"/>
  <c r="F28" i="46" s="1"/>
  <c r="M6" i="2"/>
  <c r="M28" i="46" s="1"/>
  <c r="L6" i="2"/>
  <c r="L28" i="46" s="1"/>
  <c r="N6" i="2"/>
  <c r="N28" i="46" s="1"/>
  <c r="E6" i="2"/>
  <c r="E28" i="46" s="1"/>
  <c r="G113" i="36" l="1"/>
  <c r="G181" i="36" s="1"/>
  <c r="L113" i="36"/>
  <c r="L181" i="36" s="1"/>
  <c r="H113" i="36"/>
  <c r="H181" i="36" s="1"/>
  <c r="B81" i="36"/>
  <c r="C48" i="36"/>
  <c r="C67" i="36" s="1"/>
  <c r="C178" i="36" s="1"/>
  <c r="C81" i="36"/>
  <c r="C127" i="36" s="1"/>
  <c r="B114" i="46"/>
  <c r="B137" i="46" s="1"/>
  <c r="B146" i="46" s="1"/>
  <c r="B127" i="28"/>
  <c r="B136" i="28" s="1"/>
  <c r="B182" i="28" s="1"/>
  <c r="B117" i="46"/>
  <c r="B113" i="28"/>
  <c r="B181" i="28" s="1"/>
  <c r="B127" i="36"/>
  <c r="B113" i="36"/>
  <c r="B181" i="36" s="1"/>
  <c r="F44" i="36"/>
  <c r="F177" i="36" s="1"/>
  <c r="J44" i="36"/>
  <c r="J177" i="36" s="1"/>
  <c r="G44" i="36"/>
  <c r="G177" i="36" s="1"/>
  <c r="K44" i="36"/>
  <c r="K177" i="36" s="1"/>
  <c r="O44" i="36"/>
  <c r="O177" i="36" s="1"/>
  <c r="E44" i="36"/>
  <c r="E177" i="36" s="1"/>
  <c r="I44" i="36"/>
  <c r="I177" i="36" s="1"/>
  <c r="M44" i="36"/>
  <c r="M177" i="36" s="1"/>
  <c r="N44" i="36"/>
  <c r="N177" i="36" s="1"/>
  <c r="I113" i="36"/>
  <c r="I181" i="36" s="1"/>
  <c r="F113" i="36"/>
  <c r="F181" i="36" s="1"/>
  <c r="J113" i="36"/>
  <c r="J181" i="36" s="1"/>
  <c r="N113" i="36"/>
  <c r="N181" i="36" s="1"/>
  <c r="P104" i="36"/>
  <c r="Q104" i="36" s="1"/>
  <c r="O113" i="36"/>
  <c r="O181" i="36" s="1"/>
  <c r="H44" i="36"/>
  <c r="H177" i="36" s="1"/>
  <c r="P38" i="36"/>
  <c r="L44" i="36"/>
  <c r="L177" i="36" s="1"/>
  <c r="E113" i="36"/>
  <c r="E181" i="36" s="1"/>
  <c r="M113" i="36"/>
  <c r="M181" i="36" s="1"/>
  <c r="C113" i="36"/>
  <c r="C181" i="36" s="1"/>
  <c r="Q130" i="36"/>
  <c r="K74" i="36"/>
  <c r="O74" i="36"/>
  <c r="G74" i="36"/>
  <c r="H74" i="36"/>
  <c r="L74" i="36"/>
  <c r="E74" i="36"/>
  <c r="I74" i="36"/>
  <c r="N74" i="36"/>
  <c r="M74" i="36"/>
  <c r="F74" i="36"/>
  <c r="O81" i="36"/>
  <c r="O127" i="36" s="1"/>
  <c r="G81" i="36"/>
  <c r="G127" i="36" s="1"/>
  <c r="K81" i="36"/>
  <c r="K127" i="36" s="1"/>
  <c r="D82" i="36"/>
  <c r="P107" i="36"/>
  <c r="Q107" i="36" s="1"/>
  <c r="Q145" i="36"/>
  <c r="Q173" i="36"/>
  <c r="B44" i="36"/>
  <c r="B177" i="36" s="1"/>
  <c r="Q142" i="36"/>
  <c r="Q150" i="36"/>
  <c r="Q154" i="36"/>
  <c r="Q158" i="36"/>
  <c r="Q162" i="36"/>
  <c r="Q166" i="36"/>
  <c r="Q170" i="36"/>
  <c r="I6" i="2"/>
  <c r="I28" i="46" s="1"/>
  <c r="E81" i="36"/>
  <c r="E127" i="36" s="1"/>
  <c r="I81" i="36"/>
  <c r="I127" i="36" s="1"/>
  <c r="M81" i="36"/>
  <c r="M127" i="36" s="1"/>
  <c r="C84" i="36"/>
  <c r="G84" i="36"/>
  <c r="K84" i="36"/>
  <c r="O84" i="36"/>
  <c r="B122" i="36"/>
  <c r="B126" i="36" s="1"/>
  <c r="B80" i="36"/>
  <c r="M82" i="36"/>
  <c r="M128" i="36" s="1"/>
  <c r="Q144" i="36"/>
  <c r="Q148" i="36"/>
  <c r="Q152" i="36"/>
  <c r="Q156" i="36"/>
  <c r="Q160" i="36"/>
  <c r="Q164" i="36"/>
  <c r="Q168" i="36"/>
  <c r="Q172" i="36"/>
  <c r="B48" i="36"/>
  <c r="B67" i="36" s="1"/>
  <c r="B178" i="36" s="1"/>
  <c r="D83" i="36"/>
  <c r="P60" i="36"/>
  <c r="Q60" i="36" s="1"/>
  <c r="Q149" i="36"/>
  <c r="Q153" i="36"/>
  <c r="Q157" i="36"/>
  <c r="Q161" i="36"/>
  <c r="Q165" i="36"/>
  <c r="Q169" i="36"/>
  <c r="B118" i="36"/>
  <c r="B120" i="36" s="1"/>
  <c r="B74" i="36"/>
  <c r="B71" i="36" s="1"/>
  <c r="E82" i="36"/>
  <c r="E128" i="36" s="1"/>
  <c r="Q146" i="36"/>
  <c r="H6" i="2"/>
  <c r="H28" i="46" s="1"/>
  <c r="C44" i="36"/>
  <c r="C177" i="36" s="1"/>
  <c r="P35" i="36"/>
  <c r="Q35" i="36" s="1"/>
  <c r="B84" i="36"/>
  <c r="F84" i="36"/>
  <c r="J84" i="36"/>
  <c r="N84" i="36"/>
  <c r="P61" i="36"/>
  <c r="Q61" i="36" s="1"/>
  <c r="Q143" i="36"/>
  <c r="Q147" i="36"/>
  <c r="Q151" i="36"/>
  <c r="Q155" i="36"/>
  <c r="Q159" i="36"/>
  <c r="Q163" i="36"/>
  <c r="Q167" i="36"/>
  <c r="Q171" i="36"/>
  <c r="D73" i="36"/>
  <c r="Q50" i="36"/>
  <c r="G122" i="36"/>
  <c r="G126" i="36" s="1"/>
  <c r="G80" i="36"/>
  <c r="K122" i="36"/>
  <c r="K126" i="36" s="1"/>
  <c r="K80" i="36"/>
  <c r="O122" i="36"/>
  <c r="O126" i="36" s="1"/>
  <c r="O80" i="36"/>
  <c r="D77" i="36"/>
  <c r="P77" i="36" s="1"/>
  <c r="Q77" i="36" s="1"/>
  <c r="P54" i="36"/>
  <c r="Q54" i="36" s="1"/>
  <c r="D79" i="36"/>
  <c r="P56" i="36"/>
  <c r="Q56" i="36" s="1"/>
  <c r="Q52" i="36"/>
  <c r="D78" i="36"/>
  <c r="P55" i="36"/>
  <c r="Q55" i="36" s="1"/>
  <c r="J122" i="36"/>
  <c r="J126" i="36" s="1"/>
  <c r="J80" i="36"/>
  <c r="C119" i="36"/>
  <c r="C120" i="36" s="1"/>
  <c r="C122" i="36"/>
  <c r="C126" i="36" s="1"/>
  <c r="C80" i="36"/>
  <c r="O6" i="2"/>
  <c r="O28" i="46" s="1"/>
  <c r="K6" i="2"/>
  <c r="K28" i="46" s="1"/>
  <c r="G6" i="2"/>
  <c r="G28" i="46" s="1"/>
  <c r="D84" i="36"/>
  <c r="H84" i="36"/>
  <c r="L84" i="36"/>
  <c r="E84" i="36"/>
  <c r="I84" i="36"/>
  <c r="M84" i="36"/>
  <c r="D75" i="36"/>
  <c r="B6" i="2"/>
  <c r="B28" i="46" s="1"/>
  <c r="B29" i="46" s="1"/>
  <c r="B31" i="46" s="1"/>
  <c r="C6" i="2"/>
  <c r="C28" i="46" s="1"/>
  <c r="H118" i="36"/>
  <c r="H120" i="36" s="1"/>
  <c r="L118" i="36"/>
  <c r="L120" i="36" s="1"/>
  <c r="F118" i="36"/>
  <c r="F120" i="36" s="1"/>
  <c r="N118" i="36"/>
  <c r="N120" i="36" s="1"/>
  <c r="Q27" i="36"/>
  <c r="Q36" i="36"/>
  <c r="E118" i="36"/>
  <c r="E120" i="36" s="1"/>
  <c r="I118" i="36"/>
  <c r="I120" i="36" s="1"/>
  <c r="M118" i="36"/>
  <c r="M120" i="36" s="1"/>
  <c r="J48" i="36"/>
  <c r="J67" i="36" s="1"/>
  <c r="F81" i="36"/>
  <c r="F127" i="36" s="1"/>
  <c r="J81" i="36"/>
  <c r="J127" i="36" s="1"/>
  <c r="N81" i="36"/>
  <c r="N127" i="36" s="1"/>
  <c r="J72" i="36"/>
  <c r="J74" i="36" s="1"/>
  <c r="L76" i="36"/>
  <c r="F76" i="36"/>
  <c r="N76" i="36"/>
  <c r="Q26" i="36"/>
  <c r="Q33" i="36"/>
  <c r="Q37" i="36"/>
  <c r="G118" i="36"/>
  <c r="G120" i="36" s="1"/>
  <c r="K118" i="36"/>
  <c r="K120" i="36" s="1"/>
  <c r="O118" i="36"/>
  <c r="O120" i="36" s="1"/>
  <c r="H81" i="36"/>
  <c r="H127" i="36" s="1"/>
  <c r="L81" i="36"/>
  <c r="L127" i="36" s="1"/>
  <c r="H76" i="36"/>
  <c r="G48" i="36"/>
  <c r="G67" i="36" s="1"/>
  <c r="K48" i="36"/>
  <c r="K67" i="36" s="1"/>
  <c r="O48" i="36"/>
  <c r="O67" i="36" s="1"/>
  <c r="E76" i="36"/>
  <c r="I76" i="36"/>
  <c r="M76" i="36"/>
  <c r="Q141" i="36"/>
  <c r="P140" i="36"/>
  <c r="P184" i="36" s="1"/>
  <c r="O106" i="4"/>
  <c r="N106" i="4"/>
  <c r="M106" i="4"/>
  <c r="L106" i="4"/>
  <c r="K106" i="4"/>
  <c r="J106" i="4"/>
  <c r="I106" i="4"/>
  <c r="H106" i="4"/>
  <c r="G106" i="4"/>
  <c r="F106" i="4"/>
  <c r="E106" i="4"/>
  <c r="D106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O101" i="4"/>
  <c r="N101" i="4"/>
  <c r="M101" i="4"/>
  <c r="L101" i="4"/>
  <c r="K101" i="4"/>
  <c r="J101" i="4"/>
  <c r="I101" i="4"/>
  <c r="H101" i="4"/>
  <c r="G101" i="4"/>
  <c r="F101" i="4"/>
  <c r="E101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O99" i="4"/>
  <c r="N99" i="4"/>
  <c r="M99" i="4"/>
  <c r="L99" i="4"/>
  <c r="K99" i="4"/>
  <c r="J99" i="4"/>
  <c r="I99" i="4"/>
  <c r="H99" i="4"/>
  <c r="G99" i="4"/>
  <c r="F99" i="4"/>
  <c r="E99" i="4"/>
  <c r="D99" i="4"/>
  <c r="O98" i="4"/>
  <c r="N98" i="4"/>
  <c r="M98" i="4"/>
  <c r="L98" i="4"/>
  <c r="K98" i="4"/>
  <c r="J98" i="4"/>
  <c r="I98" i="4"/>
  <c r="H98" i="4"/>
  <c r="G98" i="4"/>
  <c r="F98" i="4"/>
  <c r="E98" i="4"/>
  <c r="D98" i="4"/>
  <c r="O96" i="4"/>
  <c r="N96" i="4"/>
  <c r="M96" i="4"/>
  <c r="L96" i="4"/>
  <c r="K96" i="4"/>
  <c r="J96" i="4"/>
  <c r="I96" i="4"/>
  <c r="H96" i="4"/>
  <c r="G96" i="4"/>
  <c r="F96" i="4"/>
  <c r="E96" i="4"/>
  <c r="D96" i="4"/>
  <c r="O106" i="6"/>
  <c r="N106" i="6"/>
  <c r="M106" i="6"/>
  <c r="L106" i="6"/>
  <c r="K106" i="6"/>
  <c r="J106" i="6"/>
  <c r="I106" i="6"/>
  <c r="H106" i="6"/>
  <c r="G106" i="6"/>
  <c r="F106" i="6"/>
  <c r="E106" i="6"/>
  <c r="D106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O106" i="5"/>
  <c r="N106" i="5"/>
  <c r="M106" i="5"/>
  <c r="L106" i="5"/>
  <c r="K106" i="5"/>
  <c r="J106" i="5"/>
  <c r="I106" i="5"/>
  <c r="H106" i="5"/>
  <c r="G106" i="5"/>
  <c r="F106" i="5"/>
  <c r="E106" i="5"/>
  <c r="D106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O106" i="7"/>
  <c r="N106" i="7"/>
  <c r="M106" i="7"/>
  <c r="L106" i="7"/>
  <c r="K106" i="7"/>
  <c r="J106" i="7"/>
  <c r="I106" i="7"/>
  <c r="H106" i="7"/>
  <c r="G106" i="7"/>
  <c r="F106" i="7"/>
  <c r="E106" i="7"/>
  <c r="D106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O96" i="7"/>
  <c r="N96" i="7"/>
  <c r="M96" i="7"/>
  <c r="L96" i="7"/>
  <c r="K96" i="7"/>
  <c r="J96" i="7"/>
  <c r="I96" i="7"/>
  <c r="H96" i="7"/>
  <c r="G96" i="7"/>
  <c r="F96" i="7"/>
  <c r="E96" i="7"/>
  <c r="D96" i="7"/>
  <c r="O106" i="9"/>
  <c r="N106" i="9"/>
  <c r="M106" i="9"/>
  <c r="L106" i="9"/>
  <c r="K106" i="9"/>
  <c r="J106" i="9"/>
  <c r="I106" i="9"/>
  <c r="H106" i="9"/>
  <c r="G106" i="9"/>
  <c r="F106" i="9"/>
  <c r="E106" i="9"/>
  <c r="D106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O102" i="9"/>
  <c r="N102" i="9"/>
  <c r="M102" i="9"/>
  <c r="M103" i="9" s="1"/>
  <c r="L102" i="9"/>
  <c r="K102" i="9"/>
  <c r="J102" i="9"/>
  <c r="I102" i="9"/>
  <c r="I103" i="9" s="1"/>
  <c r="H102" i="9"/>
  <c r="G102" i="9"/>
  <c r="F102" i="9"/>
  <c r="E102" i="9"/>
  <c r="D102" i="9"/>
  <c r="O106" i="10"/>
  <c r="N106" i="10"/>
  <c r="M106" i="10"/>
  <c r="L106" i="10"/>
  <c r="K106" i="10"/>
  <c r="J106" i="10"/>
  <c r="I106" i="10"/>
  <c r="H106" i="10"/>
  <c r="G106" i="10"/>
  <c r="F106" i="10"/>
  <c r="O105" i="10"/>
  <c r="N105" i="10"/>
  <c r="M105" i="10"/>
  <c r="L105" i="10"/>
  <c r="K105" i="10"/>
  <c r="J105" i="10"/>
  <c r="I105" i="10"/>
  <c r="H105" i="10"/>
  <c r="G105" i="10"/>
  <c r="F105" i="10"/>
  <c r="O102" i="10"/>
  <c r="N102" i="10"/>
  <c r="M102" i="10"/>
  <c r="L102" i="10"/>
  <c r="K102" i="10"/>
  <c r="J102" i="10"/>
  <c r="I102" i="10"/>
  <c r="H102" i="10"/>
  <c r="G102" i="10"/>
  <c r="F102" i="10"/>
  <c r="O96" i="10"/>
  <c r="N96" i="10"/>
  <c r="M96" i="10"/>
  <c r="L96" i="10"/>
  <c r="K96" i="10"/>
  <c r="J96" i="10"/>
  <c r="I96" i="10"/>
  <c r="H96" i="10"/>
  <c r="G96" i="10"/>
  <c r="F96" i="10"/>
  <c r="O106" i="11"/>
  <c r="N106" i="11"/>
  <c r="M106" i="11"/>
  <c r="L106" i="11"/>
  <c r="K106" i="11"/>
  <c r="J106" i="11"/>
  <c r="I106" i="11"/>
  <c r="H106" i="11"/>
  <c r="G106" i="11"/>
  <c r="F106" i="11"/>
  <c r="O105" i="11"/>
  <c r="N105" i="11"/>
  <c r="M105" i="11"/>
  <c r="L105" i="11"/>
  <c r="K105" i="11"/>
  <c r="J105" i="11"/>
  <c r="I105" i="11"/>
  <c r="H105" i="11"/>
  <c r="G105" i="11"/>
  <c r="F105" i="11"/>
  <c r="O102" i="11"/>
  <c r="N102" i="11"/>
  <c r="M102" i="11"/>
  <c r="L102" i="11"/>
  <c r="K102" i="11"/>
  <c r="J102" i="11"/>
  <c r="I102" i="11"/>
  <c r="H102" i="11"/>
  <c r="G102" i="11"/>
  <c r="F102" i="11"/>
  <c r="O101" i="11"/>
  <c r="N101" i="11"/>
  <c r="M101" i="11"/>
  <c r="L101" i="11"/>
  <c r="K101" i="11"/>
  <c r="J101" i="11"/>
  <c r="I101" i="11"/>
  <c r="H101" i="11"/>
  <c r="G101" i="11"/>
  <c r="F101" i="11"/>
  <c r="O100" i="11"/>
  <c r="N100" i="11"/>
  <c r="M100" i="11"/>
  <c r="L100" i="11"/>
  <c r="K100" i="11"/>
  <c r="J100" i="11"/>
  <c r="I100" i="11"/>
  <c r="H100" i="11"/>
  <c r="G100" i="11"/>
  <c r="F100" i="11"/>
  <c r="O99" i="11"/>
  <c r="N99" i="11"/>
  <c r="M99" i="11"/>
  <c r="L99" i="11"/>
  <c r="K99" i="11"/>
  <c r="J99" i="11"/>
  <c r="I99" i="11"/>
  <c r="H99" i="11"/>
  <c r="G99" i="11"/>
  <c r="F99" i="11"/>
  <c r="O98" i="11"/>
  <c r="N98" i="11"/>
  <c r="M98" i="11"/>
  <c r="L98" i="11"/>
  <c r="K98" i="11"/>
  <c r="J98" i="11"/>
  <c r="I98" i="11"/>
  <c r="H98" i="11"/>
  <c r="G98" i="11"/>
  <c r="F98" i="11"/>
  <c r="O96" i="11"/>
  <c r="N96" i="11"/>
  <c r="M96" i="11"/>
  <c r="L96" i="11"/>
  <c r="K96" i="11"/>
  <c r="J96" i="11"/>
  <c r="I96" i="11"/>
  <c r="H96" i="11"/>
  <c r="G96" i="11"/>
  <c r="F96" i="11"/>
  <c r="O95" i="11"/>
  <c r="N95" i="11"/>
  <c r="M95" i="11"/>
  <c r="L95" i="11"/>
  <c r="K95" i="11"/>
  <c r="J95" i="11"/>
  <c r="I95" i="11"/>
  <c r="H95" i="11"/>
  <c r="G95" i="11"/>
  <c r="F95" i="11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O99" i="13"/>
  <c r="N99" i="13"/>
  <c r="M99" i="13"/>
  <c r="L99" i="13"/>
  <c r="K99" i="13"/>
  <c r="J99" i="13"/>
  <c r="I99" i="13"/>
  <c r="H99" i="13"/>
  <c r="G99" i="13"/>
  <c r="F99" i="13"/>
  <c r="E99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O95" i="13"/>
  <c r="N95" i="13"/>
  <c r="M95" i="13"/>
  <c r="L95" i="13"/>
  <c r="K95" i="13"/>
  <c r="J95" i="13"/>
  <c r="I95" i="13"/>
  <c r="H95" i="13"/>
  <c r="G95" i="13"/>
  <c r="F95" i="13"/>
  <c r="E95" i="13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O99" i="14"/>
  <c r="N99" i="14"/>
  <c r="M99" i="14"/>
  <c r="L99" i="14"/>
  <c r="K99" i="14"/>
  <c r="J99" i="14"/>
  <c r="I99" i="14"/>
  <c r="H99" i="14"/>
  <c r="G99" i="14"/>
  <c r="F99" i="14"/>
  <c r="E99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O95" i="14"/>
  <c r="N95" i="14"/>
  <c r="M95" i="14"/>
  <c r="L95" i="14"/>
  <c r="K95" i="14"/>
  <c r="J95" i="14"/>
  <c r="I95" i="14"/>
  <c r="H95" i="14"/>
  <c r="G95" i="14"/>
  <c r="F95" i="14"/>
  <c r="E95" i="14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O101" i="15"/>
  <c r="N101" i="15"/>
  <c r="M101" i="15"/>
  <c r="L101" i="15"/>
  <c r="K101" i="15"/>
  <c r="J101" i="15"/>
  <c r="I101" i="15"/>
  <c r="H101" i="15"/>
  <c r="G101" i="15"/>
  <c r="F101" i="15"/>
  <c r="E101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O95" i="15"/>
  <c r="N95" i="15"/>
  <c r="M95" i="15"/>
  <c r="L95" i="15"/>
  <c r="K95" i="15"/>
  <c r="J95" i="15"/>
  <c r="I95" i="15"/>
  <c r="H95" i="15"/>
  <c r="G95" i="15"/>
  <c r="F95" i="15"/>
  <c r="E95" i="15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O101" i="17"/>
  <c r="N101" i="17"/>
  <c r="M101" i="17"/>
  <c r="L101" i="17"/>
  <c r="K101" i="17"/>
  <c r="J101" i="17"/>
  <c r="I101" i="17"/>
  <c r="H101" i="17"/>
  <c r="G101" i="17"/>
  <c r="F101" i="17"/>
  <c r="E101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O102" i="18"/>
  <c r="N102" i="18"/>
  <c r="M102" i="18"/>
  <c r="L102" i="18"/>
  <c r="K102" i="18"/>
  <c r="J102" i="18"/>
  <c r="I102" i="18"/>
  <c r="I102" i="20" s="1"/>
  <c r="H102" i="18"/>
  <c r="G102" i="18"/>
  <c r="F102" i="18"/>
  <c r="E102" i="18"/>
  <c r="E102" i="20" s="1"/>
  <c r="D102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O99" i="18"/>
  <c r="N99" i="18"/>
  <c r="M99" i="18"/>
  <c r="L99" i="18"/>
  <c r="K99" i="18"/>
  <c r="J99" i="18"/>
  <c r="I99" i="18"/>
  <c r="H99" i="18"/>
  <c r="G99" i="18"/>
  <c r="F99" i="18"/>
  <c r="E99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D96" i="20" s="1"/>
  <c r="O95" i="18"/>
  <c r="N95" i="18"/>
  <c r="M95" i="18"/>
  <c r="L95" i="18"/>
  <c r="K95" i="18"/>
  <c r="J95" i="18"/>
  <c r="I95" i="18"/>
  <c r="H95" i="18"/>
  <c r="G95" i="18"/>
  <c r="F95" i="18"/>
  <c r="E95" i="18"/>
  <c r="I103" i="11" l="1"/>
  <c r="E96" i="20"/>
  <c r="M96" i="20"/>
  <c r="I98" i="20"/>
  <c r="I96" i="20"/>
  <c r="I96" i="28" s="1"/>
  <c r="I106" i="46" s="1"/>
  <c r="E98" i="20"/>
  <c r="D100" i="20"/>
  <c r="D102" i="20"/>
  <c r="M102" i="20"/>
  <c r="M102" i="28" s="1"/>
  <c r="M112" i="46" s="1"/>
  <c r="D105" i="20"/>
  <c r="D105" i="28" s="1"/>
  <c r="D115" i="46" s="1"/>
  <c r="E101" i="20"/>
  <c r="E101" i="28" s="1"/>
  <c r="E111" i="46" s="1"/>
  <c r="E100" i="20"/>
  <c r="E100" i="28" s="1"/>
  <c r="E110" i="46" s="1"/>
  <c r="I100" i="20"/>
  <c r="I100" i="28" s="1"/>
  <c r="I110" i="46" s="1"/>
  <c r="M100" i="20"/>
  <c r="M100" i="28" s="1"/>
  <c r="M110" i="46" s="1"/>
  <c r="F102" i="20"/>
  <c r="F102" i="28" s="1"/>
  <c r="F112" i="46" s="1"/>
  <c r="F100" i="20"/>
  <c r="F100" i="28" s="1"/>
  <c r="F110" i="46" s="1"/>
  <c r="M98" i="20"/>
  <c r="M98" i="28" s="1"/>
  <c r="M108" i="46" s="1"/>
  <c r="N100" i="20"/>
  <c r="N100" i="28" s="1"/>
  <c r="N110" i="46" s="1"/>
  <c r="J102" i="20"/>
  <c r="J102" i="28" s="1"/>
  <c r="J112" i="46" s="1"/>
  <c r="N102" i="20"/>
  <c r="N102" i="28" s="1"/>
  <c r="N112" i="46" s="1"/>
  <c r="J100" i="20"/>
  <c r="J100" i="28" s="1"/>
  <c r="J110" i="46" s="1"/>
  <c r="M103" i="11"/>
  <c r="N98" i="20"/>
  <c r="N98" i="28" s="1"/>
  <c r="N108" i="46" s="1"/>
  <c r="F98" i="20"/>
  <c r="F98" i="28" s="1"/>
  <c r="F108" i="46" s="1"/>
  <c r="J98" i="20"/>
  <c r="J98" i="28" s="1"/>
  <c r="J108" i="46" s="1"/>
  <c r="D98" i="20"/>
  <c r="D98" i="28" s="1"/>
  <c r="D108" i="46" s="1"/>
  <c r="J96" i="20"/>
  <c r="F96" i="20"/>
  <c r="N96" i="20"/>
  <c r="N96" i="28" s="1"/>
  <c r="N106" i="46" s="1"/>
  <c r="B90" i="36"/>
  <c r="B180" i="36" s="1"/>
  <c r="B185" i="36" s="1"/>
  <c r="E105" i="20"/>
  <c r="M105" i="20"/>
  <c r="M105" i="28" s="1"/>
  <c r="M115" i="46" s="1"/>
  <c r="I105" i="20"/>
  <c r="I105" i="28" s="1"/>
  <c r="I115" i="46" s="1"/>
  <c r="J105" i="20"/>
  <c r="J105" i="28" s="1"/>
  <c r="J115" i="46" s="1"/>
  <c r="F105" i="20"/>
  <c r="F105" i="28" s="1"/>
  <c r="F115" i="46" s="1"/>
  <c r="N105" i="20"/>
  <c r="N105" i="28" s="1"/>
  <c r="N115" i="46" s="1"/>
  <c r="J106" i="20"/>
  <c r="J106" i="28" s="1"/>
  <c r="J116" i="46" s="1"/>
  <c r="N106" i="20"/>
  <c r="N106" i="28" s="1"/>
  <c r="N116" i="46" s="1"/>
  <c r="B123" i="46"/>
  <c r="B195" i="46" s="1"/>
  <c r="B183" i="28"/>
  <c r="B186" i="28"/>
  <c r="B187" i="28" s="1"/>
  <c r="B44" i="28"/>
  <c r="B54" i="46" s="1"/>
  <c r="B189" i="46" s="1"/>
  <c r="G100" i="20"/>
  <c r="G100" i="28" s="1"/>
  <c r="G110" i="46" s="1"/>
  <c r="K100" i="20"/>
  <c r="K100" i="28" s="1"/>
  <c r="K110" i="46" s="1"/>
  <c r="O100" i="20"/>
  <c r="O100" i="28" s="1"/>
  <c r="O110" i="46" s="1"/>
  <c r="G102" i="20"/>
  <c r="G102" i="28" s="1"/>
  <c r="G112" i="46" s="1"/>
  <c r="K102" i="20"/>
  <c r="O102" i="20"/>
  <c r="O102" i="28" s="1"/>
  <c r="O112" i="46" s="1"/>
  <c r="H100" i="20"/>
  <c r="H100" i="28" s="1"/>
  <c r="H110" i="46" s="1"/>
  <c r="L100" i="20"/>
  <c r="L100" i="28" s="1"/>
  <c r="L110" i="46" s="1"/>
  <c r="H102" i="20"/>
  <c r="H102" i="28" s="1"/>
  <c r="H112" i="46" s="1"/>
  <c r="L102" i="20"/>
  <c r="L102" i="28" s="1"/>
  <c r="L112" i="46" s="1"/>
  <c r="G101" i="20"/>
  <c r="G101" i="28" s="1"/>
  <c r="G111" i="46" s="1"/>
  <c r="K101" i="20"/>
  <c r="K101" i="28" s="1"/>
  <c r="K111" i="46" s="1"/>
  <c r="O101" i="20"/>
  <c r="O101" i="28" s="1"/>
  <c r="O111" i="46" s="1"/>
  <c r="H101" i="20"/>
  <c r="H101" i="28" s="1"/>
  <c r="H111" i="46" s="1"/>
  <c r="L101" i="20"/>
  <c r="L101" i="28" s="1"/>
  <c r="L111" i="46" s="1"/>
  <c r="G96" i="20"/>
  <c r="G96" i="28" s="1"/>
  <c r="G106" i="46" s="1"/>
  <c r="K96" i="20"/>
  <c r="K96" i="28" s="1"/>
  <c r="K106" i="46" s="1"/>
  <c r="O96" i="20"/>
  <c r="O96" i="28" s="1"/>
  <c r="O106" i="46" s="1"/>
  <c r="H96" i="20"/>
  <c r="H96" i="28" s="1"/>
  <c r="H106" i="46" s="1"/>
  <c r="L96" i="20"/>
  <c r="L96" i="28" s="1"/>
  <c r="L106" i="46" s="1"/>
  <c r="I106" i="20"/>
  <c r="I106" i="28" s="1"/>
  <c r="I116" i="46" s="1"/>
  <c r="M106" i="20"/>
  <c r="M106" i="28" s="1"/>
  <c r="M116" i="46" s="1"/>
  <c r="G105" i="20"/>
  <c r="G105" i="28" s="1"/>
  <c r="G115" i="46" s="1"/>
  <c r="K105" i="20"/>
  <c r="K105" i="28" s="1"/>
  <c r="K115" i="46" s="1"/>
  <c r="O105" i="20"/>
  <c r="O105" i="28" s="1"/>
  <c r="O115" i="46" s="1"/>
  <c r="H105" i="20"/>
  <c r="H105" i="28" s="1"/>
  <c r="H115" i="46" s="1"/>
  <c r="L105" i="20"/>
  <c r="L105" i="28" s="1"/>
  <c r="L115" i="46" s="1"/>
  <c r="B117" i="36"/>
  <c r="B136" i="36" s="1"/>
  <c r="B182" i="36" s="1"/>
  <c r="B186" i="36" s="1"/>
  <c r="G98" i="20"/>
  <c r="G98" i="28" s="1"/>
  <c r="G108" i="46" s="1"/>
  <c r="K98" i="20"/>
  <c r="K98" i="28" s="1"/>
  <c r="K108" i="46" s="1"/>
  <c r="O98" i="20"/>
  <c r="O98" i="28" s="1"/>
  <c r="O108" i="46" s="1"/>
  <c r="G106" i="20"/>
  <c r="G106" i="28" s="1"/>
  <c r="G116" i="46" s="1"/>
  <c r="K106" i="20"/>
  <c r="K106" i="28" s="1"/>
  <c r="K116" i="46" s="1"/>
  <c r="O106" i="20"/>
  <c r="O106" i="28" s="1"/>
  <c r="O116" i="46" s="1"/>
  <c r="H98" i="20"/>
  <c r="H98" i="28" s="1"/>
  <c r="H108" i="46" s="1"/>
  <c r="L98" i="20"/>
  <c r="L98" i="28" s="1"/>
  <c r="L108" i="46" s="1"/>
  <c r="H106" i="20"/>
  <c r="H106" i="28" s="1"/>
  <c r="H116" i="46" s="1"/>
  <c r="L106" i="20"/>
  <c r="L106" i="28" s="1"/>
  <c r="L116" i="46" s="1"/>
  <c r="I101" i="20"/>
  <c r="I101" i="28" s="1"/>
  <c r="I111" i="46" s="1"/>
  <c r="M101" i="20"/>
  <c r="M101" i="28" s="1"/>
  <c r="M111" i="46" s="1"/>
  <c r="F101" i="20"/>
  <c r="F101" i="28" s="1"/>
  <c r="F111" i="46" s="1"/>
  <c r="J101" i="20"/>
  <c r="J101" i="28" s="1"/>
  <c r="J111" i="46" s="1"/>
  <c r="N101" i="20"/>
  <c r="N101" i="28" s="1"/>
  <c r="N111" i="46" s="1"/>
  <c r="D106" i="20"/>
  <c r="E106" i="20"/>
  <c r="E106" i="28" s="1"/>
  <c r="E116" i="46" s="1"/>
  <c r="F106" i="20"/>
  <c r="F106" i="28" s="1"/>
  <c r="F116" i="46" s="1"/>
  <c r="E103" i="9"/>
  <c r="M103" i="18"/>
  <c r="E103" i="18"/>
  <c r="I103" i="18"/>
  <c r="H103" i="9"/>
  <c r="L103" i="9"/>
  <c r="H103" i="18"/>
  <c r="L103" i="18"/>
  <c r="H103" i="10"/>
  <c r="L103" i="10"/>
  <c r="H103" i="14"/>
  <c r="L103" i="14"/>
  <c r="E103" i="14"/>
  <c r="I103" i="14"/>
  <c r="M103" i="14"/>
  <c r="G103" i="10"/>
  <c r="O103" i="10"/>
  <c r="H103" i="13"/>
  <c r="G103" i="13"/>
  <c r="K103" i="13"/>
  <c r="O103" i="13"/>
  <c r="H103" i="11"/>
  <c r="L103" i="11"/>
  <c r="G103" i="6"/>
  <c r="K103" i="6"/>
  <c r="O103" i="6"/>
  <c r="H103" i="6"/>
  <c r="L103" i="6"/>
  <c r="C71" i="36"/>
  <c r="C90" i="36" s="1"/>
  <c r="C180" i="36" s="1"/>
  <c r="D129" i="36"/>
  <c r="P129" i="36" s="1"/>
  <c r="Q129" i="36" s="1"/>
  <c r="P83" i="36"/>
  <c r="Q83" i="36" s="1"/>
  <c r="D81" i="36"/>
  <c r="P58" i="36"/>
  <c r="K117" i="36"/>
  <c r="P84" i="36"/>
  <c r="Q84" i="36" s="1"/>
  <c r="C140" i="36"/>
  <c r="C184" i="36" s="1"/>
  <c r="D128" i="36"/>
  <c r="P128" i="36" s="1"/>
  <c r="P82" i="36"/>
  <c r="Q82" i="36" s="1"/>
  <c r="G103" i="18"/>
  <c r="K103" i="18"/>
  <c r="O103" i="18"/>
  <c r="F103" i="18"/>
  <c r="J103" i="18"/>
  <c r="N103" i="18"/>
  <c r="G103" i="14"/>
  <c r="K103" i="14"/>
  <c r="O103" i="14"/>
  <c r="F103" i="14"/>
  <c r="J103" i="14"/>
  <c r="N103" i="14"/>
  <c r="E103" i="13"/>
  <c r="I103" i="13"/>
  <c r="M103" i="13"/>
  <c r="F103" i="13"/>
  <c r="J103" i="13"/>
  <c r="N103" i="13"/>
  <c r="G103" i="11"/>
  <c r="K103" i="11"/>
  <c r="O103" i="11"/>
  <c r="F103" i="11"/>
  <c r="J103" i="11"/>
  <c r="N103" i="11"/>
  <c r="I103" i="10"/>
  <c r="M103" i="10"/>
  <c r="F103" i="10"/>
  <c r="J103" i="10"/>
  <c r="N103" i="10"/>
  <c r="G103" i="9"/>
  <c r="K103" i="9"/>
  <c r="O103" i="9"/>
  <c r="F103" i="9"/>
  <c r="J103" i="9"/>
  <c r="N103" i="9"/>
  <c r="F103" i="6"/>
  <c r="J103" i="6"/>
  <c r="N103" i="6"/>
  <c r="I98" i="28"/>
  <c r="I108" i="46" s="1"/>
  <c r="E103" i="6"/>
  <c r="I103" i="6"/>
  <c r="M103" i="6"/>
  <c r="J178" i="36"/>
  <c r="D123" i="36"/>
  <c r="P123" i="36" s="1"/>
  <c r="Q123" i="36" s="1"/>
  <c r="C117" i="36"/>
  <c r="C136" i="36" s="1"/>
  <c r="C182" i="36" s="1"/>
  <c r="G178" i="36"/>
  <c r="I178" i="36"/>
  <c r="O117" i="36"/>
  <c r="D121" i="36"/>
  <c r="P121" i="36" s="1"/>
  <c r="Q121" i="36" s="1"/>
  <c r="P75" i="36"/>
  <c r="Q75" i="36" s="1"/>
  <c r="M122" i="36"/>
  <c r="M126" i="36" s="1"/>
  <c r="M117" i="36" s="1"/>
  <c r="M80" i="36"/>
  <c r="M71" i="36" s="1"/>
  <c r="E178" i="36"/>
  <c r="H122" i="36"/>
  <c r="H126" i="36" s="1"/>
  <c r="H117" i="36" s="1"/>
  <c r="H80" i="36"/>
  <c r="H71" i="36" s="1"/>
  <c r="P72" i="36"/>
  <c r="D74" i="36"/>
  <c r="P74" i="36" s="1"/>
  <c r="D119" i="36"/>
  <c r="P119" i="36" s="1"/>
  <c r="Q119" i="36" s="1"/>
  <c r="P73" i="36"/>
  <c r="Q73" i="36" s="1"/>
  <c r="O178" i="36"/>
  <c r="I122" i="36"/>
  <c r="I126" i="36" s="1"/>
  <c r="I117" i="36" s="1"/>
  <c r="I80" i="36"/>
  <c r="I71" i="36" s="1"/>
  <c r="G117" i="36"/>
  <c r="N122" i="36"/>
  <c r="N126" i="36" s="1"/>
  <c r="N117" i="36" s="1"/>
  <c r="N80" i="36"/>
  <c r="N71" i="36" s="1"/>
  <c r="L122" i="36"/>
  <c r="L126" i="36" s="1"/>
  <c r="L117" i="36" s="1"/>
  <c r="L136" i="36" s="1"/>
  <c r="L182" i="36" s="1"/>
  <c r="L80" i="36"/>
  <c r="L71" i="36" s="1"/>
  <c r="L90" i="36" s="1"/>
  <c r="N178" i="36"/>
  <c r="K178" i="36"/>
  <c r="E122" i="36"/>
  <c r="E126" i="36" s="1"/>
  <c r="E117" i="36" s="1"/>
  <c r="E80" i="36"/>
  <c r="E71" i="36" s="1"/>
  <c r="M178" i="36"/>
  <c r="F122" i="36"/>
  <c r="F126" i="36" s="1"/>
  <c r="F117" i="36" s="1"/>
  <c r="F80" i="36"/>
  <c r="F71" i="36" s="1"/>
  <c r="D124" i="36"/>
  <c r="P124" i="36" s="1"/>
  <c r="Q124" i="36" s="1"/>
  <c r="P78" i="36"/>
  <c r="Q78" i="36" s="1"/>
  <c r="D125" i="36"/>
  <c r="P125" i="36" s="1"/>
  <c r="Q125" i="36" s="1"/>
  <c r="P79" i="36"/>
  <c r="Q79" i="36" s="1"/>
  <c r="Q51" i="36"/>
  <c r="D102" i="28"/>
  <c r="D112" i="46" s="1"/>
  <c r="L103" i="13"/>
  <c r="K103" i="10"/>
  <c r="F103" i="4"/>
  <c r="J103" i="4"/>
  <c r="N103" i="4"/>
  <c r="G103" i="4"/>
  <c r="K103" i="4"/>
  <c r="O103" i="4"/>
  <c r="H103" i="4"/>
  <c r="L103" i="4"/>
  <c r="E103" i="4"/>
  <c r="I103" i="4"/>
  <c r="M103" i="4"/>
  <c r="H178" i="36"/>
  <c r="J71" i="36"/>
  <c r="J90" i="36" s="1"/>
  <c r="Q97" i="36"/>
  <c r="G71" i="36"/>
  <c r="Q38" i="36"/>
  <c r="J118" i="36"/>
  <c r="J120" i="36" s="1"/>
  <c r="J117" i="36" s="1"/>
  <c r="F178" i="36"/>
  <c r="L178" i="36"/>
  <c r="D118" i="36"/>
  <c r="Q28" i="36"/>
  <c r="Q184" i="36"/>
  <c r="Q49" i="36"/>
  <c r="O71" i="36"/>
  <c r="Q59" i="36"/>
  <c r="K71" i="36"/>
  <c r="E105" i="28"/>
  <c r="E115" i="46" s="1"/>
  <c r="K102" i="28"/>
  <c r="K112" i="46" s="1"/>
  <c r="I102" i="28"/>
  <c r="I112" i="46" s="1"/>
  <c r="E102" i="28"/>
  <c r="E112" i="46" s="1"/>
  <c r="C112" i="46"/>
  <c r="C111" i="46"/>
  <c r="C110" i="46"/>
  <c r="E98" i="28"/>
  <c r="E108" i="46" s="1"/>
  <c r="M96" i="28"/>
  <c r="M106" i="46" s="1"/>
  <c r="J96" i="28"/>
  <c r="J106" i="46" s="1"/>
  <c r="F96" i="28"/>
  <c r="F106" i="46" s="1"/>
  <c r="E96" i="28"/>
  <c r="E106" i="46" s="1"/>
  <c r="D96" i="28"/>
  <c r="D106" i="46" s="1"/>
  <c r="C106" i="46"/>
  <c r="O37" i="18"/>
  <c r="N37" i="18"/>
  <c r="M37" i="18"/>
  <c r="L37" i="18"/>
  <c r="K37" i="18"/>
  <c r="J37" i="18"/>
  <c r="I37" i="18"/>
  <c r="H37" i="18"/>
  <c r="G37" i="18"/>
  <c r="F37" i="18"/>
  <c r="E37" i="18"/>
  <c r="D37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O30" i="18"/>
  <c r="N30" i="18"/>
  <c r="M30" i="18"/>
  <c r="L30" i="18"/>
  <c r="K30" i="18"/>
  <c r="J30" i="18"/>
  <c r="I30" i="18"/>
  <c r="H30" i="18"/>
  <c r="G30" i="18"/>
  <c r="F30" i="18"/>
  <c r="E30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O26" i="18"/>
  <c r="N26" i="18"/>
  <c r="M26" i="18"/>
  <c r="L26" i="18"/>
  <c r="K26" i="18"/>
  <c r="J26" i="18"/>
  <c r="I26" i="18"/>
  <c r="H26" i="18"/>
  <c r="G26" i="18"/>
  <c r="F26" i="18"/>
  <c r="E26" i="18"/>
  <c r="O37" i="17"/>
  <c r="O60" i="17" s="1"/>
  <c r="N37" i="17"/>
  <c r="N60" i="17" s="1"/>
  <c r="M37" i="17"/>
  <c r="M60" i="17" s="1"/>
  <c r="L37" i="17"/>
  <c r="L60" i="17" s="1"/>
  <c r="K37" i="17"/>
  <c r="K60" i="17" s="1"/>
  <c r="J37" i="17"/>
  <c r="J60" i="17" s="1"/>
  <c r="I37" i="17"/>
  <c r="I60" i="17" s="1"/>
  <c r="H37" i="17"/>
  <c r="H60" i="17" s="1"/>
  <c r="G37" i="17"/>
  <c r="G60" i="17" s="1"/>
  <c r="F37" i="17"/>
  <c r="F60" i="17" s="1"/>
  <c r="E37" i="17"/>
  <c r="E60" i="17" s="1"/>
  <c r="D37" i="17"/>
  <c r="D60" i="17" s="1"/>
  <c r="O36" i="17"/>
  <c r="O59" i="17" s="1"/>
  <c r="N36" i="17"/>
  <c r="N59" i="17" s="1"/>
  <c r="M36" i="17"/>
  <c r="M59" i="17" s="1"/>
  <c r="L36" i="17"/>
  <c r="L59" i="17" s="1"/>
  <c r="K36" i="17"/>
  <c r="K59" i="17" s="1"/>
  <c r="J36" i="17"/>
  <c r="J59" i="17" s="1"/>
  <c r="I36" i="17"/>
  <c r="I59" i="17" s="1"/>
  <c r="H36" i="17"/>
  <c r="H59" i="17" s="1"/>
  <c r="G36" i="17"/>
  <c r="G59" i="17" s="1"/>
  <c r="F36" i="17"/>
  <c r="F59" i="17" s="1"/>
  <c r="E36" i="17"/>
  <c r="E59" i="17" s="1"/>
  <c r="D36" i="17"/>
  <c r="D59" i="17" s="1"/>
  <c r="O33" i="17"/>
  <c r="O56" i="17" s="1"/>
  <c r="N33" i="17"/>
  <c r="N56" i="17" s="1"/>
  <c r="M33" i="17"/>
  <c r="M56" i="17" s="1"/>
  <c r="L33" i="17"/>
  <c r="L56" i="17" s="1"/>
  <c r="K33" i="17"/>
  <c r="K56" i="17" s="1"/>
  <c r="J33" i="17"/>
  <c r="J56" i="17" s="1"/>
  <c r="I33" i="17"/>
  <c r="I56" i="17" s="1"/>
  <c r="H33" i="17"/>
  <c r="H56" i="17" s="1"/>
  <c r="G33" i="17"/>
  <c r="G56" i="17" s="1"/>
  <c r="F33" i="17"/>
  <c r="F56" i="17" s="1"/>
  <c r="E33" i="17"/>
  <c r="E56" i="17" s="1"/>
  <c r="D33" i="17"/>
  <c r="D56" i="17" s="1"/>
  <c r="O32" i="17"/>
  <c r="O55" i="17" s="1"/>
  <c r="N32" i="17"/>
  <c r="N55" i="17" s="1"/>
  <c r="M32" i="17"/>
  <c r="M55" i="17" s="1"/>
  <c r="L32" i="17"/>
  <c r="L55" i="17" s="1"/>
  <c r="K32" i="17"/>
  <c r="K55" i="17" s="1"/>
  <c r="J32" i="17"/>
  <c r="J55" i="17" s="1"/>
  <c r="I32" i="17"/>
  <c r="I55" i="17" s="1"/>
  <c r="H32" i="17"/>
  <c r="H55" i="17" s="1"/>
  <c r="G32" i="17"/>
  <c r="G55" i="17" s="1"/>
  <c r="F32" i="17"/>
  <c r="F55" i="17" s="1"/>
  <c r="E32" i="17"/>
  <c r="E55" i="17" s="1"/>
  <c r="O31" i="17"/>
  <c r="O54" i="17" s="1"/>
  <c r="N31" i="17"/>
  <c r="N54" i="17" s="1"/>
  <c r="M31" i="17"/>
  <c r="M54" i="17" s="1"/>
  <c r="L31" i="17"/>
  <c r="L54" i="17" s="1"/>
  <c r="K31" i="17"/>
  <c r="K54" i="17" s="1"/>
  <c r="J31" i="17"/>
  <c r="J54" i="17" s="1"/>
  <c r="I31" i="17"/>
  <c r="I54" i="17" s="1"/>
  <c r="H31" i="17"/>
  <c r="H54" i="17" s="1"/>
  <c r="G31" i="17"/>
  <c r="G54" i="17" s="1"/>
  <c r="F31" i="17"/>
  <c r="F54" i="17" s="1"/>
  <c r="E31" i="17"/>
  <c r="E54" i="17" s="1"/>
  <c r="D31" i="17"/>
  <c r="D54" i="17" s="1"/>
  <c r="O29" i="17"/>
  <c r="O52" i="17" s="1"/>
  <c r="N29" i="17"/>
  <c r="N52" i="17" s="1"/>
  <c r="M29" i="17"/>
  <c r="M52" i="17" s="1"/>
  <c r="L29" i="17"/>
  <c r="L52" i="17" s="1"/>
  <c r="K29" i="17"/>
  <c r="K52" i="17" s="1"/>
  <c r="J29" i="17"/>
  <c r="J52" i="17" s="1"/>
  <c r="I29" i="17"/>
  <c r="I52" i="17" s="1"/>
  <c r="H29" i="17"/>
  <c r="H52" i="17" s="1"/>
  <c r="G29" i="17"/>
  <c r="G52" i="17" s="1"/>
  <c r="F29" i="17"/>
  <c r="F52" i="17" s="1"/>
  <c r="E29" i="17"/>
  <c r="E52" i="17" s="1"/>
  <c r="D29" i="17"/>
  <c r="D52" i="17" s="1"/>
  <c r="O27" i="17"/>
  <c r="O50" i="17" s="1"/>
  <c r="N27" i="17"/>
  <c r="N50" i="17" s="1"/>
  <c r="M27" i="17"/>
  <c r="M50" i="17" s="1"/>
  <c r="L27" i="17"/>
  <c r="L50" i="17" s="1"/>
  <c r="K27" i="17"/>
  <c r="K50" i="17" s="1"/>
  <c r="J27" i="17"/>
  <c r="J50" i="17" s="1"/>
  <c r="I27" i="17"/>
  <c r="I50" i="17" s="1"/>
  <c r="H27" i="17"/>
  <c r="H50" i="17" s="1"/>
  <c r="G27" i="17"/>
  <c r="G50" i="17" s="1"/>
  <c r="F27" i="17"/>
  <c r="F50" i="17" s="1"/>
  <c r="E27" i="17"/>
  <c r="E50" i="17" s="1"/>
  <c r="D27" i="17"/>
  <c r="D50" i="17" s="1"/>
  <c r="O26" i="17"/>
  <c r="O49" i="17" s="1"/>
  <c r="O51" i="17" s="1"/>
  <c r="N26" i="17"/>
  <c r="N49" i="17" s="1"/>
  <c r="N51" i="17" s="1"/>
  <c r="M26" i="17"/>
  <c r="M49" i="17" s="1"/>
  <c r="M51" i="17" s="1"/>
  <c r="L26" i="17"/>
  <c r="L49" i="17" s="1"/>
  <c r="L51" i="17" s="1"/>
  <c r="K26" i="17"/>
  <c r="K49" i="17" s="1"/>
  <c r="K51" i="17" s="1"/>
  <c r="J26" i="17"/>
  <c r="J49" i="17" s="1"/>
  <c r="J51" i="17" s="1"/>
  <c r="I26" i="17"/>
  <c r="I49" i="17" s="1"/>
  <c r="I51" i="17" s="1"/>
  <c r="H26" i="17"/>
  <c r="H49" i="17" s="1"/>
  <c r="H51" i="17" s="1"/>
  <c r="G26" i="17"/>
  <c r="G49" i="17" s="1"/>
  <c r="G51" i="17" s="1"/>
  <c r="F26" i="17"/>
  <c r="F49" i="17" s="1"/>
  <c r="F51" i="17" s="1"/>
  <c r="E26" i="17"/>
  <c r="E49" i="17" s="1"/>
  <c r="E51" i="17" s="1"/>
  <c r="D26" i="17"/>
  <c r="D49" i="17" s="1"/>
  <c r="D51" i="17" s="1"/>
  <c r="F32" i="15"/>
  <c r="F55" i="15" s="1"/>
  <c r="O37" i="15"/>
  <c r="O60" i="15" s="1"/>
  <c r="N37" i="15"/>
  <c r="N60" i="15" s="1"/>
  <c r="M37" i="15"/>
  <c r="M60" i="15" s="1"/>
  <c r="L37" i="15"/>
  <c r="L60" i="15" s="1"/>
  <c r="K37" i="15"/>
  <c r="K60" i="15" s="1"/>
  <c r="J37" i="15"/>
  <c r="J60" i="15" s="1"/>
  <c r="I37" i="15"/>
  <c r="I60" i="15" s="1"/>
  <c r="H37" i="15"/>
  <c r="H60" i="15" s="1"/>
  <c r="G37" i="15"/>
  <c r="G60" i="15" s="1"/>
  <c r="F37" i="15"/>
  <c r="F60" i="15" s="1"/>
  <c r="E37" i="15"/>
  <c r="E60" i="15" s="1"/>
  <c r="D37" i="15"/>
  <c r="D60" i="15" s="1"/>
  <c r="O36" i="15"/>
  <c r="O59" i="15" s="1"/>
  <c r="N36" i="15"/>
  <c r="N59" i="15" s="1"/>
  <c r="M36" i="15"/>
  <c r="M59" i="15" s="1"/>
  <c r="L36" i="15"/>
  <c r="L59" i="15" s="1"/>
  <c r="K36" i="15"/>
  <c r="K59" i="15" s="1"/>
  <c r="J36" i="15"/>
  <c r="J59" i="15" s="1"/>
  <c r="I36" i="15"/>
  <c r="I59" i="15" s="1"/>
  <c r="H36" i="15"/>
  <c r="H59" i="15" s="1"/>
  <c r="G36" i="15"/>
  <c r="G59" i="15" s="1"/>
  <c r="F36" i="15"/>
  <c r="F59" i="15" s="1"/>
  <c r="E36" i="15"/>
  <c r="E59" i="15" s="1"/>
  <c r="D36" i="15"/>
  <c r="D59" i="15" s="1"/>
  <c r="O33" i="15"/>
  <c r="O56" i="15" s="1"/>
  <c r="N33" i="15"/>
  <c r="N56" i="15" s="1"/>
  <c r="M33" i="15"/>
  <c r="M56" i="15" s="1"/>
  <c r="L33" i="15"/>
  <c r="L56" i="15" s="1"/>
  <c r="K33" i="15"/>
  <c r="K56" i="15" s="1"/>
  <c r="J33" i="15"/>
  <c r="J56" i="15" s="1"/>
  <c r="I33" i="15"/>
  <c r="I56" i="15" s="1"/>
  <c r="H33" i="15"/>
  <c r="H56" i="15" s="1"/>
  <c r="G33" i="15"/>
  <c r="G56" i="15" s="1"/>
  <c r="F33" i="15"/>
  <c r="F56" i="15" s="1"/>
  <c r="E33" i="15"/>
  <c r="E56" i="15" s="1"/>
  <c r="D33" i="15"/>
  <c r="D56" i="15" s="1"/>
  <c r="O32" i="15"/>
  <c r="O55" i="15" s="1"/>
  <c r="N32" i="15"/>
  <c r="N55" i="15" s="1"/>
  <c r="M32" i="15"/>
  <c r="M55" i="15" s="1"/>
  <c r="L32" i="15"/>
  <c r="L55" i="15" s="1"/>
  <c r="K32" i="15"/>
  <c r="K55" i="15" s="1"/>
  <c r="J32" i="15"/>
  <c r="J55" i="15" s="1"/>
  <c r="I32" i="15"/>
  <c r="I55" i="15" s="1"/>
  <c r="H32" i="15"/>
  <c r="H55" i="15" s="1"/>
  <c r="G32" i="15"/>
  <c r="G55" i="15" s="1"/>
  <c r="E32" i="15"/>
  <c r="E55" i="15" s="1"/>
  <c r="O31" i="15"/>
  <c r="O54" i="15" s="1"/>
  <c r="N31" i="15"/>
  <c r="N54" i="15" s="1"/>
  <c r="M31" i="15"/>
  <c r="M54" i="15" s="1"/>
  <c r="L31" i="15"/>
  <c r="L54" i="15" s="1"/>
  <c r="K31" i="15"/>
  <c r="K54" i="15" s="1"/>
  <c r="J31" i="15"/>
  <c r="J54" i="15" s="1"/>
  <c r="I31" i="15"/>
  <c r="I54" i="15" s="1"/>
  <c r="H31" i="15"/>
  <c r="H54" i="15" s="1"/>
  <c r="G31" i="15"/>
  <c r="G54" i="15" s="1"/>
  <c r="F31" i="15"/>
  <c r="F54" i="15" s="1"/>
  <c r="E31" i="15"/>
  <c r="E54" i="15" s="1"/>
  <c r="D31" i="15"/>
  <c r="D54" i="15" s="1"/>
  <c r="O29" i="15"/>
  <c r="O52" i="15" s="1"/>
  <c r="N29" i="15"/>
  <c r="N52" i="15" s="1"/>
  <c r="M29" i="15"/>
  <c r="M52" i="15" s="1"/>
  <c r="L29" i="15"/>
  <c r="L52" i="15" s="1"/>
  <c r="K29" i="15"/>
  <c r="K52" i="15" s="1"/>
  <c r="J29" i="15"/>
  <c r="J52" i="15" s="1"/>
  <c r="I29" i="15"/>
  <c r="I52" i="15" s="1"/>
  <c r="H29" i="15"/>
  <c r="H52" i="15" s="1"/>
  <c r="G29" i="15"/>
  <c r="G52" i="15" s="1"/>
  <c r="F29" i="15"/>
  <c r="F52" i="15" s="1"/>
  <c r="E29" i="15"/>
  <c r="E52" i="15" s="1"/>
  <c r="D29" i="15"/>
  <c r="D52" i="15" s="1"/>
  <c r="O27" i="15"/>
  <c r="O50" i="15" s="1"/>
  <c r="N27" i="15"/>
  <c r="N50" i="15" s="1"/>
  <c r="M27" i="15"/>
  <c r="M50" i="15" s="1"/>
  <c r="L27" i="15"/>
  <c r="L50" i="15" s="1"/>
  <c r="K27" i="15"/>
  <c r="K50" i="15" s="1"/>
  <c r="J27" i="15"/>
  <c r="J50" i="15" s="1"/>
  <c r="I27" i="15"/>
  <c r="I50" i="15" s="1"/>
  <c r="H27" i="15"/>
  <c r="H50" i="15" s="1"/>
  <c r="G27" i="15"/>
  <c r="G50" i="15" s="1"/>
  <c r="F27" i="15"/>
  <c r="F50" i="15" s="1"/>
  <c r="E27" i="15"/>
  <c r="E50" i="15" s="1"/>
  <c r="D27" i="15"/>
  <c r="D50" i="15" s="1"/>
  <c r="O26" i="15"/>
  <c r="O49" i="15" s="1"/>
  <c r="O51" i="15" s="1"/>
  <c r="N26" i="15"/>
  <c r="N49" i="15" s="1"/>
  <c r="N51" i="15" s="1"/>
  <c r="M26" i="15"/>
  <c r="M49" i="15" s="1"/>
  <c r="M51" i="15" s="1"/>
  <c r="L26" i="15"/>
  <c r="L49" i="15" s="1"/>
  <c r="L51" i="15" s="1"/>
  <c r="K26" i="15"/>
  <c r="K49" i="15" s="1"/>
  <c r="K51" i="15" s="1"/>
  <c r="J26" i="15"/>
  <c r="J49" i="15" s="1"/>
  <c r="J51" i="15" s="1"/>
  <c r="I26" i="15"/>
  <c r="I49" i="15" s="1"/>
  <c r="I51" i="15" s="1"/>
  <c r="H26" i="15"/>
  <c r="H49" i="15" s="1"/>
  <c r="H51" i="15" s="1"/>
  <c r="G26" i="15"/>
  <c r="G49" i="15" s="1"/>
  <c r="G51" i="15" s="1"/>
  <c r="F26" i="15"/>
  <c r="F49" i="15" s="1"/>
  <c r="F51" i="15" s="1"/>
  <c r="E26" i="15"/>
  <c r="E49" i="15" s="1"/>
  <c r="E51" i="15" s="1"/>
  <c r="O37" i="14"/>
  <c r="O60" i="14" s="1"/>
  <c r="N37" i="14"/>
  <c r="N60" i="14" s="1"/>
  <c r="M37" i="14"/>
  <c r="M60" i="14" s="1"/>
  <c r="L37" i="14"/>
  <c r="L60" i="14" s="1"/>
  <c r="K37" i="14"/>
  <c r="K60" i="14" s="1"/>
  <c r="J37" i="14"/>
  <c r="J60" i="14" s="1"/>
  <c r="I37" i="14"/>
  <c r="I60" i="14" s="1"/>
  <c r="H37" i="14"/>
  <c r="H60" i="14" s="1"/>
  <c r="G37" i="14"/>
  <c r="G60" i="14" s="1"/>
  <c r="F37" i="14"/>
  <c r="F60" i="14" s="1"/>
  <c r="E37" i="14"/>
  <c r="E60" i="14" s="1"/>
  <c r="D37" i="14"/>
  <c r="D60" i="14" s="1"/>
  <c r="O36" i="14"/>
  <c r="O59" i="14" s="1"/>
  <c r="N36" i="14"/>
  <c r="N59" i="14" s="1"/>
  <c r="M36" i="14"/>
  <c r="M59" i="14" s="1"/>
  <c r="L36" i="14"/>
  <c r="L59" i="14" s="1"/>
  <c r="K36" i="14"/>
  <c r="K59" i="14" s="1"/>
  <c r="J36" i="14"/>
  <c r="J59" i="14" s="1"/>
  <c r="I36" i="14"/>
  <c r="I59" i="14" s="1"/>
  <c r="H36" i="14"/>
  <c r="H59" i="14" s="1"/>
  <c r="G36" i="14"/>
  <c r="G59" i="14" s="1"/>
  <c r="F36" i="14"/>
  <c r="F59" i="14" s="1"/>
  <c r="E36" i="14"/>
  <c r="E59" i="14" s="1"/>
  <c r="D36" i="14"/>
  <c r="D59" i="14" s="1"/>
  <c r="O33" i="14"/>
  <c r="O56" i="14" s="1"/>
  <c r="N33" i="14"/>
  <c r="N56" i="14" s="1"/>
  <c r="M33" i="14"/>
  <c r="M56" i="14" s="1"/>
  <c r="L33" i="14"/>
  <c r="L56" i="14" s="1"/>
  <c r="K33" i="14"/>
  <c r="K56" i="14" s="1"/>
  <c r="J33" i="14"/>
  <c r="J56" i="14" s="1"/>
  <c r="I33" i="14"/>
  <c r="I56" i="14" s="1"/>
  <c r="H33" i="14"/>
  <c r="H56" i="14" s="1"/>
  <c r="G33" i="14"/>
  <c r="G56" i="14" s="1"/>
  <c r="F33" i="14"/>
  <c r="F56" i="14" s="1"/>
  <c r="E33" i="14"/>
  <c r="E56" i="14" s="1"/>
  <c r="D33" i="14"/>
  <c r="D56" i="14" s="1"/>
  <c r="O32" i="14"/>
  <c r="O55" i="14" s="1"/>
  <c r="N32" i="14"/>
  <c r="N55" i="14" s="1"/>
  <c r="M32" i="14"/>
  <c r="M55" i="14" s="1"/>
  <c r="L32" i="14"/>
  <c r="L55" i="14" s="1"/>
  <c r="K32" i="14"/>
  <c r="K55" i="14" s="1"/>
  <c r="J32" i="14"/>
  <c r="J55" i="14" s="1"/>
  <c r="I32" i="14"/>
  <c r="I55" i="14" s="1"/>
  <c r="H32" i="14"/>
  <c r="H55" i="14" s="1"/>
  <c r="G32" i="14"/>
  <c r="G55" i="14" s="1"/>
  <c r="F32" i="14"/>
  <c r="F55" i="14" s="1"/>
  <c r="E32" i="14"/>
  <c r="E55" i="14" s="1"/>
  <c r="D32" i="14"/>
  <c r="D55" i="14" s="1"/>
  <c r="O31" i="14"/>
  <c r="O54" i="14" s="1"/>
  <c r="N31" i="14"/>
  <c r="N54" i="14" s="1"/>
  <c r="M31" i="14"/>
  <c r="M54" i="14" s="1"/>
  <c r="L31" i="14"/>
  <c r="L54" i="14" s="1"/>
  <c r="K31" i="14"/>
  <c r="K54" i="14" s="1"/>
  <c r="J31" i="14"/>
  <c r="J54" i="14" s="1"/>
  <c r="I31" i="14"/>
  <c r="I54" i="14" s="1"/>
  <c r="H31" i="14"/>
  <c r="H54" i="14" s="1"/>
  <c r="G31" i="14"/>
  <c r="G54" i="14" s="1"/>
  <c r="F31" i="14"/>
  <c r="F54" i="14" s="1"/>
  <c r="E31" i="14"/>
  <c r="E54" i="14" s="1"/>
  <c r="D31" i="14"/>
  <c r="D54" i="14" s="1"/>
  <c r="O30" i="14"/>
  <c r="O53" i="14" s="1"/>
  <c r="O57" i="14" s="1"/>
  <c r="N30" i="14"/>
  <c r="N53" i="14" s="1"/>
  <c r="N57" i="14" s="1"/>
  <c r="M30" i="14"/>
  <c r="M53" i="14" s="1"/>
  <c r="M57" i="14" s="1"/>
  <c r="L30" i="14"/>
  <c r="L53" i="14" s="1"/>
  <c r="L57" i="14" s="1"/>
  <c r="K30" i="14"/>
  <c r="K53" i="14" s="1"/>
  <c r="K57" i="14" s="1"/>
  <c r="J30" i="14"/>
  <c r="J53" i="14" s="1"/>
  <c r="J57" i="14" s="1"/>
  <c r="I30" i="14"/>
  <c r="I53" i="14" s="1"/>
  <c r="I57" i="14" s="1"/>
  <c r="H30" i="14"/>
  <c r="H53" i="14" s="1"/>
  <c r="G30" i="14"/>
  <c r="G53" i="14" s="1"/>
  <c r="F30" i="14"/>
  <c r="F53" i="14" s="1"/>
  <c r="F57" i="14" s="1"/>
  <c r="O29" i="14"/>
  <c r="O52" i="14" s="1"/>
  <c r="N29" i="14"/>
  <c r="N52" i="14" s="1"/>
  <c r="M29" i="14"/>
  <c r="M52" i="14" s="1"/>
  <c r="L29" i="14"/>
  <c r="L52" i="14" s="1"/>
  <c r="K29" i="14"/>
  <c r="K52" i="14" s="1"/>
  <c r="J29" i="14"/>
  <c r="J52" i="14" s="1"/>
  <c r="I29" i="14"/>
  <c r="I52" i="14" s="1"/>
  <c r="H29" i="14"/>
  <c r="H52" i="14" s="1"/>
  <c r="G29" i="14"/>
  <c r="G52" i="14" s="1"/>
  <c r="F29" i="14"/>
  <c r="F52" i="14" s="1"/>
  <c r="E29" i="14"/>
  <c r="E52" i="14" s="1"/>
  <c r="D29" i="14"/>
  <c r="D52" i="14" s="1"/>
  <c r="O27" i="14"/>
  <c r="O50" i="14" s="1"/>
  <c r="N27" i="14"/>
  <c r="N50" i="14" s="1"/>
  <c r="M27" i="14"/>
  <c r="M50" i="14" s="1"/>
  <c r="L27" i="14"/>
  <c r="L50" i="14" s="1"/>
  <c r="K27" i="14"/>
  <c r="K50" i="14" s="1"/>
  <c r="J27" i="14"/>
  <c r="J50" i="14" s="1"/>
  <c r="I27" i="14"/>
  <c r="I50" i="14" s="1"/>
  <c r="H27" i="14"/>
  <c r="H50" i="14" s="1"/>
  <c r="G27" i="14"/>
  <c r="G50" i="14" s="1"/>
  <c r="F27" i="14"/>
  <c r="F50" i="14" s="1"/>
  <c r="E27" i="14"/>
  <c r="E50" i="14" s="1"/>
  <c r="D27" i="14"/>
  <c r="D50" i="14" s="1"/>
  <c r="O26" i="14"/>
  <c r="O49" i="14" s="1"/>
  <c r="O51" i="14" s="1"/>
  <c r="N26" i="14"/>
  <c r="N49" i="14" s="1"/>
  <c r="N51" i="14" s="1"/>
  <c r="M26" i="14"/>
  <c r="M49" i="14" s="1"/>
  <c r="M51" i="14" s="1"/>
  <c r="L26" i="14"/>
  <c r="L49" i="14" s="1"/>
  <c r="L51" i="14" s="1"/>
  <c r="K26" i="14"/>
  <c r="K49" i="14" s="1"/>
  <c r="K51" i="14" s="1"/>
  <c r="J26" i="14"/>
  <c r="J49" i="14" s="1"/>
  <c r="J51" i="14" s="1"/>
  <c r="I26" i="14"/>
  <c r="I49" i="14" s="1"/>
  <c r="I51" i="14" s="1"/>
  <c r="H26" i="14"/>
  <c r="H49" i="14" s="1"/>
  <c r="H51" i="14" s="1"/>
  <c r="G26" i="14"/>
  <c r="G49" i="14" s="1"/>
  <c r="G51" i="14" s="1"/>
  <c r="F26" i="14"/>
  <c r="F49" i="14" s="1"/>
  <c r="F51" i="14" s="1"/>
  <c r="E26" i="14"/>
  <c r="E49" i="14" s="1"/>
  <c r="E51" i="14" s="1"/>
  <c r="O37" i="13"/>
  <c r="O60" i="13" s="1"/>
  <c r="N37" i="13"/>
  <c r="N60" i="13" s="1"/>
  <c r="M37" i="13"/>
  <c r="M60" i="13" s="1"/>
  <c r="L37" i="13"/>
  <c r="L60" i="13" s="1"/>
  <c r="K37" i="13"/>
  <c r="K60" i="13" s="1"/>
  <c r="J37" i="13"/>
  <c r="J60" i="13" s="1"/>
  <c r="I37" i="13"/>
  <c r="I60" i="13" s="1"/>
  <c r="H37" i="13"/>
  <c r="H60" i="13" s="1"/>
  <c r="G37" i="13"/>
  <c r="G60" i="13" s="1"/>
  <c r="F37" i="13"/>
  <c r="F60" i="13" s="1"/>
  <c r="E37" i="13"/>
  <c r="E60" i="13" s="1"/>
  <c r="D37" i="13"/>
  <c r="D60" i="13" s="1"/>
  <c r="O36" i="13"/>
  <c r="O59" i="13" s="1"/>
  <c r="N36" i="13"/>
  <c r="N59" i="13" s="1"/>
  <c r="M36" i="13"/>
  <c r="M59" i="13" s="1"/>
  <c r="L36" i="13"/>
  <c r="L59" i="13" s="1"/>
  <c r="K36" i="13"/>
  <c r="K59" i="13" s="1"/>
  <c r="J36" i="13"/>
  <c r="J59" i="13" s="1"/>
  <c r="I36" i="13"/>
  <c r="I59" i="13" s="1"/>
  <c r="H36" i="13"/>
  <c r="H59" i="13" s="1"/>
  <c r="G36" i="13"/>
  <c r="G59" i="13" s="1"/>
  <c r="F36" i="13"/>
  <c r="F59" i="13" s="1"/>
  <c r="E36" i="13"/>
  <c r="E59" i="13" s="1"/>
  <c r="D36" i="13"/>
  <c r="D59" i="13" s="1"/>
  <c r="O33" i="13"/>
  <c r="O56" i="13" s="1"/>
  <c r="N33" i="13"/>
  <c r="N56" i="13" s="1"/>
  <c r="M33" i="13"/>
  <c r="M56" i="13" s="1"/>
  <c r="L33" i="13"/>
  <c r="L56" i="13" s="1"/>
  <c r="K33" i="13"/>
  <c r="K56" i="13" s="1"/>
  <c r="J33" i="13"/>
  <c r="J56" i="13" s="1"/>
  <c r="I33" i="13"/>
  <c r="I56" i="13" s="1"/>
  <c r="H33" i="13"/>
  <c r="H56" i="13" s="1"/>
  <c r="G33" i="13"/>
  <c r="G56" i="13" s="1"/>
  <c r="F33" i="13"/>
  <c r="F56" i="13" s="1"/>
  <c r="E33" i="13"/>
  <c r="E56" i="13" s="1"/>
  <c r="D33" i="13"/>
  <c r="D56" i="13" s="1"/>
  <c r="O32" i="13"/>
  <c r="O55" i="13" s="1"/>
  <c r="N32" i="13"/>
  <c r="N55" i="13" s="1"/>
  <c r="M32" i="13"/>
  <c r="M55" i="13" s="1"/>
  <c r="L32" i="13"/>
  <c r="L55" i="13" s="1"/>
  <c r="K32" i="13"/>
  <c r="K55" i="13" s="1"/>
  <c r="J32" i="13"/>
  <c r="J55" i="13" s="1"/>
  <c r="I32" i="13"/>
  <c r="I55" i="13" s="1"/>
  <c r="H32" i="13"/>
  <c r="H55" i="13" s="1"/>
  <c r="G32" i="13"/>
  <c r="G55" i="13" s="1"/>
  <c r="F32" i="13"/>
  <c r="F55" i="13" s="1"/>
  <c r="E32" i="13"/>
  <c r="E55" i="13" s="1"/>
  <c r="D32" i="13"/>
  <c r="D55" i="13" s="1"/>
  <c r="O31" i="13"/>
  <c r="O54" i="13" s="1"/>
  <c r="N31" i="13"/>
  <c r="N54" i="13" s="1"/>
  <c r="M31" i="13"/>
  <c r="M54" i="13" s="1"/>
  <c r="L31" i="13"/>
  <c r="L54" i="13" s="1"/>
  <c r="K31" i="13"/>
  <c r="K54" i="13" s="1"/>
  <c r="J31" i="13"/>
  <c r="J54" i="13" s="1"/>
  <c r="I31" i="13"/>
  <c r="I54" i="13" s="1"/>
  <c r="H31" i="13"/>
  <c r="H54" i="13" s="1"/>
  <c r="G31" i="13"/>
  <c r="G54" i="13" s="1"/>
  <c r="F31" i="13"/>
  <c r="F54" i="13" s="1"/>
  <c r="E31" i="13"/>
  <c r="E54" i="13" s="1"/>
  <c r="D31" i="13"/>
  <c r="D54" i="13" s="1"/>
  <c r="O30" i="13"/>
  <c r="O53" i="13" s="1"/>
  <c r="O57" i="13" s="1"/>
  <c r="N30" i="13"/>
  <c r="N53" i="13" s="1"/>
  <c r="N57" i="13" s="1"/>
  <c r="M30" i="13"/>
  <c r="M53" i="13" s="1"/>
  <c r="L30" i="13"/>
  <c r="L53" i="13" s="1"/>
  <c r="L57" i="13" s="1"/>
  <c r="K30" i="13"/>
  <c r="K53" i="13" s="1"/>
  <c r="J30" i="13"/>
  <c r="J53" i="13" s="1"/>
  <c r="J57" i="13" s="1"/>
  <c r="I30" i="13"/>
  <c r="I53" i="13" s="1"/>
  <c r="H30" i="13"/>
  <c r="H53" i="13" s="1"/>
  <c r="G30" i="13"/>
  <c r="G53" i="13" s="1"/>
  <c r="G57" i="13" s="1"/>
  <c r="F30" i="13"/>
  <c r="F53" i="13" s="1"/>
  <c r="F57" i="13" s="1"/>
  <c r="F48" i="13" s="1"/>
  <c r="E30" i="13"/>
  <c r="E53" i="13" s="1"/>
  <c r="E57" i="13" s="1"/>
  <c r="E48" i="13" s="1"/>
  <c r="O29" i="13"/>
  <c r="O52" i="13" s="1"/>
  <c r="N29" i="13"/>
  <c r="N52" i="13" s="1"/>
  <c r="M29" i="13"/>
  <c r="M52" i="13" s="1"/>
  <c r="L29" i="13"/>
  <c r="L52" i="13" s="1"/>
  <c r="K29" i="13"/>
  <c r="K52" i="13" s="1"/>
  <c r="J29" i="13"/>
  <c r="J52" i="13" s="1"/>
  <c r="I29" i="13"/>
  <c r="I52" i="13" s="1"/>
  <c r="H29" i="13"/>
  <c r="H52" i="13" s="1"/>
  <c r="G29" i="13"/>
  <c r="G52" i="13" s="1"/>
  <c r="F29" i="13"/>
  <c r="F52" i="13" s="1"/>
  <c r="E29" i="13"/>
  <c r="E52" i="13" s="1"/>
  <c r="D29" i="13"/>
  <c r="D52" i="13" s="1"/>
  <c r="O27" i="13"/>
  <c r="O50" i="13" s="1"/>
  <c r="N27" i="13"/>
  <c r="N50" i="13" s="1"/>
  <c r="M27" i="13"/>
  <c r="M50" i="13" s="1"/>
  <c r="L27" i="13"/>
  <c r="L50" i="13" s="1"/>
  <c r="K27" i="13"/>
  <c r="K50" i="13" s="1"/>
  <c r="J27" i="13"/>
  <c r="J50" i="13" s="1"/>
  <c r="I27" i="13"/>
  <c r="I50" i="13" s="1"/>
  <c r="H27" i="13"/>
  <c r="H50" i="13" s="1"/>
  <c r="G27" i="13"/>
  <c r="G50" i="13" s="1"/>
  <c r="F27" i="13"/>
  <c r="F50" i="13" s="1"/>
  <c r="E27" i="13"/>
  <c r="E50" i="13" s="1"/>
  <c r="D27" i="13"/>
  <c r="D50" i="13" s="1"/>
  <c r="O26" i="13"/>
  <c r="O49" i="13" s="1"/>
  <c r="O51" i="13" s="1"/>
  <c r="N26" i="13"/>
  <c r="N49" i="13" s="1"/>
  <c r="M26" i="13"/>
  <c r="M49" i="13" s="1"/>
  <c r="M51" i="13" s="1"/>
  <c r="L26" i="13"/>
  <c r="L49" i="13" s="1"/>
  <c r="L51" i="13" s="1"/>
  <c r="K26" i="13"/>
  <c r="K49" i="13" s="1"/>
  <c r="K51" i="13" s="1"/>
  <c r="J26" i="13"/>
  <c r="J49" i="13" s="1"/>
  <c r="J51" i="13" s="1"/>
  <c r="I26" i="13"/>
  <c r="I49" i="13" s="1"/>
  <c r="I51" i="13" s="1"/>
  <c r="H26" i="13"/>
  <c r="H49" i="13" s="1"/>
  <c r="H51" i="13" s="1"/>
  <c r="G26" i="13"/>
  <c r="G49" i="13" s="1"/>
  <c r="G51" i="13" s="1"/>
  <c r="F26" i="13"/>
  <c r="F49" i="13" s="1"/>
  <c r="F51" i="13" s="1"/>
  <c r="E26" i="13"/>
  <c r="E49" i="13" s="1"/>
  <c r="E51" i="13" s="1"/>
  <c r="O37" i="12"/>
  <c r="O60" i="12" s="1"/>
  <c r="N37" i="12"/>
  <c r="N60" i="12" s="1"/>
  <c r="M37" i="12"/>
  <c r="M60" i="12" s="1"/>
  <c r="L37" i="12"/>
  <c r="L60" i="12" s="1"/>
  <c r="K37" i="12"/>
  <c r="K60" i="12" s="1"/>
  <c r="J37" i="12"/>
  <c r="J60" i="12" s="1"/>
  <c r="I37" i="12"/>
  <c r="I60" i="12" s="1"/>
  <c r="H37" i="12"/>
  <c r="H60" i="12" s="1"/>
  <c r="G37" i="12"/>
  <c r="G60" i="12" s="1"/>
  <c r="F37" i="12"/>
  <c r="F60" i="12" s="1"/>
  <c r="E37" i="12"/>
  <c r="E60" i="12" s="1"/>
  <c r="D37" i="12"/>
  <c r="D60" i="12" s="1"/>
  <c r="O36" i="12"/>
  <c r="O59" i="12" s="1"/>
  <c r="N36" i="12"/>
  <c r="N59" i="12" s="1"/>
  <c r="M36" i="12"/>
  <c r="M59" i="12" s="1"/>
  <c r="L36" i="12"/>
  <c r="L59" i="12" s="1"/>
  <c r="K36" i="12"/>
  <c r="K59" i="12" s="1"/>
  <c r="J36" i="12"/>
  <c r="J59" i="12" s="1"/>
  <c r="I36" i="12"/>
  <c r="I59" i="12" s="1"/>
  <c r="H36" i="12"/>
  <c r="H59" i="12" s="1"/>
  <c r="G36" i="12"/>
  <c r="G59" i="12" s="1"/>
  <c r="F36" i="12"/>
  <c r="F59" i="12" s="1"/>
  <c r="E36" i="12"/>
  <c r="E59" i="12" s="1"/>
  <c r="D36" i="12"/>
  <c r="D59" i="12" s="1"/>
  <c r="O33" i="12"/>
  <c r="O56" i="12" s="1"/>
  <c r="N33" i="12"/>
  <c r="N56" i="12" s="1"/>
  <c r="M33" i="12"/>
  <c r="M56" i="12" s="1"/>
  <c r="L33" i="12"/>
  <c r="L56" i="12" s="1"/>
  <c r="K33" i="12"/>
  <c r="K56" i="12" s="1"/>
  <c r="J33" i="12"/>
  <c r="J56" i="12" s="1"/>
  <c r="I33" i="12"/>
  <c r="I56" i="12" s="1"/>
  <c r="H33" i="12"/>
  <c r="H56" i="12" s="1"/>
  <c r="G33" i="12"/>
  <c r="G56" i="12" s="1"/>
  <c r="F33" i="12"/>
  <c r="F56" i="12" s="1"/>
  <c r="E33" i="12"/>
  <c r="E56" i="12" s="1"/>
  <c r="D33" i="12"/>
  <c r="D56" i="12" s="1"/>
  <c r="O32" i="12"/>
  <c r="O55" i="12" s="1"/>
  <c r="N32" i="12"/>
  <c r="N55" i="12" s="1"/>
  <c r="M32" i="12"/>
  <c r="M55" i="12" s="1"/>
  <c r="L32" i="12"/>
  <c r="L55" i="12" s="1"/>
  <c r="K32" i="12"/>
  <c r="K55" i="12" s="1"/>
  <c r="J32" i="12"/>
  <c r="J55" i="12" s="1"/>
  <c r="I32" i="12"/>
  <c r="I55" i="12" s="1"/>
  <c r="H32" i="12"/>
  <c r="H55" i="12" s="1"/>
  <c r="G32" i="12"/>
  <c r="G55" i="12" s="1"/>
  <c r="F32" i="12"/>
  <c r="F55" i="12" s="1"/>
  <c r="E32" i="12"/>
  <c r="E55" i="12" s="1"/>
  <c r="D32" i="12"/>
  <c r="D55" i="12" s="1"/>
  <c r="O31" i="12"/>
  <c r="O54" i="12" s="1"/>
  <c r="N31" i="12"/>
  <c r="N54" i="12" s="1"/>
  <c r="M31" i="12"/>
  <c r="M54" i="12" s="1"/>
  <c r="L31" i="12"/>
  <c r="L54" i="12" s="1"/>
  <c r="K31" i="12"/>
  <c r="K54" i="12" s="1"/>
  <c r="J31" i="12"/>
  <c r="J54" i="12" s="1"/>
  <c r="I31" i="12"/>
  <c r="I54" i="12" s="1"/>
  <c r="H31" i="12"/>
  <c r="H54" i="12" s="1"/>
  <c r="G31" i="12"/>
  <c r="G54" i="12" s="1"/>
  <c r="F31" i="12"/>
  <c r="F54" i="12" s="1"/>
  <c r="E31" i="12"/>
  <c r="E54" i="12" s="1"/>
  <c r="D31" i="12"/>
  <c r="D54" i="12" s="1"/>
  <c r="O29" i="12"/>
  <c r="O52" i="12" s="1"/>
  <c r="N29" i="12"/>
  <c r="N52" i="12" s="1"/>
  <c r="M29" i="12"/>
  <c r="M52" i="12" s="1"/>
  <c r="L29" i="12"/>
  <c r="L52" i="12" s="1"/>
  <c r="K29" i="12"/>
  <c r="K52" i="12" s="1"/>
  <c r="J29" i="12"/>
  <c r="J52" i="12" s="1"/>
  <c r="I29" i="12"/>
  <c r="I52" i="12" s="1"/>
  <c r="H29" i="12"/>
  <c r="H52" i="12" s="1"/>
  <c r="G29" i="12"/>
  <c r="G52" i="12" s="1"/>
  <c r="F29" i="12"/>
  <c r="F52" i="12" s="1"/>
  <c r="E29" i="12"/>
  <c r="E52" i="12" s="1"/>
  <c r="D29" i="12"/>
  <c r="D52" i="12" s="1"/>
  <c r="O27" i="12"/>
  <c r="O50" i="12" s="1"/>
  <c r="N27" i="12"/>
  <c r="N50" i="12" s="1"/>
  <c r="M27" i="12"/>
  <c r="M50" i="12" s="1"/>
  <c r="L27" i="12"/>
  <c r="L50" i="12" s="1"/>
  <c r="K27" i="12"/>
  <c r="K50" i="12" s="1"/>
  <c r="J27" i="12"/>
  <c r="J50" i="12" s="1"/>
  <c r="I27" i="12"/>
  <c r="I50" i="12" s="1"/>
  <c r="H27" i="12"/>
  <c r="H50" i="12" s="1"/>
  <c r="G27" i="12"/>
  <c r="G50" i="12" s="1"/>
  <c r="F27" i="12"/>
  <c r="F50" i="12" s="1"/>
  <c r="E27" i="12"/>
  <c r="E50" i="12" s="1"/>
  <c r="D27" i="12"/>
  <c r="D50" i="12" s="1"/>
  <c r="D51" i="12" s="1"/>
  <c r="O26" i="12"/>
  <c r="O49" i="12" s="1"/>
  <c r="O51" i="12" s="1"/>
  <c r="N26" i="12"/>
  <c r="N49" i="12" s="1"/>
  <c r="N51" i="12" s="1"/>
  <c r="M26" i="12"/>
  <c r="M49" i="12" s="1"/>
  <c r="M51" i="12" s="1"/>
  <c r="L26" i="12"/>
  <c r="L49" i="12" s="1"/>
  <c r="L51" i="12" s="1"/>
  <c r="K26" i="12"/>
  <c r="K49" i="12" s="1"/>
  <c r="K51" i="12" s="1"/>
  <c r="J26" i="12"/>
  <c r="J49" i="12" s="1"/>
  <c r="J51" i="12" s="1"/>
  <c r="I26" i="12"/>
  <c r="I49" i="12" s="1"/>
  <c r="I51" i="12" s="1"/>
  <c r="H26" i="12"/>
  <c r="H49" i="12" s="1"/>
  <c r="H51" i="12" s="1"/>
  <c r="G26" i="12"/>
  <c r="G49" i="12" s="1"/>
  <c r="G51" i="12" s="1"/>
  <c r="F26" i="12"/>
  <c r="F49" i="12" s="1"/>
  <c r="F51" i="12" s="1"/>
  <c r="E26" i="12"/>
  <c r="E49" i="12" s="1"/>
  <c r="E51" i="12" s="1"/>
  <c r="O37" i="11"/>
  <c r="O60" i="11" s="1"/>
  <c r="N37" i="11"/>
  <c r="N60" i="11" s="1"/>
  <c r="M37" i="11"/>
  <c r="M60" i="11" s="1"/>
  <c r="L37" i="11"/>
  <c r="L60" i="11" s="1"/>
  <c r="K37" i="11"/>
  <c r="K60" i="11" s="1"/>
  <c r="J37" i="11"/>
  <c r="J60" i="11" s="1"/>
  <c r="I37" i="11"/>
  <c r="I60" i="11" s="1"/>
  <c r="H37" i="11"/>
  <c r="H60" i="11" s="1"/>
  <c r="G37" i="11"/>
  <c r="G60" i="11" s="1"/>
  <c r="F37" i="11"/>
  <c r="F60" i="11" s="1"/>
  <c r="O36" i="11"/>
  <c r="O59" i="11" s="1"/>
  <c r="N36" i="11"/>
  <c r="N59" i="11" s="1"/>
  <c r="M36" i="11"/>
  <c r="M59" i="11" s="1"/>
  <c r="L36" i="11"/>
  <c r="L59" i="11" s="1"/>
  <c r="K36" i="11"/>
  <c r="K59" i="11" s="1"/>
  <c r="J36" i="11"/>
  <c r="J59" i="11" s="1"/>
  <c r="I36" i="11"/>
  <c r="I59" i="11" s="1"/>
  <c r="H36" i="11"/>
  <c r="H59" i="11" s="1"/>
  <c r="G36" i="11"/>
  <c r="G59" i="11" s="1"/>
  <c r="F36" i="11"/>
  <c r="F59" i="11" s="1"/>
  <c r="O33" i="11"/>
  <c r="O56" i="11" s="1"/>
  <c r="N33" i="11"/>
  <c r="N56" i="11" s="1"/>
  <c r="M33" i="11"/>
  <c r="M56" i="11" s="1"/>
  <c r="L33" i="11"/>
  <c r="L56" i="11" s="1"/>
  <c r="K33" i="11"/>
  <c r="K56" i="11" s="1"/>
  <c r="J33" i="11"/>
  <c r="J56" i="11" s="1"/>
  <c r="I33" i="11"/>
  <c r="I56" i="11" s="1"/>
  <c r="H33" i="11"/>
  <c r="H56" i="11" s="1"/>
  <c r="G33" i="11"/>
  <c r="G56" i="11" s="1"/>
  <c r="F33" i="11"/>
  <c r="F56" i="11" s="1"/>
  <c r="O32" i="11"/>
  <c r="O55" i="11" s="1"/>
  <c r="N32" i="11"/>
  <c r="N55" i="11" s="1"/>
  <c r="M32" i="11"/>
  <c r="M55" i="11" s="1"/>
  <c r="L32" i="11"/>
  <c r="L55" i="11" s="1"/>
  <c r="K32" i="11"/>
  <c r="K55" i="11" s="1"/>
  <c r="J32" i="11"/>
  <c r="J55" i="11" s="1"/>
  <c r="I32" i="11"/>
  <c r="I55" i="11" s="1"/>
  <c r="H32" i="11"/>
  <c r="H55" i="11" s="1"/>
  <c r="G32" i="11"/>
  <c r="G55" i="11" s="1"/>
  <c r="F32" i="11"/>
  <c r="F55" i="11" s="1"/>
  <c r="O31" i="11"/>
  <c r="O54" i="11" s="1"/>
  <c r="N31" i="11"/>
  <c r="N54" i="11" s="1"/>
  <c r="M31" i="11"/>
  <c r="M54" i="11" s="1"/>
  <c r="L31" i="11"/>
  <c r="L54" i="11" s="1"/>
  <c r="K31" i="11"/>
  <c r="K54" i="11" s="1"/>
  <c r="J31" i="11"/>
  <c r="J54" i="11" s="1"/>
  <c r="I31" i="11"/>
  <c r="I54" i="11" s="1"/>
  <c r="H31" i="11"/>
  <c r="H54" i="11" s="1"/>
  <c r="G31" i="11"/>
  <c r="G54" i="11" s="1"/>
  <c r="F31" i="11"/>
  <c r="F54" i="11" s="1"/>
  <c r="O30" i="11"/>
  <c r="O53" i="11" s="1"/>
  <c r="N30" i="11"/>
  <c r="N53" i="11" s="1"/>
  <c r="M30" i="11"/>
  <c r="M53" i="11" s="1"/>
  <c r="L30" i="11"/>
  <c r="L53" i="11" s="1"/>
  <c r="K30" i="11"/>
  <c r="K53" i="11" s="1"/>
  <c r="J30" i="11"/>
  <c r="J53" i="11" s="1"/>
  <c r="I30" i="11"/>
  <c r="I53" i="11" s="1"/>
  <c r="H30" i="11"/>
  <c r="H53" i="11" s="1"/>
  <c r="G30" i="11"/>
  <c r="G53" i="11" s="1"/>
  <c r="F30" i="11"/>
  <c r="F53" i="11" s="1"/>
  <c r="O29" i="11"/>
  <c r="O52" i="11" s="1"/>
  <c r="N29" i="11"/>
  <c r="N52" i="11" s="1"/>
  <c r="M29" i="11"/>
  <c r="M52" i="11" s="1"/>
  <c r="L29" i="11"/>
  <c r="L52" i="11" s="1"/>
  <c r="K29" i="11"/>
  <c r="K52" i="11" s="1"/>
  <c r="J29" i="11"/>
  <c r="J52" i="11" s="1"/>
  <c r="I29" i="11"/>
  <c r="I52" i="11" s="1"/>
  <c r="H29" i="11"/>
  <c r="H52" i="11" s="1"/>
  <c r="G29" i="11"/>
  <c r="G52" i="11" s="1"/>
  <c r="F29" i="11"/>
  <c r="F52" i="11" s="1"/>
  <c r="O27" i="11"/>
  <c r="O50" i="11" s="1"/>
  <c r="N27" i="11"/>
  <c r="N50" i="11" s="1"/>
  <c r="M27" i="11"/>
  <c r="M50" i="11" s="1"/>
  <c r="L27" i="11"/>
  <c r="L50" i="11" s="1"/>
  <c r="K27" i="11"/>
  <c r="K50" i="11" s="1"/>
  <c r="J27" i="11"/>
  <c r="J50" i="11" s="1"/>
  <c r="I27" i="11"/>
  <c r="I50" i="11" s="1"/>
  <c r="H27" i="11"/>
  <c r="H50" i="11" s="1"/>
  <c r="G27" i="11"/>
  <c r="G50" i="11" s="1"/>
  <c r="F27" i="11"/>
  <c r="F50" i="11" s="1"/>
  <c r="O26" i="11"/>
  <c r="O49" i="11" s="1"/>
  <c r="O51" i="11" s="1"/>
  <c r="N26" i="11"/>
  <c r="N49" i="11" s="1"/>
  <c r="M26" i="11"/>
  <c r="M49" i="11" s="1"/>
  <c r="L26" i="11"/>
  <c r="L49" i="11" s="1"/>
  <c r="L51" i="11" s="1"/>
  <c r="K26" i="11"/>
  <c r="K49" i="11" s="1"/>
  <c r="K51" i="11" s="1"/>
  <c r="J26" i="11"/>
  <c r="J49" i="11" s="1"/>
  <c r="I26" i="11"/>
  <c r="I49" i="11" s="1"/>
  <c r="H26" i="11"/>
  <c r="H49" i="11" s="1"/>
  <c r="H51" i="11" s="1"/>
  <c r="G26" i="11"/>
  <c r="G49" i="11" s="1"/>
  <c r="G51" i="11" s="1"/>
  <c r="F26" i="11"/>
  <c r="F49" i="11" s="1"/>
  <c r="O33" i="10"/>
  <c r="O56" i="10" s="1"/>
  <c r="N33" i="10"/>
  <c r="N56" i="10" s="1"/>
  <c r="M33" i="10"/>
  <c r="M56" i="10" s="1"/>
  <c r="L33" i="10"/>
  <c r="L56" i="10" s="1"/>
  <c r="K33" i="10"/>
  <c r="K56" i="10" s="1"/>
  <c r="J33" i="10"/>
  <c r="J56" i="10" s="1"/>
  <c r="I33" i="10"/>
  <c r="I56" i="10" s="1"/>
  <c r="H33" i="10"/>
  <c r="H56" i="10" s="1"/>
  <c r="G33" i="10"/>
  <c r="G56" i="10" s="1"/>
  <c r="F33" i="10"/>
  <c r="F56" i="10" s="1"/>
  <c r="O55" i="10"/>
  <c r="N55" i="10"/>
  <c r="M55" i="10"/>
  <c r="L55" i="10"/>
  <c r="K55" i="10"/>
  <c r="J55" i="10"/>
  <c r="I55" i="10"/>
  <c r="H55" i="10"/>
  <c r="G55" i="10"/>
  <c r="F55" i="10"/>
  <c r="O54" i="10"/>
  <c r="N54" i="10"/>
  <c r="M54" i="10"/>
  <c r="L54" i="10"/>
  <c r="K54" i="10"/>
  <c r="J54" i="10"/>
  <c r="I54" i="10"/>
  <c r="H54" i="10"/>
  <c r="G54" i="10"/>
  <c r="F54" i="10"/>
  <c r="O53" i="10"/>
  <c r="N53" i="10"/>
  <c r="M53" i="10"/>
  <c r="L53" i="10"/>
  <c r="K53" i="10"/>
  <c r="J53" i="10"/>
  <c r="I53" i="10"/>
  <c r="H53" i="10"/>
  <c r="G53" i="10"/>
  <c r="F53" i="10"/>
  <c r="O52" i="10"/>
  <c r="N52" i="10"/>
  <c r="M52" i="10"/>
  <c r="L52" i="10"/>
  <c r="K52" i="10"/>
  <c r="J52" i="10"/>
  <c r="I52" i="10"/>
  <c r="H52" i="10"/>
  <c r="G52" i="10"/>
  <c r="F52" i="10"/>
  <c r="O27" i="10"/>
  <c r="O50" i="10" s="1"/>
  <c r="N27" i="10"/>
  <c r="N50" i="10" s="1"/>
  <c r="M27" i="10"/>
  <c r="M50" i="10" s="1"/>
  <c r="L27" i="10"/>
  <c r="L50" i="10" s="1"/>
  <c r="K27" i="10"/>
  <c r="K50" i="10" s="1"/>
  <c r="J27" i="10"/>
  <c r="J50" i="10" s="1"/>
  <c r="I27" i="10"/>
  <c r="I50" i="10" s="1"/>
  <c r="H27" i="10"/>
  <c r="H50" i="10" s="1"/>
  <c r="G27" i="10"/>
  <c r="G50" i="10" s="1"/>
  <c r="F27" i="10"/>
  <c r="F50" i="10" s="1"/>
  <c r="O49" i="10"/>
  <c r="N49" i="10"/>
  <c r="M49" i="10"/>
  <c r="L49" i="10"/>
  <c r="K49" i="10"/>
  <c r="J49" i="10"/>
  <c r="J51" i="10" s="1"/>
  <c r="I49" i="10"/>
  <c r="H49" i="10"/>
  <c r="G49" i="10"/>
  <c r="F49" i="10"/>
  <c r="F51" i="10" s="1"/>
  <c r="O37" i="9"/>
  <c r="O60" i="9" s="1"/>
  <c r="N37" i="9"/>
  <c r="N60" i="9" s="1"/>
  <c r="M37" i="9"/>
  <c r="M60" i="9" s="1"/>
  <c r="L37" i="9"/>
  <c r="L60" i="9" s="1"/>
  <c r="K37" i="9"/>
  <c r="K60" i="9" s="1"/>
  <c r="J37" i="9"/>
  <c r="J60" i="9" s="1"/>
  <c r="I37" i="9"/>
  <c r="I60" i="9" s="1"/>
  <c r="H37" i="9"/>
  <c r="H60" i="9" s="1"/>
  <c r="G37" i="9"/>
  <c r="G60" i="9" s="1"/>
  <c r="F37" i="9"/>
  <c r="F60" i="9" s="1"/>
  <c r="E37" i="9"/>
  <c r="E60" i="9" s="1"/>
  <c r="D37" i="9"/>
  <c r="D60" i="9" s="1"/>
  <c r="O36" i="9"/>
  <c r="O59" i="9" s="1"/>
  <c r="N36" i="9"/>
  <c r="N59" i="9" s="1"/>
  <c r="M36" i="9"/>
  <c r="M59" i="9" s="1"/>
  <c r="L36" i="9"/>
  <c r="L59" i="9" s="1"/>
  <c r="K36" i="9"/>
  <c r="K59" i="9" s="1"/>
  <c r="J36" i="9"/>
  <c r="J59" i="9" s="1"/>
  <c r="I36" i="9"/>
  <c r="I59" i="9" s="1"/>
  <c r="H36" i="9"/>
  <c r="H59" i="9" s="1"/>
  <c r="G36" i="9"/>
  <c r="G59" i="9" s="1"/>
  <c r="F36" i="9"/>
  <c r="F59" i="9" s="1"/>
  <c r="E36" i="9"/>
  <c r="E59" i="9" s="1"/>
  <c r="D36" i="9"/>
  <c r="D59" i="9" s="1"/>
  <c r="O33" i="9"/>
  <c r="O56" i="9" s="1"/>
  <c r="N33" i="9"/>
  <c r="N56" i="9" s="1"/>
  <c r="M33" i="9"/>
  <c r="M56" i="9" s="1"/>
  <c r="L33" i="9"/>
  <c r="L56" i="9" s="1"/>
  <c r="K33" i="9"/>
  <c r="K56" i="9" s="1"/>
  <c r="J33" i="9"/>
  <c r="J56" i="9" s="1"/>
  <c r="I33" i="9"/>
  <c r="I56" i="9" s="1"/>
  <c r="H33" i="9"/>
  <c r="H56" i="9" s="1"/>
  <c r="G33" i="9"/>
  <c r="G56" i="9" s="1"/>
  <c r="F33" i="9"/>
  <c r="F56" i="9" s="1"/>
  <c r="E33" i="9"/>
  <c r="E56" i="9" s="1"/>
  <c r="D33" i="9"/>
  <c r="D56" i="9" s="1"/>
  <c r="O55" i="9"/>
  <c r="N55" i="9"/>
  <c r="M55" i="9"/>
  <c r="L55" i="9"/>
  <c r="K55" i="9"/>
  <c r="J55" i="9"/>
  <c r="I55" i="9"/>
  <c r="H55" i="9"/>
  <c r="G55" i="9"/>
  <c r="F55" i="9"/>
  <c r="E55" i="9"/>
  <c r="O54" i="9"/>
  <c r="N54" i="9"/>
  <c r="M54" i="9"/>
  <c r="L54" i="9"/>
  <c r="K54" i="9"/>
  <c r="J54" i="9"/>
  <c r="I54" i="9"/>
  <c r="H54" i="9"/>
  <c r="G54" i="9"/>
  <c r="F54" i="9"/>
  <c r="E54" i="9"/>
  <c r="D54" i="9"/>
  <c r="O53" i="9"/>
  <c r="N53" i="9"/>
  <c r="M53" i="9"/>
  <c r="L53" i="9"/>
  <c r="K53" i="9"/>
  <c r="J53" i="9"/>
  <c r="I53" i="9"/>
  <c r="H53" i="9"/>
  <c r="G53" i="9"/>
  <c r="F53" i="9"/>
  <c r="E53" i="9"/>
  <c r="O52" i="9"/>
  <c r="N52" i="9"/>
  <c r="M52" i="9"/>
  <c r="L52" i="9"/>
  <c r="K52" i="9"/>
  <c r="J52" i="9"/>
  <c r="I52" i="9"/>
  <c r="H52" i="9"/>
  <c r="G52" i="9"/>
  <c r="F52" i="9"/>
  <c r="E52" i="9"/>
  <c r="D52" i="9"/>
  <c r="O27" i="9"/>
  <c r="O50" i="9" s="1"/>
  <c r="N27" i="9"/>
  <c r="N50" i="9" s="1"/>
  <c r="M27" i="9"/>
  <c r="M50" i="9" s="1"/>
  <c r="L27" i="9"/>
  <c r="L50" i="9" s="1"/>
  <c r="K27" i="9"/>
  <c r="K50" i="9" s="1"/>
  <c r="J27" i="9"/>
  <c r="J50" i="9" s="1"/>
  <c r="I27" i="9"/>
  <c r="I50" i="9" s="1"/>
  <c r="H27" i="9"/>
  <c r="H50" i="9" s="1"/>
  <c r="G27" i="9"/>
  <c r="G50" i="9" s="1"/>
  <c r="F27" i="9"/>
  <c r="F50" i="9" s="1"/>
  <c r="E27" i="9"/>
  <c r="E50" i="9" s="1"/>
  <c r="D27" i="9"/>
  <c r="D50" i="9" s="1"/>
  <c r="O49" i="9"/>
  <c r="O51" i="9" s="1"/>
  <c r="N49" i="9"/>
  <c r="N51" i="9" s="1"/>
  <c r="L49" i="9"/>
  <c r="K49" i="9"/>
  <c r="J49" i="9"/>
  <c r="I49" i="9"/>
  <c r="I51" i="9" s="1"/>
  <c r="H49" i="9"/>
  <c r="G49" i="9"/>
  <c r="F49" i="9"/>
  <c r="E49" i="9"/>
  <c r="E51" i="9" s="1"/>
  <c r="O37" i="7"/>
  <c r="O60" i="7" s="1"/>
  <c r="N37" i="7"/>
  <c r="N60" i="7" s="1"/>
  <c r="M37" i="7"/>
  <c r="M60" i="7" s="1"/>
  <c r="L37" i="7"/>
  <c r="L60" i="7" s="1"/>
  <c r="K37" i="7"/>
  <c r="K60" i="7" s="1"/>
  <c r="J37" i="7"/>
  <c r="J60" i="7" s="1"/>
  <c r="I37" i="7"/>
  <c r="I60" i="7" s="1"/>
  <c r="H37" i="7"/>
  <c r="H60" i="7" s="1"/>
  <c r="G37" i="7"/>
  <c r="G60" i="7" s="1"/>
  <c r="F37" i="7"/>
  <c r="F60" i="7" s="1"/>
  <c r="E37" i="7"/>
  <c r="E60" i="7" s="1"/>
  <c r="D37" i="7"/>
  <c r="D60" i="7" s="1"/>
  <c r="O36" i="7"/>
  <c r="O59" i="7" s="1"/>
  <c r="N36" i="7"/>
  <c r="N59" i="7" s="1"/>
  <c r="M36" i="7"/>
  <c r="M59" i="7" s="1"/>
  <c r="L36" i="7"/>
  <c r="L59" i="7" s="1"/>
  <c r="K36" i="7"/>
  <c r="K59" i="7" s="1"/>
  <c r="J36" i="7"/>
  <c r="J59" i="7" s="1"/>
  <c r="I36" i="7"/>
  <c r="I59" i="7" s="1"/>
  <c r="H36" i="7"/>
  <c r="H59" i="7" s="1"/>
  <c r="G36" i="7"/>
  <c r="G59" i="7" s="1"/>
  <c r="F36" i="7"/>
  <c r="F59" i="7" s="1"/>
  <c r="E36" i="7"/>
  <c r="E59" i="7" s="1"/>
  <c r="D36" i="7"/>
  <c r="D59" i="7" s="1"/>
  <c r="O33" i="7"/>
  <c r="O56" i="7" s="1"/>
  <c r="N33" i="7"/>
  <c r="N56" i="7" s="1"/>
  <c r="M33" i="7"/>
  <c r="M56" i="7" s="1"/>
  <c r="L33" i="7"/>
  <c r="L56" i="7" s="1"/>
  <c r="K33" i="7"/>
  <c r="K56" i="7" s="1"/>
  <c r="J33" i="7"/>
  <c r="J56" i="7" s="1"/>
  <c r="I33" i="7"/>
  <c r="I56" i="7" s="1"/>
  <c r="H33" i="7"/>
  <c r="H56" i="7" s="1"/>
  <c r="G33" i="7"/>
  <c r="G56" i="7" s="1"/>
  <c r="F33" i="7"/>
  <c r="F56" i="7" s="1"/>
  <c r="E33" i="7"/>
  <c r="E56" i="7" s="1"/>
  <c r="D33" i="7"/>
  <c r="D56" i="7" s="1"/>
  <c r="O55" i="7"/>
  <c r="N55" i="7"/>
  <c r="M55" i="7"/>
  <c r="L55" i="7"/>
  <c r="K55" i="7"/>
  <c r="J55" i="7"/>
  <c r="I55" i="7"/>
  <c r="H55" i="7"/>
  <c r="G55" i="7"/>
  <c r="F55" i="7"/>
  <c r="E55" i="7"/>
  <c r="D55" i="7"/>
  <c r="O54" i="7"/>
  <c r="N54" i="7"/>
  <c r="M54" i="7"/>
  <c r="L54" i="7"/>
  <c r="K54" i="7"/>
  <c r="J54" i="7"/>
  <c r="I54" i="7"/>
  <c r="H54" i="7"/>
  <c r="G54" i="7"/>
  <c r="F54" i="7"/>
  <c r="E54" i="7"/>
  <c r="D54" i="7"/>
  <c r="O52" i="7"/>
  <c r="N52" i="7"/>
  <c r="M52" i="7"/>
  <c r="L52" i="7"/>
  <c r="K52" i="7"/>
  <c r="J52" i="7"/>
  <c r="I52" i="7"/>
  <c r="H52" i="7"/>
  <c r="G52" i="7"/>
  <c r="F52" i="7"/>
  <c r="E52" i="7"/>
  <c r="D52" i="7"/>
  <c r="O27" i="7"/>
  <c r="O50" i="7" s="1"/>
  <c r="N27" i="7"/>
  <c r="N50" i="7" s="1"/>
  <c r="M27" i="7"/>
  <c r="M50" i="7" s="1"/>
  <c r="L27" i="7"/>
  <c r="L50" i="7" s="1"/>
  <c r="K27" i="7"/>
  <c r="K50" i="7" s="1"/>
  <c r="J27" i="7"/>
  <c r="J50" i="7" s="1"/>
  <c r="I27" i="7"/>
  <c r="I50" i="7" s="1"/>
  <c r="H27" i="7"/>
  <c r="H50" i="7" s="1"/>
  <c r="G27" i="7"/>
  <c r="G50" i="7" s="1"/>
  <c r="F27" i="7"/>
  <c r="F50" i="7" s="1"/>
  <c r="E27" i="7"/>
  <c r="E50" i="7" s="1"/>
  <c r="D27" i="7"/>
  <c r="D50" i="7" s="1"/>
  <c r="G57" i="14" l="1"/>
  <c r="H57" i="14"/>
  <c r="H57" i="13"/>
  <c r="I57" i="13"/>
  <c r="M57" i="9"/>
  <c r="I57" i="9"/>
  <c r="E57" i="9"/>
  <c r="D104" i="20"/>
  <c r="M57" i="13"/>
  <c r="M48" i="13" s="1"/>
  <c r="N51" i="10"/>
  <c r="I48" i="13"/>
  <c r="I57" i="11"/>
  <c r="J48" i="13"/>
  <c r="G48" i="13"/>
  <c r="O48" i="13"/>
  <c r="H48" i="13"/>
  <c r="L48" i="13"/>
  <c r="H57" i="10"/>
  <c r="L57" i="10"/>
  <c r="J57" i="11"/>
  <c r="F57" i="9"/>
  <c r="F51" i="9"/>
  <c r="J51" i="9"/>
  <c r="G57" i="9"/>
  <c r="K57" i="13"/>
  <c r="K48" i="13" s="1"/>
  <c r="H57" i="9"/>
  <c r="N51" i="13"/>
  <c r="N48" i="13" s="1"/>
  <c r="N57" i="9"/>
  <c r="M57" i="11"/>
  <c r="F57" i="11"/>
  <c r="J57" i="9"/>
  <c r="N57" i="11"/>
  <c r="B187" i="36"/>
  <c r="F51" i="11"/>
  <c r="K51" i="9"/>
  <c r="H51" i="9"/>
  <c r="L51" i="9"/>
  <c r="I51" i="11"/>
  <c r="M51" i="11"/>
  <c r="G51" i="9"/>
  <c r="J51" i="11"/>
  <c r="J180" i="36"/>
  <c r="J185" i="36" s="1"/>
  <c r="L180" i="36"/>
  <c r="L185" i="36" s="1"/>
  <c r="B185" i="46"/>
  <c r="B193" i="46"/>
  <c r="B196" i="46" s="1"/>
  <c r="B188" i="46"/>
  <c r="B194" i="46" s="1"/>
  <c r="B197" i="46" s="1"/>
  <c r="B204" i="46" s="1"/>
  <c r="N51" i="11"/>
  <c r="B177" i="28"/>
  <c r="B183" i="36"/>
  <c r="G57" i="11"/>
  <c r="K57" i="11"/>
  <c r="O57" i="11"/>
  <c r="H57" i="11"/>
  <c r="L57" i="11"/>
  <c r="I57" i="10"/>
  <c r="M57" i="10"/>
  <c r="F57" i="10"/>
  <c r="J57" i="10"/>
  <c r="N57" i="10"/>
  <c r="G51" i="10"/>
  <c r="K51" i="10"/>
  <c r="O51" i="10"/>
  <c r="H51" i="10"/>
  <c r="L51" i="10"/>
  <c r="I51" i="10"/>
  <c r="M51" i="10"/>
  <c r="G57" i="10"/>
  <c r="K57" i="10"/>
  <c r="O57" i="10"/>
  <c r="D106" i="28"/>
  <c r="D116" i="46" s="1"/>
  <c r="P116" i="46" s="1"/>
  <c r="E58" i="7"/>
  <c r="I58" i="7"/>
  <c r="M58" i="7"/>
  <c r="E58" i="9"/>
  <c r="I58" i="9"/>
  <c r="M58" i="9"/>
  <c r="I58" i="11"/>
  <c r="M58" i="11"/>
  <c r="F58" i="12"/>
  <c r="J58" i="12"/>
  <c r="N58" i="12"/>
  <c r="F58" i="13"/>
  <c r="J58" i="13"/>
  <c r="N58" i="13"/>
  <c r="G58" i="14"/>
  <c r="K58" i="14"/>
  <c r="O58" i="14"/>
  <c r="D58" i="15"/>
  <c r="H58" i="15"/>
  <c r="L58" i="15"/>
  <c r="G58" i="17"/>
  <c r="K58" i="17"/>
  <c r="O58" i="17"/>
  <c r="G49" i="18"/>
  <c r="K49" i="18"/>
  <c r="O49" i="18"/>
  <c r="G50" i="18"/>
  <c r="K50" i="18"/>
  <c r="O50" i="18"/>
  <c r="G52" i="18"/>
  <c r="K52" i="18"/>
  <c r="O52" i="18"/>
  <c r="G53" i="18"/>
  <c r="K53" i="18"/>
  <c r="O53" i="18"/>
  <c r="G54" i="18"/>
  <c r="K54" i="18"/>
  <c r="O54" i="18"/>
  <c r="G55" i="18"/>
  <c r="K55" i="18"/>
  <c r="O55" i="18"/>
  <c r="G56" i="18"/>
  <c r="K56" i="18"/>
  <c r="O56" i="18"/>
  <c r="G59" i="18"/>
  <c r="K59" i="18"/>
  <c r="O59" i="18"/>
  <c r="G60" i="18"/>
  <c r="K60" i="18"/>
  <c r="O60" i="18"/>
  <c r="F58" i="7"/>
  <c r="J58" i="7"/>
  <c r="N58" i="7"/>
  <c r="F58" i="9"/>
  <c r="J58" i="9"/>
  <c r="N58" i="9"/>
  <c r="F58" i="11"/>
  <c r="J58" i="11"/>
  <c r="N58" i="11"/>
  <c r="G58" i="12"/>
  <c r="K58" i="12"/>
  <c r="O58" i="12"/>
  <c r="G58" i="13"/>
  <c r="K58" i="13"/>
  <c r="O58" i="13"/>
  <c r="D58" i="14"/>
  <c r="H58" i="14"/>
  <c r="L58" i="14"/>
  <c r="E58" i="15"/>
  <c r="I58" i="15"/>
  <c r="M58" i="15"/>
  <c r="D58" i="17"/>
  <c r="H58" i="17"/>
  <c r="L58" i="17"/>
  <c r="H49" i="18"/>
  <c r="L49" i="18"/>
  <c r="D50" i="18"/>
  <c r="H50" i="18"/>
  <c r="L50" i="18"/>
  <c r="D52" i="18"/>
  <c r="H52" i="18"/>
  <c r="L52" i="18"/>
  <c r="H53" i="18"/>
  <c r="L53" i="18"/>
  <c r="D54" i="18"/>
  <c r="H54" i="18"/>
  <c r="L54" i="18"/>
  <c r="D55" i="18"/>
  <c r="H55" i="18"/>
  <c r="L55" i="18"/>
  <c r="D56" i="18"/>
  <c r="H56" i="18"/>
  <c r="L56" i="18"/>
  <c r="D59" i="18"/>
  <c r="H59" i="18"/>
  <c r="L59" i="18"/>
  <c r="D60" i="18"/>
  <c r="H60" i="18"/>
  <c r="L60" i="18"/>
  <c r="G58" i="7"/>
  <c r="K58" i="7"/>
  <c r="O58" i="7"/>
  <c r="G58" i="9"/>
  <c r="K58" i="9"/>
  <c r="O58" i="9"/>
  <c r="G58" i="11"/>
  <c r="K58" i="11"/>
  <c r="O58" i="11"/>
  <c r="D58" i="12"/>
  <c r="H58" i="12"/>
  <c r="L58" i="12"/>
  <c r="D58" i="13"/>
  <c r="H58" i="13"/>
  <c r="L58" i="13"/>
  <c r="E57" i="14"/>
  <c r="E58" i="14"/>
  <c r="I58" i="14"/>
  <c r="M58" i="14"/>
  <c r="F58" i="15"/>
  <c r="J58" i="15"/>
  <c r="N58" i="15"/>
  <c r="E58" i="17"/>
  <c r="I58" i="17"/>
  <c r="M58" i="17"/>
  <c r="E49" i="18"/>
  <c r="I49" i="18"/>
  <c r="M49" i="18"/>
  <c r="E50" i="18"/>
  <c r="I50" i="18"/>
  <c r="M50" i="18"/>
  <c r="E52" i="18"/>
  <c r="I52" i="18"/>
  <c r="M52" i="18"/>
  <c r="E53" i="18"/>
  <c r="I53" i="18"/>
  <c r="M53" i="18"/>
  <c r="E54" i="18"/>
  <c r="I54" i="18"/>
  <c r="M54" i="18"/>
  <c r="E55" i="18"/>
  <c r="I55" i="18"/>
  <c r="M55" i="18"/>
  <c r="E56" i="18"/>
  <c r="I56" i="18"/>
  <c r="M56" i="18"/>
  <c r="E59" i="18"/>
  <c r="I59" i="18"/>
  <c r="M59" i="18"/>
  <c r="E60" i="18"/>
  <c r="I60" i="18"/>
  <c r="M60" i="18"/>
  <c r="D58" i="7"/>
  <c r="H58" i="7"/>
  <c r="L58" i="7"/>
  <c r="D58" i="9"/>
  <c r="H58" i="9"/>
  <c r="L58" i="9"/>
  <c r="H58" i="11"/>
  <c r="L58" i="11"/>
  <c r="E58" i="12"/>
  <c r="I58" i="12"/>
  <c r="M58" i="12"/>
  <c r="E58" i="13"/>
  <c r="I58" i="13"/>
  <c r="M58" i="13"/>
  <c r="F58" i="14"/>
  <c r="J58" i="14"/>
  <c r="N58" i="14"/>
  <c r="G58" i="15"/>
  <c r="K58" i="15"/>
  <c r="O58" i="15"/>
  <c r="F58" i="17"/>
  <c r="J58" i="17"/>
  <c r="N58" i="17"/>
  <c r="F49" i="18"/>
  <c r="J49" i="18"/>
  <c r="N49" i="18"/>
  <c r="F50" i="18"/>
  <c r="J50" i="18"/>
  <c r="N50" i="18"/>
  <c r="F52" i="18"/>
  <c r="J52" i="18"/>
  <c r="N52" i="18"/>
  <c r="F53" i="18"/>
  <c r="J53" i="18"/>
  <c r="N53" i="18"/>
  <c r="F54" i="18"/>
  <c r="J54" i="18"/>
  <c r="N54" i="18"/>
  <c r="F55" i="18"/>
  <c r="J55" i="18"/>
  <c r="N55" i="18"/>
  <c r="F56" i="18"/>
  <c r="J56" i="18"/>
  <c r="N56" i="18"/>
  <c r="F59" i="18"/>
  <c r="J59" i="18"/>
  <c r="N59" i="18"/>
  <c r="F60" i="18"/>
  <c r="J60" i="18"/>
  <c r="N60" i="18"/>
  <c r="O57" i="9"/>
  <c r="L57" i="9"/>
  <c r="K57" i="9"/>
  <c r="M28" i="9"/>
  <c r="M49" i="9"/>
  <c r="M51" i="9" s="1"/>
  <c r="P29" i="7"/>
  <c r="Q29" i="7" s="1"/>
  <c r="P31" i="7"/>
  <c r="Q31" i="7" s="1"/>
  <c r="P33" i="7"/>
  <c r="Q33" i="7" s="1"/>
  <c r="P33" i="11"/>
  <c r="Q33" i="11" s="1"/>
  <c r="P37" i="11"/>
  <c r="Q37" i="11" s="1"/>
  <c r="P127" i="36"/>
  <c r="Q127" i="36" s="1"/>
  <c r="Q128" i="36"/>
  <c r="D120" i="36"/>
  <c r="P120" i="36" s="1"/>
  <c r="C186" i="36"/>
  <c r="C187" i="36" s="1"/>
  <c r="C185" i="36"/>
  <c r="D127" i="36"/>
  <c r="P81" i="36"/>
  <c r="Q81" i="36" s="1"/>
  <c r="P33" i="18"/>
  <c r="Q33" i="18" s="1"/>
  <c r="P37" i="18"/>
  <c r="Q37" i="18" s="1"/>
  <c r="P27" i="15"/>
  <c r="Q27" i="15" s="1"/>
  <c r="P27" i="12"/>
  <c r="Q27" i="12" s="1"/>
  <c r="P33" i="12"/>
  <c r="Q33" i="12" s="1"/>
  <c r="P37" i="12"/>
  <c r="Q37" i="12" s="1"/>
  <c r="P27" i="11"/>
  <c r="Q27" i="11" s="1"/>
  <c r="P37" i="7"/>
  <c r="Q37" i="7" s="1"/>
  <c r="P100" i="20"/>
  <c r="D100" i="28"/>
  <c r="D110" i="46" s="1"/>
  <c r="P110" i="46" s="1"/>
  <c r="P108" i="46"/>
  <c r="C113" i="46"/>
  <c r="P106" i="46"/>
  <c r="P115" i="46"/>
  <c r="C107" i="46"/>
  <c r="C105" i="46"/>
  <c r="P112" i="46"/>
  <c r="P98" i="20"/>
  <c r="C183" i="36"/>
  <c r="P27" i="18"/>
  <c r="Q27" i="18" s="1"/>
  <c r="P32" i="18"/>
  <c r="Q32" i="18" s="1"/>
  <c r="P32" i="12"/>
  <c r="Q32" i="12" s="1"/>
  <c r="P32" i="11"/>
  <c r="Q32" i="11" s="1"/>
  <c r="P37" i="9"/>
  <c r="Q37" i="9" s="1"/>
  <c r="P29" i="9"/>
  <c r="Q29" i="9" s="1"/>
  <c r="P27" i="9"/>
  <c r="Q27" i="9" s="1"/>
  <c r="P36" i="18"/>
  <c r="Q36" i="18" s="1"/>
  <c r="P31" i="18"/>
  <c r="Q31" i="18" s="1"/>
  <c r="P27" i="17"/>
  <c r="Q27" i="17" s="1"/>
  <c r="P36" i="17"/>
  <c r="Q36" i="17" s="1"/>
  <c r="P26" i="17"/>
  <c r="Q26" i="17" s="1"/>
  <c r="P29" i="17"/>
  <c r="Q29" i="17" s="1"/>
  <c r="P31" i="17"/>
  <c r="Q31" i="17" s="1"/>
  <c r="P37" i="17"/>
  <c r="Q37" i="17" s="1"/>
  <c r="P29" i="15"/>
  <c r="Q29" i="15" s="1"/>
  <c r="P36" i="15"/>
  <c r="Q36" i="15" s="1"/>
  <c r="P33" i="15"/>
  <c r="Q33" i="15" s="1"/>
  <c r="P37" i="15"/>
  <c r="Q37" i="15" s="1"/>
  <c r="P31" i="15"/>
  <c r="Q31" i="15" s="1"/>
  <c r="P32" i="14"/>
  <c r="Q32" i="14" s="1"/>
  <c r="P36" i="14"/>
  <c r="Q36" i="14" s="1"/>
  <c r="P29" i="14"/>
  <c r="Q29" i="14" s="1"/>
  <c r="P31" i="14"/>
  <c r="Q31" i="14" s="1"/>
  <c r="P33" i="14"/>
  <c r="Q33" i="14" s="1"/>
  <c r="P37" i="14"/>
  <c r="Q37" i="14" s="1"/>
  <c r="P27" i="13"/>
  <c r="Q27" i="13" s="1"/>
  <c r="P32" i="13"/>
  <c r="Q32" i="13" s="1"/>
  <c r="P36" i="13"/>
  <c r="Q36" i="13" s="1"/>
  <c r="P29" i="13"/>
  <c r="Q29" i="13" s="1"/>
  <c r="P31" i="13"/>
  <c r="Q31" i="13" s="1"/>
  <c r="P33" i="13"/>
  <c r="Q33" i="13" s="1"/>
  <c r="P37" i="13"/>
  <c r="Q37" i="13" s="1"/>
  <c r="P36" i="12"/>
  <c r="Q36" i="12" s="1"/>
  <c r="P29" i="12"/>
  <c r="Q29" i="12" s="1"/>
  <c r="P31" i="12"/>
  <c r="Q31" i="12" s="1"/>
  <c r="P36" i="11"/>
  <c r="Q36" i="11" s="1"/>
  <c r="P29" i="11"/>
  <c r="Q29" i="11" s="1"/>
  <c r="P31" i="11"/>
  <c r="Q31" i="11" s="1"/>
  <c r="P27" i="10"/>
  <c r="Q27" i="10" s="1"/>
  <c r="P30" i="10"/>
  <c r="Q30" i="10" s="1"/>
  <c r="P36" i="10"/>
  <c r="Q36" i="10" s="1"/>
  <c r="P29" i="10"/>
  <c r="Q29" i="10" s="1"/>
  <c r="P31" i="10"/>
  <c r="Q31" i="10" s="1"/>
  <c r="P33" i="10"/>
  <c r="Q33" i="10" s="1"/>
  <c r="P37" i="10"/>
  <c r="Q37" i="10" s="1"/>
  <c r="P31" i="9"/>
  <c r="Q31" i="9" s="1"/>
  <c r="P33" i="9"/>
  <c r="Q33" i="9" s="1"/>
  <c r="P36" i="9"/>
  <c r="Q36" i="9" s="1"/>
  <c r="P27" i="7"/>
  <c r="Q27" i="7" s="1"/>
  <c r="P32" i="7"/>
  <c r="Q32" i="7" s="1"/>
  <c r="P36" i="7"/>
  <c r="Q36" i="7" s="1"/>
  <c r="P96" i="20"/>
  <c r="P29" i="18"/>
  <c r="Q29" i="18" s="1"/>
  <c r="P33" i="17"/>
  <c r="Q33" i="17" s="1"/>
  <c r="P102" i="20"/>
  <c r="P27" i="14"/>
  <c r="Q27" i="14" s="1"/>
  <c r="P26" i="12"/>
  <c r="Q26" i="12" s="1"/>
  <c r="J136" i="36"/>
  <c r="J182" i="36" s="1"/>
  <c r="Q72" i="36"/>
  <c r="O136" i="36"/>
  <c r="O182" i="36" s="1"/>
  <c r="O90" i="36"/>
  <c r="L186" i="36"/>
  <c r="Q58" i="36"/>
  <c r="G136" i="36"/>
  <c r="G182" i="36" s="1"/>
  <c r="G90" i="36"/>
  <c r="E90" i="36"/>
  <c r="P118" i="36"/>
  <c r="M136" i="36"/>
  <c r="M182" i="36" s="1"/>
  <c r="M90" i="36"/>
  <c r="N136" i="36"/>
  <c r="N182" i="36" s="1"/>
  <c r="N90" i="36"/>
  <c r="K136" i="36"/>
  <c r="K182" i="36" s="1"/>
  <c r="K90" i="36"/>
  <c r="F136" i="36"/>
  <c r="F182" i="36" s="1"/>
  <c r="F90" i="36"/>
  <c r="I136" i="36"/>
  <c r="I182" i="36" s="1"/>
  <c r="I90" i="36"/>
  <c r="H136" i="36"/>
  <c r="H182" i="36" s="1"/>
  <c r="H90" i="36"/>
  <c r="O37" i="5"/>
  <c r="O60" i="5" s="1"/>
  <c r="N37" i="5"/>
  <c r="N60" i="5" s="1"/>
  <c r="M37" i="5"/>
  <c r="M60" i="5" s="1"/>
  <c r="L37" i="5"/>
  <c r="L60" i="5" s="1"/>
  <c r="K37" i="5"/>
  <c r="K60" i="5" s="1"/>
  <c r="J37" i="5"/>
  <c r="J60" i="5" s="1"/>
  <c r="I37" i="5"/>
  <c r="I60" i="5" s="1"/>
  <c r="H37" i="5"/>
  <c r="H60" i="5" s="1"/>
  <c r="G37" i="5"/>
  <c r="G60" i="5" s="1"/>
  <c r="F37" i="5"/>
  <c r="F60" i="5" s="1"/>
  <c r="E37" i="5"/>
  <c r="E60" i="5" s="1"/>
  <c r="D37" i="5"/>
  <c r="D60" i="5" s="1"/>
  <c r="O36" i="5"/>
  <c r="O59" i="5" s="1"/>
  <c r="N36" i="5"/>
  <c r="N59" i="5" s="1"/>
  <c r="M36" i="5"/>
  <c r="M59" i="5" s="1"/>
  <c r="L36" i="5"/>
  <c r="L59" i="5" s="1"/>
  <c r="K36" i="5"/>
  <c r="K59" i="5" s="1"/>
  <c r="J36" i="5"/>
  <c r="J59" i="5" s="1"/>
  <c r="I36" i="5"/>
  <c r="I59" i="5" s="1"/>
  <c r="H36" i="5"/>
  <c r="H59" i="5" s="1"/>
  <c r="G36" i="5"/>
  <c r="G59" i="5" s="1"/>
  <c r="F36" i="5"/>
  <c r="F59" i="5" s="1"/>
  <c r="E36" i="5"/>
  <c r="E59" i="5" s="1"/>
  <c r="D36" i="5"/>
  <c r="D59" i="5" s="1"/>
  <c r="O56" i="5"/>
  <c r="N56" i="5"/>
  <c r="M56" i="5"/>
  <c r="L56" i="5"/>
  <c r="K56" i="5"/>
  <c r="J56" i="5"/>
  <c r="I56" i="5"/>
  <c r="H56" i="5"/>
  <c r="G56" i="5"/>
  <c r="F56" i="5"/>
  <c r="E56" i="5"/>
  <c r="D56" i="5"/>
  <c r="O55" i="5"/>
  <c r="N55" i="5"/>
  <c r="M55" i="5"/>
  <c r="L55" i="5"/>
  <c r="K55" i="5"/>
  <c r="J55" i="5"/>
  <c r="I55" i="5"/>
  <c r="H55" i="5"/>
  <c r="G55" i="5"/>
  <c r="F55" i="5"/>
  <c r="E55" i="5"/>
  <c r="D55" i="5"/>
  <c r="O54" i="5"/>
  <c r="N54" i="5"/>
  <c r="M54" i="5"/>
  <c r="L54" i="5"/>
  <c r="K54" i="5"/>
  <c r="J54" i="5"/>
  <c r="I54" i="5"/>
  <c r="H54" i="5"/>
  <c r="G54" i="5"/>
  <c r="F54" i="5"/>
  <c r="E54" i="5"/>
  <c r="D54" i="5"/>
  <c r="O52" i="5"/>
  <c r="N52" i="5"/>
  <c r="M52" i="5"/>
  <c r="L52" i="5"/>
  <c r="K52" i="5"/>
  <c r="J52" i="5"/>
  <c r="I52" i="5"/>
  <c r="H52" i="5"/>
  <c r="G52" i="5"/>
  <c r="F52" i="5"/>
  <c r="E52" i="5"/>
  <c r="D52" i="5"/>
  <c r="O50" i="5"/>
  <c r="N50" i="5"/>
  <c r="M50" i="5"/>
  <c r="L50" i="5"/>
  <c r="K50" i="5"/>
  <c r="J50" i="5"/>
  <c r="I50" i="5"/>
  <c r="H50" i="5"/>
  <c r="G50" i="5"/>
  <c r="F50" i="5"/>
  <c r="E50" i="5"/>
  <c r="D50" i="5"/>
  <c r="O37" i="6"/>
  <c r="O60" i="6" s="1"/>
  <c r="N37" i="6"/>
  <c r="N60" i="6" s="1"/>
  <c r="M37" i="6"/>
  <c r="M60" i="6" s="1"/>
  <c r="L37" i="6"/>
  <c r="L60" i="6" s="1"/>
  <c r="K37" i="6"/>
  <c r="K60" i="6" s="1"/>
  <c r="J37" i="6"/>
  <c r="J60" i="6" s="1"/>
  <c r="I37" i="6"/>
  <c r="I60" i="6" s="1"/>
  <c r="H37" i="6"/>
  <c r="H60" i="6" s="1"/>
  <c r="G37" i="6"/>
  <c r="G60" i="6" s="1"/>
  <c r="F37" i="6"/>
  <c r="F60" i="6" s="1"/>
  <c r="E37" i="6"/>
  <c r="E60" i="6" s="1"/>
  <c r="D37" i="6"/>
  <c r="D60" i="6" s="1"/>
  <c r="O36" i="6"/>
  <c r="O59" i="6" s="1"/>
  <c r="N36" i="6"/>
  <c r="N59" i="6" s="1"/>
  <c r="M36" i="6"/>
  <c r="M59" i="6" s="1"/>
  <c r="L36" i="6"/>
  <c r="L59" i="6" s="1"/>
  <c r="K36" i="6"/>
  <c r="K59" i="6" s="1"/>
  <c r="J36" i="6"/>
  <c r="J59" i="6" s="1"/>
  <c r="I36" i="6"/>
  <c r="I59" i="6" s="1"/>
  <c r="H36" i="6"/>
  <c r="H59" i="6" s="1"/>
  <c r="G36" i="6"/>
  <c r="G59" i="6" s="1"/>
  <c r="F36" i="6"/>
  <c r="F59" i="6" s="1"/>
  <c r="E36" i="6"/>
  <c r="E59" i="6" s="1"/>
  <c r="D36" i="6"/>
  <c r="D59" i="6" s="1"/>
  <c r="O33" i="6"/>
  <c r="O56" i="6" s="1"/>
  <c r="N33" i="6"/>
  <c r="N56" i="6" s="1"/>
  <c r="M33" i="6"/>
  <c r="M56" i="6" s="1"/>
  <c r="L33" i="6"/>
  <c r="L56" i="6" s="1"/>
  <c r="K33" i="6"/>
  <c r="K56" i="6" s="1"/>
  <c r="J33" i="6"/>
  <c r="J56" i="6" s="1"/>
  <c r="I33" i="6"/>
  <c r="I56" i="6" s="1"/>
  <c r="H33" i="6"/>
  <c r="H56" i="6" s="1"/>
  <c r="G33" i="6"/>
  <c r="G56" i="6" s="1"/>
  <c r="F33" i="6"/>
  <c r="F56" i="6" s="1"/>
  <c r="E33" i="6"/>
  <c r="E56" i="6" s="1"/>
  <c r="D33" i="6"/>
  <c r="D56" i="6" s="1"/>
  <c r="O55" i="6"/>
  <c r="N55" i="6"/>
  <c r="M55" i="6"/>
  <c r="L55" i="6"/>
  <c r="K55" i="6"/>
  <c r="J55" i="6"/>
  <c r="I55" i="6"/>
  <c r="H55" i="6"/>
  <c r="G55" i="6"/>
  <c r="F55" i="6"/>
  <c r="E55" i="6"/>
  <c r="D55" i="6"/>
  <c r="O54" i="6"/>
  <c r="N54" i="6"/>
  <c r="M54" i="6"/>
  <c r="L54" i="6"/>
  <c r="K54" i="6"/>
  <c r="J54" i="6"/>
  <c r="I54" i="6"/>
  <c r="H54" i="6"/>
  <c r="G54" i="6"/>
  <c r="F54" i="6"/>
  <c r="E54" i="6"/>
  <c r="D54" i="6"/>
  <c r="O53" i="6"/>
  <c r="N53" i="6"/>
  <c r="M53" i="6"/>
  <c r="L53" i="6"/>
  <c r="L57" i="6" s="1"/>
  <c r="K53" i="6"/>
  <c r="J53" i="6"/>
  <c r="I53" i="6"/>
  <c r="I57" i="6" s="1"/>
  <c r="H53" i="6"/>
  <c r="H57" i="6" s="1"/>
  <c r="G53" i="6"/>
  <c r="F53" i="6"/>
  <c r="E53" i="6"/>
  <c r="O29" i="6"/>
  <c r="O52" i="6" s="1"/>
  <c r="N29" i="6"/>
  <c r="N52" i="6" s="1"/>
  <c r="M29" i="6"/>
  <c r="M52" i="6" s="1"/>
  <c r="L29" i="6"/>
  <c r="L52" i="6" s="1"/>
  <c r="K29" i="6"/>
  <c r="K52" i="6" s="1"/>
  <c r="J29" i="6"/>
  <c r="J52" i="6" s="1"/>
  <c r="I29" i="6"/>
  <c r="I52" i="6" s="1"/>
  <c r="H29" i="6"/>
  <c r="H52" i="6" s="1"/>
  <c r="G29" i="6"/>
  <c r="G52" i="6" s="1"/>
  <c r="F29" i="6"/>
  <c r="F52" i="6" s="1"/>
  <c r="E29" i="6"/>
  <c r="E52" i="6" s="1"/>
  <c r="D29" i="6"/>
  <c r="D52" i="6" s="1"/>
  <c r="O50" i="6"/>
  <c r="N50" i="6"/>
  <c r="M50" i="6"/>
  <c r="L50" i="6"/>
  <c r="K50" i="6"/>
  <c r="J50" i="6"/>
  <c r="I50" i="6"/>
  <c r="H50" i="6"/>
  <c r="G50" i="6"/>
  <c r="F50" i="6"/>
  <c r="E50" i="6"/>
  <c r="D50" i="6"/>
  <c r="O49" i="6"/>
  <c r="O51" i="6" s="1"/>
  <c r="N49" i="6"/>
  <c r="N51" i="6" s="1"/>
  <c r="M49" i="6"/>
  <c r="M51" i="6" s="1"/>
  <c r="L49" i="6"/>
  <c r="L51" i="6" s="1"/>
  <c r="K49" i="6"/>
  <c r="K51" i="6" s="1"/>
  <c r="J49" i="6"/>
  <c r="J51" i="6" s="1"/>
  <c r="I49" i="6"/>
  <c r="I51" i="6" s="1"/>
  <c r="H49" i="6"/>
  <c r="H51" i="6" s="1"/>
  <c r="G49" i="6"/>
  <c r="G51" i="6" s="1"/>
  <c r="F49" i="6"/>
  <c r="F51" i="6" s="1"/>
  <c r="E49" i="6"/>
  <c r="E51" i="6" s="1"/>
  <c r="E57" i="6" l="1"/>
  <c r="G57" i="6"/>
  <c r="F57" i="6"/>
  <c r="J183" i="36"/>
  <c r="Q98" i="20"/>
  <c r="Q102" i="20"/>
  <c r="Q96" i="20"/>
  <c r="Q100" i="20"/>
  <c r="B207" i="46"/>
  <c r="B213" i="46" s="1"/>
  <c r="B205" i="46"/>
  <c r="L183" i="36"/>
  <c r="L187" i="36"/>
  <c r="O180" i="36"/>
  <c r="O185" i="36" s="1"/>
  <c r="H180" i="36"/>
  <c r="H185" i="36" s="1"/>
  <c r="F180" i="36"/>
  <c r="F185" i="36" s="1"/>
  <c r="N180" i="36"/>
  <c r="N185" i="36" s="1"/>
  <c r="E180" i="36"/>
  <c r="E185" i="36" s="1"/>
  <c r="I180" i="36"/>
  <c r="I185" i="36" s="1"/>
  <c r="K180" i="36"/>
  <c r="K185" i="36" s="1"/>
  <c r="M180" i="36"/>
  <c r="M185" i="36" s="1"/>
  <c r="G180" i="36"/>
  <c r="G185" i="36" s="1"/>
  <c r="B184" i="46"/>
  <c r="B198" i="46"/>
  <c r="B199" i="46"/>
  <c r="G58" i="18"/>
  <c r="N58" i="18"/>
  <c r="D58" i="18"/>
  <c r="O58" i="18"/>
  <c r="N57" i="18"/>
  <c r="I58" i="18"/>
  <c r="H58" i="18"/>
  <c r="J58" i="18"/>
  <c r="K58" i="18"/>
  <c r="F58" i="18"/>
  <c r="J57" i="18"/>
  <c r="L58" i="18"/>
  <c r="I51" i="18"/>
  <c r="G58" i="6"/>
  <c r="K58" i="6"/>
  <c r="O58" i="6"/>
  <c r="G58" i="5"/>
  <c r="K58" i="5"/>
  <c r="O58" i="5"/>
  <c r="M58" i="18"/>
  <c r="E58" i="18"/>
  <c r="I57" i="18"/>
  <c r="M51" i="18"/>
  <c r="E51" i="18"/>
  <c r="K57" i="18"/>
  <c r="O51" i="18"/>
  <c r="G51" i="18"/>
  <c r="D58" i="6"/>
  <c r="H58" i="6"/>
  <c r="L58" i="6"/>
  <c r="D58" i="5"/>
  <c r="H58" i="5"/>
  <c r="L58" i="5"/>
  <c r="F57" i="18"/>
  <c r="J51" i="18"/>
  <c r="L57" i="18"/>
  <c r="H51" i="18"/>
  <c r="E58" i="6"/>
  <c r="I58" i="6"/>
  <c r="M58" i="6"/>
  <c r="E58" i="5"/>
  <c r="I58" i="5"/>
  <c r="M58" i="5"/>
  <c r="M57" i="18"/>
  <c r="E57" i="18"/>
  <c r="O57" i="18"/>
  <c r="G57" i="18"/>
  <c r="K51" i="18"/>
  <c r="F58" i="6"/>
  <c r="J58" i="6"/>
  <c r="N58" i="6"/>
  <c r="F58" i="5"/>
  <c r="J58" i="5"/>
  <c r="N58" i="5"/>
  <c r="N51" i="18"/>
  <c r="F51" i="18"/>
  <c r="H57" i="18"/>
  <c r="L51" i="18"/>
  <c r="Q112" i="46"/>
  <c r="Q110" i="46"/>
  <c r="Q106" i="46"/>
  <c r="O57" i="6"/>
  <c r="N57" i="6"/>
  <c r="M57" i="6"/>
  <c r="K57" i="6"/>
  <c r="J57" i="6"/>
  <c r="Q108" i="46"/>
  <c r="C109" i="46"/>
  <c r="C94" i="28"/>
  <c r="P114" i="46"/>
  <c r="P27" i="6"/>
  <c r="Q27" i="6" s="1"/>
  <c r="P27" i="5"/>
  <c r="Q27" i="5" s="1"/>
  <c r="P29" i="5"/>
  <c r="Q29" i="5" s="1"/>
  <c r="P31" i="5"/>
  <c r="Q31" i="5" s="1"/>
  <c r="P33" i="5"/>
  <c r="Q33" i="5" s="1"/>
  <c r="P37" i="5"/>
  <c r="Q37" i="5" s="1"/>
  <c r="P33" i="6"/>
  <c r="Q33" i="6" s="1"/>
  <c r="P37" i="6"/>
  <c r="Q37" i="6" s="1"/>
  <c r="P36" i="5"/>
  <c r="Q36" i="5" s="1"/>
  <c r="P29" i="6"/>
  <c r="Q29" i="6" s="1"/>
  <c r="P31" i="6"/>
  <c r="Q31" i="6" s="1"/>
  <c r="P32" i="6"/>
  <c r="Q32" i="6" s="1"/>
  <c r="P36" i="6"/>
  <c r="Q36" i="6" s="1"/>
  <c r="P32" i="5"/>
  <c r="Q32" i="5" s="1"/>
  <c r="J186" i="36"/>
  <c r="J187" i="36" s="1"/>
  <c r="Q74" i="36"/>
  <c r="I186" i="36"/>
  <c r="M186" i="36"/>
  <c r="F186" i="36"/>
  <c r="H186" i="36"/>
  <c r="K186" i="36"/>
  <c r="Q118" i="36"/>
  <c r="Q120" i="36"/>
  <c r="E136" i="36"/>
  <c r="E182" i="36" s="1"/>
  <c r="G186" i="36"/>
  <c r="O186" i="36"/>
  <c r="N186" i="36"/>
  <c r="O37" i="4"/>
  <c r="O60" i="4" s="1"/>
  <c r="N37" i="4"/>
  <c r="N60" i="4" s="1"/>
  <c r="M37" i="4"/>
  <c r="M60" i="4" s="1"/>
  <c r="L37" i="4"/>
  <c r="L60" i="4" s="1"/>
  <c r="K37" i="4"/>
  <c r="K60" i="4" s="1"/>
  <c r="J37" i="4"/>
  <c r="J60" i="4" s="1"/>
  <c r="I37" i="4"/>
  <c r="I60" i="4" s="1"/>
  <c r="H37" i="4"/>
  <c r="H60" i="4" s="1"/>
  <c r="G37" i="4"/>
  <c r="G60" i="4" s="1"/>
  <c r="F37" i="4"/>
  <c r="F60" i="4" s="1"/>
  <c r="E37" i="4"/>
  <c r="E60" i="4" s="1"/>
  <c r="D37" i="4"/>
  <c r="D60" i="4" s="1"/>
  <c r="O36" i="4"/>
  <c r="N36" i="4"/>
  <c r="N36" i="20" s="1"/>
  <c r="M36" i="4"/>
  <c r="M36" i="20" s="1"/>
  <c r="L36" i="4"/>
  <c r="K36" i="4"/>
  <c r="K36" i="20" s="1"/>
  <c r="J36" i="4"/>
  <c r="I36" i="4"/>
  <c r="H36" i="4"/>
  <c r="G36" i="4"/>
  <c r="G36" i="20" s="1"/>
  <c r="F36" i="4"/>
  <c r="E36" i="4"/>
  <c r="D59" i="4"/>
  <c r="O33" i="4"/>
  <c r="O56" i="4" s="1"/>
  <c r="N33" i="4"/>
  <c r="N56" i="4" s="1"/>
  <c r="M33" i="4"/>
  <c r="M56" i="4" s="1"/>
  <c r="L33" i="4"/>
  <c r="L56" i="4" s="1"/>
  <c r="K33" i="4"/>
  <c r="K56" i="4" s="1"/>
  <c r="J33" i="4"/>
  <c r="J56" i="4" s="1"/>
  <c r="I33" i="4"/>
  <c r="I56" i="4" s="1"/>
  <c r="H33" i="4"/>
  <c r="H56" i="4" s="1"/>
  <c r="G33" i="4"/>
  <c r="G56" i="4" s="1"/>
  <c r="F33" i="4"/>
  <c r="F56" i="4" s="1"/>
  <c r="E33" i="4"/>
  <c r="E56" i="4" s="1"/>
  <c r="D33" i="4"/>
  <c r="D56" i="4" s="1"/>
  <c r="C33" i="28"/>
  <c r="C43" i="46" s="1"/>
  <c r="O32" i="4"/>
  <c r="O32" i="20" s="1"/>
  <c r="N32" i="4"/>
  <c r="N32" i="20" s="1"/>
  <c r="M32" i="4"/>
  <c r="M32" i="20" s="1"/>
  <c r="L32" i="4"/>
  <c r="L32" i="20" s="1"/>
  <c r="K32" i="4"/>
  <c r="K32" i="20" s="1"/>
  <c r="J32" i="4"/>
  <c r="J32" i="20" s="1"/>
  <c r="I32" i="4"/>
  <c r="I32" i="20" s="1"/>
  <c r="H32" i="4"/>
  <c r="H32" i="20" s="1"/>
  <c r="G32" i="4"/>
  <c r="F32" i="4"/>
  <c r="F32" i="20" s="1"/>
  <c r="E32" i="4"/>
  <c r="E32" i="20" s="1"/>
  <c r="C32" i="28"/>
  <c r="C42" i="46" s="1"/>
  <c r="O31" i="4"/>
  <c r="O54" i="4" s="1"/>
  <c r="N31" i="4"/>
  <c r="N54" i="4" s="1"/>
  <c r="M31" i="4"/>
  <c r="M54" i="4" s="1"/>
  <c r="L31" i="4"/>
  <c r="L54" i="4" s="1"/>
  <c r="K31" i="4"/>
  <c r="K54" i="4" s="1"/>
  <c r="J31" i="4"/>
  <c r="J54" i="4" s="1"/>
  <c r="I31" i="4"/>
  <c r="I54" i="4" s="1"/>
  <c r="H31" i="4"/>
  <c r="H54" i="4" s="1"/>
  <c r="G31" i="4"/>
  <c r="G54" i="4" s="1"/>
  <c r="F31" i="4"/>
  <c r="F54" i="4" s="1"/>
  <c r="E31" i="4"/>
  <c r="E54" i="4" s="1"/>
  <c r="D31" i="4"/>
  <c r="D54" i="4" s="1"/>
  <c r="C31" i="28"/>
  <c r="C41" i="46" s="1"/>
  <c r="O30" i="4"/>
  <c r="O53" i="4" s="1"/>
  <c r="N30" i="4"/>
  <c r="N53" i="4" s="1"/>
  <c r="M30" i="4"/>
  <c r="M53" i="4" s="1"/>
  <c r="L30" i="4"/>
  <c r="L53" i="4" s="1"/>
  <c r="K30" i="4"/>
  <c r="K53" i="4" s="1"/>
  <c r="J30" i="4"/>
  <c r="J53" i="4" s="1"/>
  <c r="I30" i="4"/>
  <c r="I53" i="4" s="1"/>
  <c r="H30" i="4"/>
  <c r="H53" i="4" s="1"/>
  <c r="G30" i="4"/>
  <c r="G53" i="4" s="1"/>
  <c r="F30" i="4"/>
  <c r="F53" i="4" s="1"/>
  <c r="E30" i="4"/>
  <c r="C30" i="28"/>
  <c r="C40" i="46" s="1"/>
  <c r="O29" i="4"/>
  <c r="O29" i="20" s="1"/>
  <c r="N29" i="4"/>
  <c r="N29" i="20" s="1"/>
  <c r="M29" i="4"/>
  <c r="M29" i="20" s="1"/>
  <c r="L29" i="4"/>
  <c r="L29" i="20" s="1"/>
  <c r="K29" i="4"/>
  <c r="K29" i="20" s="1"/>
  <c r="J29" i="4"/>
  <c r="J29" i="20" s="1"/>
  <c r="I29" i="4"/>
  <c r="I29" i="20" s="1"/>
  <c r="H29" i="4"/>
  <c r="H29" i="20" s="1"/>
  <c r="G29" i="4"/>
  <c r="G29" i="20" s="1"/>
  <c r="F29" i="4"/>
  <c r="F29" i="20" s="1"/>
  <c r="E29" i="4"/>
  <c r="E29" i="20" s="1"/>
  <c r="D29" i="4"/>
  <c r="D52" i="4" s="1"/>
  <c r="C29" i="28"/>
  <c r="O27" i="4"/>
  <c r="O50" i="4" s="1"/>
  <c r="N27" i="4"/>
  <c r="N50" i="4" s="1"/>
  <c r="M27" i="4"/>
  <c r="M50" i="4" s="1"/>
  <c r="L27" i="4"/>
  <c r="L50" i="4" s="1"/>
  <c r="K27" i="4"/>
  <c r="K50" i="4" s="1"/>
  <c r="J27" i="4"/>
  <c r="J50" i="4" s="1"/>
  <c r="I27" i="4"/>
  <c r="I50" i="4" s="1"/>
  <c r="H27" i="4"/>
  <c r="H50" i="4" s="1"/>
  <c r="G27" i="4"/>
  <c r="G50" i="4" s="1"/>
  <c r="F27" i="4"/>
  <c r="F50" i="4" s="1"/>
  <c r="E27" i="4"/>
  <c r="E50" i="4" s="1"/>
  <c r="D27" i="4"/>
  <c r="D50" i="4" s="1"/>
  <c r="C27" i="28"/>
  <c r="C37" i="46" s="1"/>
  <c r="C26" i="28"/>
  <c r="P381" i="35"/>
  <c r="Q381" i="35" s="1"/>
  <c r="P379" i="35"/>
  <c r="Q379" i="35" s="1"/>
  <c r="P378" i="35"/>
  <c r="Q378" i="35" s="1"/>
  <c r="P377" i="35"/>
  <c r="Q377" i="35" s="1"/>
  <c r="O377" i="35"/>
  <c r="N377" i="35"/>
  <c r="M377" i="35"/>
  <c r="L377" i="35"/>
  <c r="K377" i="35"/>
  <c r="J377" i="35"/>
  <c r="I377" i="35"/>
  <c r="H377" i="35"/>
  <c r="G377" i="35"/>
  <c r="F377" i="35"/>
  <c r="E377" i="35"/>
  <c r="D377" i="35"/>
  <c r="C377" i="35"/>
  <c r="B377" i="35"/>
  <c r="P376" i="35"/>
  <c r="Q376" i="35" s="1"/>
  <c r="P375" i="35"/>
  <c r="Q375" i="35" s="1"/>
  <c r="P374" i="35"/>
  <c r="Q374" i="35" s="1"/>
  <c r="O374" i="35"/>
  <c r="N374" i="35"/>
  <c r="M374" i="35"/>
  <c r="L374" i="35"/>
  <c r="K374" i="35"/>
  <c r="J374" i="35"/>
  <c r="I374" i="35"/>
  <c r="H374" i="35"/>
  <c r="G374" i="35"/>
  <c r="F374" i="35"/>
  <c r="E374" i="35"/>
  <c r="D374" i="35"/>
  <c r="C374" i="35"/>
  <c r="B374" i="35"/>
  <c r="O373" i="35"/>
  <c r="N373" i="35"/>
  <c r="M373" i="35"/>
  <c r="L373" i="35"/>
  <c r="K373" i="35"/>
  <c r="J373" i="35"/>
  <c r="I373" i="35"/>
  <c r="H373" i="35"/>
  <c r="G373" i="35"/>
  <c r="F373" i="35"/>
  <c r="E373" i="35"/>
  <c r="D373" i="35"/>
  <c r="C373" i="35"/>
  <c r="B373" i="35"/>
  <c r="P372" i="35"/>
  <c r="Q372" i="35" s="1"/>
  <c r="P371" i="35"/>
  <c r="Q371" i="35" s="1"/>
  <c r="P370" i="35"/>
  <c r="Q370" i="35" s="1"/>
  <c r="P369" i="35"/>
  <c r="P373" i="35" s="1"/>
  <c r="Q373" i="35" s="1"/>
  <c r="P368" i="35"/>
  <c r="Q368" i="35" s="1"/>
  <c r="O367" i="35"/>
  <c r="N367" i="35"/>
  <c r="N364" i="35" s="1"/>
  <c r="N383" i="35" s="1"/>
  <c r="M367" i="35"/>
  <c r="L367" i="35"/>
  <c r="L364" i="35" s="1"/>
  <c r="L383" i="35" s="1"/>
  <c r="K367" i="35"/>
  <c r="J367" i="35"/>
  <c r="J364" i="35" s="1"/>
  <c r="J383" i="35" s="1"/>
  <c r="I367" i="35"/>
  <c r="H367" i="35"/>
  <c r="G367" i="35"/>
  <c r="F367" i="35"/>
  <c r="F364" i="35" s="1"/>
  <c r="F383" i="35" s="1"/>
  <c r="E367" i="35"/>
  <c r="D367" i="35"/>
  <c r="D364" i="35" s="1"/>
  <c r="D383" i="35" s="1"/>
  <c r="C367" i="35"/>
  <c r="B367" i="35"/>
  <c r="B364" i="35" s="1"/>
  <c r="B383" i="35" s="1"/>
  <c r="P366" i="35"/>
  <c r="Q366" i="35" s="1"/>
  <c r="P365" i="35"/>
  <c r="Q365" i="35" s="1"/>
  <c r="O364" i="35"/>
  <c r="O383" i="35" s="1"/>
  <c r="M364" i="35"/>
  <c r="M383" i="35" s="1"/>
  <c r="K364" i="35"/>
  <c r="K383" i="35" s="1"/>
  <c r="I364" i="35"/>
  <c r="I383" i="35" s="1"/>
  <c r="H364" i="35"/>
  <c r="G364" i="35"/>
  <c r="G383" i="35" s="1"/>
  <c r="E364" i="35"/>
  <c r="E383" i="35" s="1"/>
  <c r="C364" i="35"/>
  <c r="C383" i="35" s="1"/>
  <c r="P357" i="35"/>
  <c r="Q357" i="35" s="1"/>
  <c r="P355" i="35"/>
  <c r="Q355" i="35" s="1"/>
  <c r="P354" i="35"/>
  <c r="P353" i="35" s="1"/>
  <c r="Q353" i="35" s="1"/>
  <c r="O353" i="35"/>
  <c r="N353" i="35"/>
  <c r="M353" i="35"/>
  <c r="L353" i="35"/>
  <c r="K353" i="35"/>
  <c r="J353" i="35"/>
  <c r="I353" i="35"/>
  <c r="H353" i="35"/>
  <c r="G353" i="35"/>
  <c r="F353" i="35"/>
  <c r="E353" i="35"/>
  <c r="D353" i="35"/>
  <c r="C353" i="35"/>
  <c r="B353" i="35"/>
  <c r="P352" i="35"/>
  <c r="Q352" i="35" s="1"/>
  <c r="P351" i="35"/>
  <c r="O350" i="35"/>
  <c r="N350" i="35"/>
  <c r="M350" i="35"/>
  <c r="L350" i="35"/>
  <c r="K350" i="35"/>
  <c r="J350" i="35"/>
  <c r="I350" i="35"/>
  <c r="H350" i="35"/>
  <c r="G350" i="35"/>
  <c r="F350" i="35"/>
  <c r="E350" i="35"/>
  <c r="D350" i="35"/>
  <c r="C350" i="35"/>
  <c r="B350" i="35"/>
  <c r="O349" i="35"/>
  <c r="N349" i="35"/>
  <c r="M349" i="35"/>
  <c r="L349" i="35"/>
  <c r="K349" i="35"/>
  <c r="J349" i="35"/>
  <c r="I349" i="35"/>
  <c r="H349" i="35"/>
  <c r="G349" i="35"/>
  <c r="F349" i="35"/>
  <c r="E349" i="35"/>
  <c r="D349" i="35"/>
  <c r="C349" i="35"/>
  <c r="B349" i="35"/>
  <c r="P348" i="35"/>
  <c r="Q348" i="35" s="1"/>
  <c r="P347" i="35"/>
  <c r="Q347" i="35" s="1"/>
  <c r="P346" i="35"/>
  <c r="Q346" i="35" s="1"/>
  <c r="P345" i="35"/>
  <c r="Q345" i="35" s="1"/>
  <c r="P344" i="35"/>
  <c r="Q344" i="35" s="1"/>
  <c r="O343" i="35"/>
  <c r="N343" i="35"/>
  <c r="M343" i="35"/>
  <c r="L343" i="35"/>
  <c r="L340" i="35" s="1"/>
  <c r="L359" i="35" s="1"/>
  <c r="K343" i="35"/>
  <c r="J343" i="35"/>
  <c r="J340" i="35" s="1"/>
  <c r="J359" i="35" s="1"/>
  <c r="I343" i="35"/>
  <c r="H343" i="35"/>
  <c r="H340" i="35" s="1"/>
  <c r="H359" i="35" s="1"/>
  <c r="G343" i="35"/>
  <c r="F343" i="35"/>
  <c r="E343" i="35"/>
  <c r="D343" i="35"/>
  <c r="C343" i="35"/>
  <c r="B343" i="35"/>
  <c r="B340" i="35" s="1"/>
  <c r="B359" i="35" s="1"/>
  <c r="P342" i="35"/>
  <c r="Q342" i="35" s="1"/>
  <c r="P341" i="35"/>
  <c r="Q341" i="35" s="1"/>
  <c r="O340" i="35"/>
  <c r="O359" i="35" s="1"/>
  <c r="N340" i="35"/>
  <c r="N359" i="35" s="1"/>
  <c r="M340" i="35"/>
  <c r="M359" i="35" s="1"/>
  <c r="K340" i="35"/>
  <c r="K359" i="35" s="1"/>
  <c r="I340" i="35"/>
  <c r="I359" i="35" s="1"/>
  <c r="G340" i="35"/>
  <c r="G359" i="35" s="1"/>
  <c r="F340" i="35"/>
  <c r="E340" i="35"/>
  <c r="E359" i="35" s="1"/>
  <c r="C340" i="35"/>
  <c r="C359" i="35" s="1"/>
  <c r="Q333" i="35"/>
  <c r="P333" i="35"/>
  <c r="Q331" i="35"/>
  <c r="P331" i="35"/>
  <c r="Q330" i="35"/>
  <c r="P330" i="35"/>
  <c r="O329" i="35"/>
  <c r="N329" i="35"/>
  <c r="M329" i="35"/>
  <c r="L329" i="35"/>
  <c r="K329" i="35"/>
  <c r="J329" i="35"/>
  <c r="I329" i="35"/>
  <c r="H329" i="35"/>
  <c r="G329" i="35"/>
  <c r="F329" i="35"/>
  <c r="E329" i="35"/>
  <c r="D329" i="35"/>
  <c r="C329" i="35"/>
  <c r="B329" i="35"/>
  <c r="Q328" i="35"/>
  <c r="P328" i="35"/>
  <c r="Q327" i="35"/>
  <c r="P327" i="35"/>
  <c r="P326" i="35" s="1"/>
  <c r="Q326" i="35" s="1"/>
  <c r="O326" i="35"/>
  <c r="N326" i="35"/>
  <c r="M326" i="35"/>
  <c r="L326" i="35"/>
  <c r="K326" i="35"/>
  <c r="J326" i="35"/>
  <c r="I326" i="35"/>
  <c r="H326" i="35"/>
  <c r="G326" i="35"/>
  <c r="F326" i="35"/>
  <c r="E326" i="35"/>
  <c r="D326" i="35"/>
  <c r="C326" i="35"/>
  <c r="B326" i="35"/>
  <c r="O325" i="35"/>
  <c r="N325" i="35"/>
  <c r="M325" i="35"/>
  <c r="L325" i="35"/>
  <c r="K325" i="35"/>
  <c r="J325" i="35"/>
  <c r="I325" i="35"/>
  <c r="H325" i="35"/>
  <c r="G325" i="35"/>
  <c r="F325" i="35"/>
  <c r="E325" i="35"/>
  <c r="D325" i="35"/>
  <c r="C325" i="35"/>
  <c r="B325" i="35"/>
  <c r="Q324" i="35"/>
  <c r="P324" i="35"/>
  <c r="Q323" i="35"/>
  <c r="P323" i="35"/>
  <c r="Q322" i="35"/>
  <c r="P322" i="35"/>
  <c r="Q321" i="35"/>
  <c r="P321" i="35"/>
  <c r="P325" i="35" s="1"/>
  <c r="Q325" i="35" s="1"/>
  <c r="Q320" i="35"/>
  <c r="P320" i="35"/>
  <c r="O319" i="35"/>
  <c r="O316" i="35" s="1"/>
  <c r="O335" i="35" s="1"/>
  <c r="N319" i="35"/>
  <c r="N316" i="35" s="1"/>
  <c r="N335" i="35" s="1"/>
  <c r="M319" i="35"/>
  <c r="L319" i="35"/>
  <c r="K319" i="35"/>
  <c r="K316" i="35" s="1"/>
  <c r="K335" i="35" s="1"/>
  <c r="J319" i="35"/>
  <c r="J316" i="35" s="1"/>
  <c r="J335" i="35" s="1"/>
  <c r="I319" i="35"/>
  <c r="H319" i="35"/>
  <c r="G319" i="35"/>
  <c r="G316" i="35" s="1"/>
  <c r="G335" i="35" s="1"/>
  <c r="F319" i="35"/>
  <c r="F316" i="35" s="1"/>
  <c r="F335" i="35" s="1"/>
  <c r="E319" i="35"/>
  <c r="D319" i="35"/>
  <c r="C319" i="35"/>
  <c r="C316" i="35" s="1"/>
  <c r="C335" i="35" s="1"/>
  <c r="B319" i="35"/>
  <c r="B316" i="35" s="1"/>
  <c r="B335" i="35" s="1"/>
  <c r="Q318" i="35"/>
  <c r="P318" i="35"/>
  <c r="Q317" i="35"/>
  <c r="P317" i="35"/>
  <c r="M316" i="35"/>
  <c r="L316" i="35"/>
  <c r="L335" i="35" s="1"/>
  <c r="I316" i="35"/>
  <c r="I335" i="35" s="1"/>
  <c r="H316" i="35"/>
  <c r="H335" i="35" s="1"/>
  <c r="E316" i="35"/>
  <c r="D316" i="35"/>
  <c r="D335" i="35" s="1"/>
  <c r="Q309" i="35"/>
  <c r="P309" i="35"/>
  <c r="Q307" i="35"/>
  <c r="P307" i="35"/>
  <c r="Q306" i="35"/>
  <c r="P306" i="35"/>
  <c r="P305" i="35" s="1"/>
  <c r="Q305" i="35" s="1"/>
  <c r="O305" i="35"/>
  <c r="N305" i="35"/>
  <c r="M305" i="35"/>
  <c r="L305" i="35"/>
  <c r="K305" i="35"/>
  <c r="J305" i="35"/>
  <c r="I305" i="35"/>
  <c r="H305" i="35"/>
  <c r="G305" i="35"/>
  <c r="F305" i="35"/>
  <c r="E305" i="35"/>
  <c r="D305" i="35"/>
  <c r="C305" i="35"/>
  <c r="B305" i="35"/>
  <c r="Q304" i="35"/>
  <c r="P304" i="35"/>
  <c r="Q303" i="35"/>
  <c r="P303" i="35"/>
  <c r="O302" i="35"/>
  <c r="N302" i="35"/>
  <c r="M302" i="35"/>
  <c r="L302" i="35"/>
  <c r="K302" i="35"/>
  <c r="J302" i="35"/>
  <c r="I302" i="35"/>
  <c r="H302" i="35"/>
  <c r="G302" i="35"/>
  <c r="F302" i="35"/>
  <c r="E302" i="35"/>
  <c r="D302" i="35"/>
  <c r="C302" i="35"/>
  <c r="B302" i="35"/>
  <c r="O301" i="35"/>
  <c r="N301" i="35"/>
  <c r="M301" i="35"/>
  <c r="L301" i="35"/>
  <c r="K301" i="35"/>
  <c r="J301" i="35"/>
  <c r="I301" i="35"/>
  <c r="H301" i="35"/>
  <c r="G301" i="35"/>
  <c r="F301" i="35"/>
  <c r="E301" i="35"/>
  <c r="D301" i="35"/>
  <c r="C301" i="35"/>
  <c r="B301" i="35"/>
  <c r="Q300" i="35"/>
  <c r="P300" i="35"/>
  <c r="Q299" i="35"/>
  <c r="P299" i="35"/>
  <c r="Q298" i="35"/>
  <c r="P298" i="35"/>
  <c r="Q297" i="35"/>
  <c r="P297" i="35"/>
  <c r="Q296" i="35"/>
  <c r="P296" i="35"/>
  <c r="O295" i="35"/>
  <c r="N295" i="35"/>
  <c r="M295" i="35"/>
  <c r="L295" i="35"/>
  <c r="K295" i="35"/>
  <c r="K292" i="35" s="1"/>
  <c r="J295" i="35"/>
  <c r="I295" i="35"/>
  <c r="H295" i="35"/>
  <c r="G295" i="35"/>
  <c r="G292" i="35" s="1"/>
  <c r="G311" i="35" s="1"/>
  <c r="F295" i="35"/>
  <c r="E295" i="35"/>
  <c r="D295" i="35"/>
  <c r="C295" i="35"/>
  <c r="C292" i="35" s="1"/>
  <c r="B295" i="35"/>
  <c r="Q294" i="35"/>
  <c r="P294" i="35"/>
  <c r="Q293" i="35"/>
  <c r="P293" i="35"/>
  <c r="O292" i="35"/>
  <c r="O311" i="35" s="1"/>
  <c r="N292" i="35"/>
  <c r="N311" i="35" s="1"/>
  <c r="L292" i="35"/>
  <c r="L311" i="35" s="1"/>
  <c r="J292" i="35"/>
  <c r="J311" i="35" s="1"/>
  <c r="H292" i="35"/>
  <c r="H311" i="35" s="1"/>
  <c r="F292" i="35"/>
  <c r="D292" i="35"/>
  <c r="D311" i="35" s="1"/>
  <c r="B292" i="35"/>
  <c r="B311" i="35" s="1"/>
  <c r="P285" i="35"/>
  <c r="Q285" i="35" s="1"/>
  <c r="P283" i="35"/>
  <c r="Q283" i="35" s="1"/>
  <c r="P282" i="35"/>
  <c r="O281" i="35"/>
  <c r="N281" i="35"/>
  <c r="M281" i="35"/>
  <c r="L281" i="35"/>
  <c r="K281" i="35"/>
  <c r="J281" i="35"/>
  <c r="I281" i="35"/>
  <c r="H281" i="35"/>
  <c r="G281" i="35"/>
  <c r="F281" i="35"/>
  <c r="E281" i="35"/>
  <c r="D281" i="35"/>
  <c r="C281" i="35"/>
  <c r="B281" i="35"/>
  <c r="P280" i="35"/>
  <c r="Q280" i="35" s="1"/>
  <c r="P279" i="35"/>
  <c r="Q279" i="35" s="1"/>
  <c r="P278" i="35"/>
  <c r="Q278" i="35" s="1"/>
  <c r="O278" i="35"/>
  <c r="N278" i="35"/>
  <c r="M278" i="35"/>
  <c r="L278" i="35"/>
  <c r="K278" i="35"/>
  <c r="J278" i="35"/>
  <c r="I278" i="35"/>
  <c r="H278" i="35"/>
  <c r="G278" i="35"/>
  <c r="F278" i="35"/>
  <c r="E278" i="35"/>
  <c r="D278" i="35"/>
  <c r="C278" i="35"/>
  <c r="B278" i="35"/>
  <c r="O277" i="35"/>
  <c r="N277" i="35"/>
  <c r="M277" i="35"/>
  <c r="L277" i="35"/>
  <c r="K277" i="35"/>
  <c r="J277" i="35"/>
  <c r="I277" i="35"/>
  <c r="H277" i="35"/>
  <c r="G277" i="35"/>
  <c r="F277" i="35"/>
  <c r="F268" i="35" s="1"/>
  <c r="F287" i="35" s="1"/>
  <c r="E277" i="35"/>
  <c r="D277" i="35"/>
  <c r="C277" i="35"/>
  <c r="B277" i="35"/>
  <c r="P276" i="35"/>
  <c r="Q276" i="35" s="1"/>
  <c r="P275" i="35"/>
  <c r="Q275" i="35" s="1"/>
  <c r="P274" i="35"/>
  <c r="Q274" i="35" s="1"/>
  <c r="P273" i="35"/>
  <c r="P277" i="35" s="1"/>
  <c r="Q277" i="35" s="1"/>
  <c r="P272" i="35"/>
  <c r="Q272" i="35" s="1"/>
  <c r="O271" i="35"/>
  <c r="N271" i="35"/>
  <c r="M271" i="35"/>
  <c r="L271" i="35"/>
  <c r="K271" i="35"/>
  <c r="K268" i="35" s="1"/>
  <c r="K287" i="35" s="1"/>
  <c r="J271" i="35"/>
  <c r="I271" i="35"/>
  <c r="H271" i="35"/>
  <c r="G271" i="35"/>
  <c r="G268" i="35" s="1"/>
  <c r="F271" i="35"/>
  <c r="E271" i="35"/>
  <c r="D271" i="35"/>
  <c r="C271" i="35"/>
  <c r="C268" i="35" s="1"/>
  <c r="C287" i="35" s="1"/>
  <c r="B271" i="35"/>
  <c r="P270" i="35"/>
  <c r="Q270" i="35" s="1"/>
  <c r="P269" i="35"/>
  <c r="Q269" i="35" s="1"/>
  <c r="O268" i="35"/>
  <c r="H268" i="35"/>
  <c r="Q261" i="35"/>
  <c r="P261" i="35"/>
  <c r="Q259" i="35"/>
  <c r="P259" i="35"/>
  <c r="Q258" i="35"/>
  <c r="P258" i="35"/>
  <c r="P257" i="35" s="1"/>
  <c r="Q257" i="35" s="1"/>
  <c r="O257" i="35"/>
  <c r="N257" i="35"/>
  <c r="M257" i="35"/>
  <c r="L257" i="35"/>
  <c r="K257" i="35"/>
  <c r="J257" i="35"/>
  <c r="I257" i="35"/>
  <c r="H257" i="35"/>
  <c r="G257" i="35"/>
  <c r="F257" i="35"/>
  <c r="E257" i="35"/>
  <c r="D257" i="35"/>
  <c r="C257" i="35"/>
  <c r="B257" i="35"/>
  <c r="Q256" i="35"/>
  <c r="P256" i="35"/>
  <c r="Q255" i="35"/>
  <c r="P255" i="35"/>
  <c r="Q254" i="35"/>
  <c r="P254" i="35"/>
  <c r="O254" i="35"/>
  <c r="N254" i="35"/>
  <c r="M254" i="35"/>
  <c r="L254" i="35"/>
  <c r="K254" i="35"/>
  <c r="J254" i="35"/>
  <c r="I254" i="35"/>
  <c r="H254" i="35"/>
  <c r="G254" i="35"/>
  <c r="F254" i="35"/>
  <c r="E254" i="35"/>
  <c r="D254" i="35"/>
  <c r="C254" i="35"/>
  <c r="B254" i="35"/>
  <c r="O253" i="35"/>
  <c r="N253" i="35"/>
  <c r="M253" i="35"/>
  <c r="L253" i="35"/>
  <c r="K253" i="35"/>
  <c r="J253" i="35"/>
  <c r="I253" i="35"/>
  <c r="H253" i="35"/>
  <c r="G253" i="35"/>
  <c r="F253" i="35"/>
  <c r="E253" i="35"/>
  <c r="D253" i="35"/>
  <c r="C253" i="35"/>
  <c r="B253" i="35"/>
  <c r="Q252" i="35"/>
  <c r="P252" i="35"/>
  <c r="Q251" i="35"/>
  <c r="P251" i="35"/>
  <c r="Q250" i="35"/>
  <c r="P250" i="35"/>
  <c r="Q249" i="35"/>
  <c r="P249" i="35"/>
  <c r="P253" i="35" s="1"/>
  <c r="Q253" i="35" s="1"/>
  <c r="Q248" i="35"/>
  <c r="P248" i="35"/>
  <c r="O247" i="35"/>
  <c r="O244" i="35" s="1"/>
  <c r="O263" i="35" s="1"/>
  <c r="N247" i="35"/>
  <c r="N244" i="35" s="1"/>
  <c r="N263" i="35" s="1"/>
  <c r="M247" i="35"/>
  <c r="L247" i="35"/>
  <c r="K247" i="35"/>
  <c r="K244" i="35" s="1"/>
  <c r="K263" i="35" s="1"/>
  <c r="J247" i="35"/>
  <c r="J244" i="35" s="1"/>
  <c r="J263" i="35" s="1"/>
  <c r="I247" i="35"/>
  <c r="H247" i="35"/>
  <c r="G247" i="35"/>
  <c r="G244" i="35" s="1"/>
  <c r="G263" i="35" s="1"/>
  <c r="F247" i="35"/>
  <c r="E247" i="35"/>
  <c r="D247" i="35"/>
  <c r="C247" i="35"/>
  <c r="C244" i="35" s="1"/>
  <c r="C263" i="35" s="1"/>
  <c r="B247" i="35"/>
  <c r="Q246" i="35"/>
  <c r="P246" i="35"/>
  <c r="Q245" i="35"/>
  <c r="P245" i="35"/>
  <c r="L244" i="35"/>
  <c r="L263" i="35" s="1"/>
  <c r="H244" i="35"/>
  <c r="F244" i="35"/>
  <c r="F263" i="35" s="1"/>
  <c r="D244" i="35"/>
  <c r="D263" i="35" s="1"/>
  <c r="B244" i="35"/>
  <c r="B263" i="35" s="1"/>
  <c r="P237" i="35"/>
  <c r="Q237" i="35" s="1"/>
  <c r="P235" i="35"/>
  <c r="Q235" i="35" s="1"/>
  <c r="P234" i="35"/>
  <c r="Q234" i="35" s="1"/>
  <c r="P233" i="35"/>
  <c r="Q233" i="35" s="1"/>
  <c r="O233" i="35"/>
  <c r="N233" i="35"/>
  <c r="M233" i="35"/>
  <c r="L233" i="35"/>
  <c r="K233" i="35"/>
  <c r="J233" i="35"/>
  <c r="I233" i="35"/>
  <c r="H233" i="35"/>
  <c r="G233" i="35"/>
  <c r="F233" i="35"/>
  <c r="E233" i="35"/>
  <c r="D233" i="35"/>
  <c r="C233" i="35"/>
  <c r="B233" i="35"/>
  <c r="P232" i="35"/>
  <c r="Q232" i="35" s="1"/>
  <c r="P231" i="35"/>
  <c r="Q231" i="35" s="1"/>
  <c r="O230" i="35"/>
  <c r="N230" i="35"/>
  <c r="M230" i="35"/>
  <c r="L230" i="35"/>
  <c r="K230" i="35"/>
  <c r="J230" i="35"/>
  <c r="I230" i="35"/>
  <c r="H230" i="35"/>
  <c r="G230" i="35"/>
  <c r="F230" i="35"/>
  <c r="E230" i="35"/>
  <c r="D230" i="35"/>
  <c r="C230" i="35"/>
  <c r="B230" i="35"/>
  <c r="O229" i="35"/>
  <c r="O220" i="35" s="1"/>
  <c r="O239" i="35" s="1"/>
  <c r="N229" i="35"/>
  <c r="M229" i="35"/>
  <c r="L229" i="35"/>
  <c r="K229" i="35"/>
  <c r="J229" i="35"/>
  <c r="I229" i="35"/>
  <c r="H229" i="35"/>
  <c r="G229" i="35"/>
  <c r="F229" i="35"/>
  <c r="E229" i="35"/>
  <c r="D229" i="35"/>
  <c r="C229" i="35"/>
  <c r="B229" i="35"/>
  <c r="P228" i="35"/>
  <c r="Q228" i="35" s="1"/>
  <c r="P227" i="35"/>
  <c r="Q227" i="35" s="1"/>
  <c r="P226" i="35"/>
  <c r="Q226" i="35" s="1"/>
  <c r="P225" i="35"/>
  <c r="P224" i="35"/>
  <c r="Q224" i="35" s="1"/>
  <c r="O223" i="35"/>
  <c r="N223" i="35"/>
  <c r="N220" i="35" s="1"/>
  <c r="N239" i="35" s="1"/>
  <c r="M223" i="35"/>
  <c r="L223" i="35"/>
  <c r="L220" i="35" s="1"/>
  <c r="L239" i="35" s="1"/>
  <c r="K223" i="35"/>
  <c r="J223" i="35"/>
  <c r="J220" i="35" s="1"/>
  <c r="J239" i="35" s="1"/>
  <c r="I223" i="35"/>
  <c r="H223" i="35"/>
  <c r="H220" i="35" s="1"/>
  <c r="G223" i="35"/>
  <c r="F223" i="35"/>
  <c r="F220" i="35" s="1"/>
  <c r="F239" i="35" s="1"/>
  <c r="E223" i="35"/>
  <c r="D223" i="35"/>
  <c r="D220" i="35" s="1"/>
  <c r="D239" i="35" s="1"/>
  <c r="C223" i="35"/>
  <c r="B223" i="35"/>
  <c r="B220" i="35" s="1"/>
  <c r="B239" i="35" s="1"/>
  <c r="P222" i="35"/>
  <c r="Q222" i="35" s="1"/>
  <c r="P221" i="35"/>
  <c r="Q221" i="35" s="1"/>
  <c r="K220" i="35"/>
  <c r="K239" i="35" s="1"/>
  <c r="G220" i="35"/>
  <c r="C220" i="35"/>
  <c r="C239" i="35" s="1"/>
  <c r="P213" i="35"/>
  <c r="Q213" i="35" s="1"/>
  <c r="P211" i="35"/>
  <c r="Q211" i="35" s="1"/>
  <c r="P210" i="35"/>
  <c r="O209" i="35"/>
  <c r="N209" i="35"/>
  <c r="M209" i="35"/>
  <c r="L209" i="35"/>
  <c r="K209" i="35"/>
  <c r="J209" i="35"/>
  <c r="I209" i="35"/>
  <c r="H209" i="35"/>
  <c r="G209" i="35"/>
  <c r="F209" i="35"/>
  <c r="E209" i="35"/>
  <c r="D209" i="35"/>
  <c r="C209" i="35"/>
  <c r="B209" i="35"/>
  <c r="P208" i="35"/>
  <c r="Q208" i="35" s="1"/>
  <c r="P207" i="35"/>
  <c r="P206" i="35" s="1"/>
  <c r="Q206" i="35" s="1"/>
  <c r="O206" i="35"/>
  <c r="N206" i="35"/>
  <c r="M206" i="35"/>
  <c r="L206" i="35"/>
  <c r="K206" i="35"/>
  <c r="J206" i="35"/>
  <c r="I206" i="35"/>
  <c r="H206" i="35"/>
  <c r="G206" i="35"/>
  <c r="F206" i="35"/>
  <c r="E206" i="35"/>
  <c r="D206" i="35"/>
  <c r="C206" i="35"/>
  <c r="B206" i="35"/>
  <c r="O205" i="35"/>
  <c r="N205" i="35"/>
  <c r="M205" i="35"/>
  <c r="L205" i="35"/>
  <c r="K205" i="35"/>
  <c r="J205" i="35"/>
  <c r="I205" i="35"/>
  <c r="H205" i="35"/>
  <c r="G205" i="35"/>
  <c r="F205" i="35"/>
  <c r="E205" i="35"/>
  <c r="D205" i="35"/>
  <c r="C205" i="35"/>
  <c r="B205" i="35"/>
  <c r="P204" i="35"/>
  <c r="Q204" i="35" s="1"/>
  <c r="P203" i="35"/>
  <c r="Q203" i="35" s="1"/>
  <c r="P202" i="35"/>
  <c r="Q202" i="35" s="1"/>
  <c r="P201" i="35"/>
  <c r="Q201" i="35" s="1"/>
  <c r="P200" i="35"/>
  <c r="Q200" i="35" s="1"/>
  <c r="O199" i="35"/>
  <c r="N199" i="35"/>
  <c r="N196" i="35" s="1"/>
  <c r="N215" i="35" s="1"/>
  <c r="M199" i="35"/>
  <c r="L199" i="35"/>
  <c r="L196" i="35" s="1"/>
  <c r="L215" i="35" s="1"/>
  <c r="K199" i="35"/>
  <c r="K196" i="35" s="1"/>
  <c r="K215" i="35" s="1"/>
  <c r="J199" i="35"/>
  <c r="I199" i="35"/>
  <c r="H199" i="35"/>
  <c r="H196" i="35" s="1"/>
  <c r="H215" i="35" s="1"/>
  <c r="G199" i="35"/>
  <c r="F199" i="35"/>
  <c r="F196" i="35" s="1"/>
  <c r="E199" i="35"/>
  <c r="D199" i="35"/>
  <c r="C199" i="35"/>
  <c r="C196" i="35" s="1"/>
  <c r="C215" i="35" s="1"/>
  <c r="B199" i="35"/>
  <c r="B196" i="35" s="1"/>
  <c r="B215" i="35" s="1"/>
  <c r="P198" i="35"/>
  <c r="Q198" i="35" s="1"/>
  <c r="P197" i="35"/>
  <c r="Q197" i="35" s="1"/>
  <c r="O196" i="35"/>
  <c r="O215" i="35" s="1"/>
  <c r="J196" i="35"/>
  <c r="J215" i="35" s="1"/>
  <c r="G196" i="35"/>
  <c r="D196" i="35"/>
  <c r="D215" i="35" s="1"/>
  <c r="P189" i="35"/>
  <c r="Q189" i="35" s="1"/>
  <c r="P187" i="35"/>
  <c r="Q187" i="35" s="1"/>
  <c r="P186" i="35"/>
  <c r="P185" i="35" s="1"/>
  <c r="Q185" i="35" s="1"/>
  <c r="O185" i="35"/>
  <c r="N185" i="35"/>
  <c r="M185" i="35"/>
  <c r="L185" i="35"/>
  <c r="K185" i="35"/>
  <c r="J185" i="35"/>
  <c r="I185" i="35"/>
  <c r="H185" i="35"/>
  <c r="G185" i="35"/>
  <c r="F185" i="35"/>
  <c r="E185" i="35"/>
  <c r="D185" i="35"/>
  <c r="C185" i="35"/>
  <c r="B185" i="35"/>
  <c r="P184" i="35"/>
  <c r="Q184" i="35" s="1"/>
  <c r="P183" i="35"/>
  <c r="Q183" i="35" s="1"/>
  <c r="O182" i="35"/>
  <c r="N182" i="35"/>
  <c r="M182" i="35"/>
  <c r="L182" i="35"/>
  <c r="K182" i="35"/>
  <c r="J182" i="35"/>
  <c r="I182" i="35"/>
  <c r="H182" i="35"/>
  <c r="G182" i="35"/>
  <c r="F182" i="35"/>
  <c r="E182" i="35"/>
  <c r="D182" i="35"/>
  <c r="C182" i="35"/>
  <c r="B182" i="35"/>
  <c r="O181" i="35"/>
  <c r="O172" i="35" s="1"/>
  <c r="O191" i="35" s="1"/>
  <c r="N181" i="35"/>
  <c r="M181" i="35"/>
  <c r="L181" i="35"/>
  <c r="K181" i="35"/>
  <c r="J181" i="35"/>
  <c r="I181" i="35"/>
  <c r="H181" i="35"/>
  <c r="G181" i="35"/>
  <c r="F181" i="35"/>
  <c r="E181" i="35"/>
  <c r="D181" i="35"/>
  <c r="C181" i="35"/>
  <c r="B181" i="35"/>
  <c r="P180" i="35"/>
  <c r="Q180" i="35" s="1"/>
  <c r="P179" i="35"/>
  <c r="Q179" i="35" s="1"/>
  <c r="P178" i="35"/>
  <c r="Q178" i="35" s="1"/>
  <c r="P177" i="35"/>
  <c r="P176" i="35"/>
  <c r="Q176" i="35" s="1"/>
  <c r="O175" i="35"/>
  <c r="N175" i="35"/>
  <c r="N172" i="35" s="1"/>
  <c r="N191" i="35" s="1"/>
  <c r="M175" i="35"/>
  <c r="L175" i="35"/>
  <c r="L172" i="35" s="1"/>
  <c r="L191" i="35" s="1"/>
  <c r="K175" i="35"/>
  <c r="J175" i="35"/>
  <c r="J172" i="35" s="1"/>
  <c r="J191" i="35" s="1"/>
  <c r="I175" i="35"/>
  <c r="H175" i="35"/>
  <c r="H172" i="35" s="1"/>
  <c r="G175" i="35"/>
  <c r="F175" i="35"/>
  <c r="F172" i="35" s="1"/>
  <c r="F191" i="35" s="1"/>
  <c r="E175" i="35"/>
  <c r="D175" i="35"/>
  <c r="D172" i="35" s="1"/>
  <c r="D191" i="35" s="1"/>
  <c r="C175" i="35"/>
  <c r="B175" i="35"/>
  <c r="B172" i="35" s="1"/>
  <c r="B191" i="35" s="1"/>
  <c r="P174" i="35"/>
  <c r="Q174" i="35" s="1"/>
  <c r="P173" i="35"/>
  <c r="Q173" i="35" s="1"/>
  <c r="K172" i="35"/>
  <c r="K191" i="35" s="1"/>
  <c r="G172" i="35"/>
  <c r="C172" i="35"/>
  <c r="C191" i="35" s="1"/>
  <c r="P165" i="35"/>
  <c r="Q165" i="35" s="1"/>
  <c r="P163" i="35"/>
  <c r="Q163" i="35" s="1"/>
  <c r="P162" i="35"/>
  <c r="Q162" i="35" s="1"/>
  <c r="O161" i="35"/>
  <c r="N161" i="35"/>
  <c r="M161" i="35"/>
  <c r="L161" i="35"/>
  <c r="K161" i="35"/>
  <c r="J161" i="35"/>
  <c r="I161" i="35"/>
  <c r="H161" i="35"/>
  <c r="G161" i="35"/>
  <c r="F161" i="35"/>
  <c r="E161" i="35"/>
  <c r="D161" i="35"/>
  <c r="C161" i="35"/>
  <c r="B161" i="35"/>
  <c r="Q160" i="35"/>
  <c r="P160" i="35"/>
  <c r="Q159" i="35"/>
  <c r="P159" i="35"/>
  <c r="P158" i="35" s="1"/>
  <c r="Q158" i="35" s="1"/>
  <c r="O158" i="35"/>
  <c r="N158" i="35"/>
  <c r="M158" i="35"/>
  <c r="L158" i="35"/>
  <c r="K158" i="35"/>
  <c r="J158" i="35"/>
  <c r="I158" i="35"/>
  <c r="H158" i="35"/>
  <c r="G158" i="35"/>
  <c r="F158" i="35"/>
  <c r="E158" i="35"/>
  <c r="D158" i="35"/>
  <c r="C158" i="35"/>
  <c r="B158" i="35"/>
  <c r="O157" i="35"/>
  <c r="N157" i="35"/>
  <c r="M157" i="35"/>
  <c r="L157" i="35"/>
  <c r="K157" i="35"/>
  <c r="J157" i="35"/>
  <c r="I157" i="35"/>
  <c r="H157" i="35"/>
  <c r="G157" i="35"/>
  <c r="F157" i="35"/>
  <c r="E157" i="35"/>
  <c r="D157" i="35"/>
  <c r="C157" i="35"/>
  <c r="B157" i="35"/>
  <c r="P156" i="35"/>
  <c r="Q156" i="35" s="1"/>
  <c r="P155" i="35"/>
  <c r="Q155" i="35" s="1"/>
  <c r="P154" i="35"/>
  <c r="Q154" i="35" s="1"/>
  <c r="P153" i="35"/>
  <c r="Q153" i="35" s="1"/>
  <c r="P152" i="35"/>
  <c r="Q152" i="35" s="1"/>
  <c r="O151" i="35"/>
  <c r="N151" i="35"/>
  <c r="N148" i="35" s="1"/>
  <c r="N167" i="35" s="1"/>
  <c r="M151" i="35"/>
  <c r="L151" i="35"/>
  <c r="L148" i="35" s="1"/>
  <c r="L167" i="35" s="1"/>
  <c r="K151" i="35"/>
  <c r="J151" i="35"/>
  <c r="J148" i="35" s="1"/>
  <c r="J167" i="35" s="1"/>
  <c r="I151" i="35"/>
  <c r="H151" i="35"/>
  <c r="G151" i="35"/>
  <c r="F151" i="35"/>
  <c r="F148" i="35" s="1"/>
  <c r="F167" i="35" s="1"/>
  <c r="E151" i="35"/>
  <c r="D151" i="35"/>
  <c r="C151" i="35"/>
  <c r="B151" i="35"/>
  <c r="B148" i="35" s="1"/>
  <c r="B167" i="35" s="1"/>
  <c r="P150" i="35"/>
  <c r="Q150" i="35" s="1"/>
  <c r="P149" i="35"/>
  <c r="Q149" i="35" s="1"/>
  <c r="K148" i="35"/>
  <c r="G148" i="35"/>
  <c r="P141" i="35"/>
  <c r="Q141" i="35" s="1"/>
  <c r="P139" i="35"/>
  <c r="Q139" i="35" s="1"/>
  <c r="P138" i="35"/>
  <c r="Q138" i="35" s="1"/>
  <c r="O137" i="35"/>
  <c r="N137" i="35"/>
  <c r="M137" i="35"/>
  <c r="L137" i="35"/>
  <c r="K137" i="35"/>
  <c r="J137" i="35"/>
  <c r="I137" i="35"/>
  <c r="H137" i="35"/>
  <c r="G137" i="35"/>
  <c r="F137" i="35"/>
  <c r="E137" i="35"/>
  <c r="D137" i="35"/>
  <c r="C137" i="35"/>
  <c r="B137" i="35"/>
  <c r="P136" i="35"/>
  <c r="Q136" i="35" s="1"/>
  <c r="P135" i="35"/>
  <c r="Q135" i="35" s="1"/>
  <c r="O134" i="35"/>
  <c r="N134" i="35"/>
  <c r="M134" i="35"/>
  <c r="L134" i="35"/>
  <c r="K134" i="35"/>
  <c r="J134" i="35"/>
  <c r="I134" i="35"/>
  <c r="H134" i="35"/>
  <c r="G134" i="35"/>
  <c r="F134" i="35"/>
  <c r="E134" i="35"/>
  <c r="D134" i="35"/>
  <c r="C134" i="35"/>
  <c r="B134" i="35"/>
  <c r="O133" i="35"/>
  <c r="N133" i="35"/>
  <c r="M133" i="35"/>
  <c r="L133" i="35"/>
  <c r="K133" i="35"/>
  <c r="J133" i="35"/>
  <c r="I133" i="35"/>
  <c r="H133" i="35"/>
  <c r="G133" i="35"/>
  <c r="F133" i="35"/>
  <c r="E133" i="35"/>
  <c r="D133" i="35"/>
  <c r="C133" i="35"/>
  <c r="B133" i="35"/>
  <c r="Q132" i="35"/>
  <c r="P132" i="35"/>
  <c r="Q131" i="35"/>
  <c r="P131" i="35"/>
  <c r="Q130" i="35"/>
  <c r="P130" i="35"/>
  <c r="Q129" i="35"/>
  <c r="P129" i="35"/>
  <c r="P133" i="35" s="1"/>
  <c r="Q133" i="35" s="1"/>
  <c r="Q128" i="35"/>
  <c r="P128" i="35"/>
  <c r="O127" i="35"/>
  <c r="O124" i="35" s="1"/>
  <c r="O143" i="35" s="1"/>
  <c r="N127" i="35"/>
  <c r="M127" i="35"/>
  <c r="M124" i="35" s="1"/>
  <c r="M143" i="35" s="1"/>
  <c r="L127" i="35"/>
  <c r="K127" i="35"/>
  <c r="K124" i="35" s="1"/>
  <c r="K143" i="35" s="1"/>
  <c r="J127" i="35"/>
  <c r="I127" i="35"/>
  <c r="I124" i="35" s="1"/>
  <c r="I143" i="35" s="1"/>
  <c r="H127" i="35"/>
  <c r="G127" i="35"/>
  <c r="G124" i="35" s="1"/>
  <c r="G143" i="35" s="1"/>
  <c r="F127" i="35"/>
  <c r="E127" i="35"/>
  <c r="E124" i="35" s="1"/>
  <c r="E143" i="35" s="1"/>
  <c r="D127" i="35"/>
  <c r="C127" i="35"/>
  <c r="C124" i="35" s="1"/>
  <c r="C143" i="35" s="1"/>
  <c r="B127" i="35"/>
  <c r="Q126" i="35"/>
  <c r="P126" i="35"/>
  <c r="Q125" i="35"/>
  <c r="P125" i="35"/>
  <c r="N124" i="35"/>
  <c r="N143" i="35" s="1"/>
  <c r="L124" i="35"/>
  <c r="J124" i="35"/>
  <c r="J143" i="35" s="1"/>
  <c r="H124" i="35"/>
  <c r="F124" i="35"/>
  <c r="F143" i="35" s="1"/>
  <c r="D124" i="35"/>
  <c r="B124" i="35"/>
  <c r="B143" i="35" s="1"/>
  <c r="P117" i="35"/>
  <c r="Q117" i="35" s="1"/>
  <c r="P115" i="35"/>
  <c r="Q115" i="35" s="1"/>
  <c r="P114" i="35"/>
  <c r="Q114" i="35" s="1"/>
  <c r="O113" i="35"/>
  <c r="N113" i="35"/>
  <c r="M113" i="35"/>
  <c r="L113" i="35"/>
  <c r="K113" i="35"/>
  <c r="J113" i="35"/>
  <c r="I113" i="35"/>
  <c r="H113" i="35"/>
  <c r="G113" i="35"/>
  <c r="F113" i="35"/>
  <c r="E113" i="35"/>
  <c r="D113" i="35"/>
  <c r="C113" i="35"/>
  <c r="B113" i="35"/>
  <c r="P112" i="35"/>
  <c r="Q112" i="35" s="1"/>
  <c r="P111" i="35"/>
  <c r="Q111" i="35" s="1"/>
  <c r="O110" i="35"/>
  <c r="N110" i="35"/>
  <c r="M110" i="35"/>
  <c r="L110" i="35"/>
  <c r="K110" i="35"/>
  <c r="J110" i="35"/>
  <c r="I110" i="35"/>
  <c r="H110" i="35"/>
  <c r="G110" i="35"/>
  <c r="F110" i="35"/>
  <c r="E110" i="35"/>
  <c r="D110" i="35"/>
  <c r="C110" i="35"/>
  <c r="B110" i="35"/>
  <c r="O109" i="35"/>
  <c r="N109" i="35"/>
  <c r="M109" i="35"/>
  <c r="L109" i="35"/>
  <c r="K109" i="35"/>
  <c r="J109" i="35"/>
  <c r="I109" i="35"/>
  <c r="H109" i="35"/>
  <c r="G109" i="35"/>
  <c r="F109" i="35"/>
  <c r="E109" i="35"/>
  <c r="D109" i="35"/>
  <c r="C109" i="35"/>
  <c r="B109" i="35"/>
  <c r="Q108" i="35"/>
  <c r="P108" i="35"/>
  <c r="Q107" i="35"/>
  <c r="P107" i="35"/>
  <c r="Q106" i="35"/>
  <c r="P106" i="35"/>
  <c r="Q105" i="35"/>
  <c r="P105" i="35"/>
  <c r="Q104" i="35"/>
  <c r="P104" i="35"/>
  <c r="O103" i="35"/>
  <c r="N103" i="35"/>
  <c r="M103" i="35"/>
  <c r="M100" i="35" s="1"/>
  <c r="M119" i="35" s="1"/>
  <c r="L103" i="35"/>
  <c r="L100" i="35" s="1"/>
  <c r="L119" i="35" s="1"/>
  <c r="K103" i="35"/>
  <c r="J103" i="35"/>
  <c r="I103" i="35"/>
  <c r="H103" i="35"/>
  <c r="H100" i="35" s="1"/>
  <c r="H119" i="35" s="1"/>
  <c r="G103" i="35"/>
  <c r="G100" i="35" s="1"/>
  <c r="G119" i="35" s="1"/>
  <c r="F103" i="35"/>
  <c r="E103" i="35"/>
  <c r="E100" i="35" s="1"/>
  <c r="E119" i="35" s="1"/>
  <c r="D103" i="35"/>
  <c r="C103" i="35"/>
  <c r="B103" i="35"/>
  <c r="Q102" i="35"/>
  <c r="P102" i="35"/>
  <c r="Q101" i="35"/>
  <c r="P101" i="35"/>
  <c r="O100" i="35"/>
  <c r="O119" i="35" s="1"/>
  <c r="N100" i="35"/>
  <c r="K100" i="35"/>
  <c r="K119" i="35" s="1"/>
  <c r="J100" i="35"/>
  <c r="I100" i="35"/>
  <c r="I119" i="35" s="1"/>
  <c r="F100" i="35"/>
  <c r="C100" i="35"/>
  <c r="C119" i="35" s="1"/>
  <c r="B100" i="35"/>
  <c r="Q93" i="35"/>
  <c r="P93" i="35"/>
  <c r="Q91" i="35"/>
  <c r="P91" i="35"/>
  <c r="Q90" i="35"/>
  <c r="P90" i="35"/>
  <c r="Q89" i="35"/>
  <c r="P89" i="35"/>
  <c r="O89" i="35"/>
  <c r="N89" i="35"/>
  <c r="M89" i="35"/>
  <c r="L89" i="35"/>
  <c r="K89" i="35"/>
  <c r="J89" i="35"/>
  <c r="I89" i="35"/>
  <c r="H89" i="35"/>
  <c r="G89" i="35"/>
  <c r="F89" i="35"/>
  <c r="E89" i="35"/>
  <c r="D89" i="35"/>
  <c r="C89" i="35"/>
  <c r="B89" i="35"/>
  <c r="Q88" i="35"/>
  <c r="P88" i="35"/>
  <c r="Q87" i="35"/>
  <c r="P87" i="35"/>
  <c r="Q86" i="35"/>
  <c r="P86" i="35"/>
  <c r="O86" i="35"/>
  <c r="N86" i="35"/>
  <c r="M86" i="35"/>
  <c r="L86" i="35"/>
  <c r="K86" i="35"/>
  <c r="J86" i="35"/>
  <c r="I86" i="35"/>
  <c r="H86" i="35"/>
  <c r="G86" i="35"/>
  <c r="F86" i="35"/>
  <c r="E86" i="35"/>
  <c r="D86" i="35"/>
  <c r="C86" i="35"/>
  <c r="B86" i="35"/>
  <c r="O85" i="35"/>
  <c r="N85" i="35"/>
  <c r="M85" i="35"/>
  <c r="L85" i="35"/>
  <c r="K85" i="35"/>
  <c r="J85" i="35"/>
  <c r="I85" i="35"/>
  <c r="H85" i="35"/>
  <c r="G85" i="35"/>
  <c r="F85" i="35"/>
  <c r="E85" i="35"/>
  <c r="D85" i="35"/>
  <c r="C85" i="35"/>
  <c r="B85" i="35"/>
  <c r="Q84" i="35"/>
  <c r="P84" i="35"/>
  <c r="Q83" i="35"/>
  <c r="P83" i="35"/>
  <c r="Q82" i="35"/>
  <c r="P82" i="35"/>
  <c r="Q81" i="35"/>
  <c r="P81" i="35"/>
  <c r="P85" i="35" s="1"/>
  <c r="Q85" i="35" s="1"/>
  <c r="Q80" i="35"/>
  <c r="P80" i="35"/>
  <c r="O79" i="35"/>
  <c r="O76" i="35" s="1"/>
  <c r="O95" i="35" s="1"/>
  <c r="N79" i="35"/>
  <c r="M79" i="35"/>
  <c r="M76" i="35" s="1"/>
  <c r="L79" i="35"/>
  <c r="K79" i="35"/>
  <c r="K76" i="35" s="1"/>
  <c r="K95" i="35" s="1"/>
  <c r="J79" i="35"/>
  <c r="I79" i="35"/>
  <c r="I76" i="35" s="1"/>
  <c r="H79" i="35"/>
  <c r="G79" i="35"/>
  <c r="G76" i="35" s="1"/>
  <c r="G95" i="35" s="1"/>
  <c r="F79" i="35"/>
  <c r="E79" i="35"/>
  <c r="E76" i="35" s="1"/>
  <c r="D79" i="35"/>
  <c r="C79" i="35"/>
  <c r="C76" i="35" s="1"/>
  <c r="C95" i="35" s="1"/>
  <c r="B79" i="35"/>
  <c r="Q78" i="35"/>
  <c r="P78" i="35"/>
  <c r="Q77" i="35"/>
  <c r="P77" i="35"/>
  <c r="N76" i="35"/>
  <c r="N95" i="35" s="1"/>
  <c r="L76" i="35"/>
  <c r="J76" i="35"/>
  <c r="J95" i="35" s="1"/>
  <c r="H76" i="35"/>
  <c r="H95" i="35" s="1"/>
  <c r="F76" i="35"/>
  <c r="F95" i="35" s="1"/>
  <c r="D76" i="35"/>
  <c r="B76" i="35"/>
  <c r="B95" i="35" s="1"/>
  <c r="P69" i="35"/>
  <c r="Q69" i="35" s="1"/>
  <c r="P67" i="35"/>
  <c r="Q67" i="35" s="1"/>
  <c r="P66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P64" i="35"/>
  <c r="Q64" i="35" s="1"/>
  <c r="P63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O61" i="35"/>
  <c r="N61" i="35"/>
  <c r="M61" i="35"/>
  <c r="M52" i="35" s="1"/>
  <c r="M71" i="35" s="1"/>
  <c r="L61" i="35"/>
  <c r="K61" i="35"/>
  <c r="J61" i="35"/>
  <c r="I61" i="35"/>
  <c r="H61" i="35"/>
  <c r="G61" i="35"/>
  <c r="F61" i="35"/>
  <c r="E61" i="35"/>
  <c r="D61" i="35"/>
  <c r="C61" i="35"/>
  <c r="B61" i="35"/>
  <c r="P60" i="35"/>
  <c r="Q60" i="35" s="1"/>
  <c r="P59" i="35"/>
  <c r="Q59" i="35" s="1"/>
  <c r="P58" i="35"/>
  <c r="Q58" i="35" s="1"/>
  <c r="P57" i="35"/>
  <c r="P56" i="35"/>
  <c r="Q56" i="35" s="1"/>
  <c r="O55" i="35"/>
  <c r="N55" i="35"/>
  <c r="M55" i="35"/>
  <c r="L55" i="35"/>
  <c r="L52" i="35" s="1"/>
  <c r="L71" i="35" s="1"/>
  <c r="K55" i="35"/>
  <c r="J55" i="35"/>
  <c r="I55" i="35"/>
  <c r="H55" i="35"/>
  <c r="H52" i="35" s="1"/>
  <c r="H71" i="35" s="1"/>
  <c r="G55" i="35"/>
  <c r="F55" i="35"/>
  <c r="E55" i="35"/>
  <c r="D55" i="35"/>
  <c r="P55" i="35" s="1"/>
  <c r="C55" i="35"/>
  <c r="B55" i="35"/>
  <c r="P54" i="35"/>
  <c r="Q54" i="35" s="1"/>
  <c r="P53" i="35"/>
  <c r="Q53" i="35" s="1"/>
  <c r="E52" i="35"/>
  <c r="E71" i="35" s="1"/>
  <c r="P45" i="35"/>
  <c r="Q45" i="35" s="1"/>
  <c r="P43" i="35"/>
  <c r="Q43" i="35" s="1"/>
  <c r="P42" i="35"/>
  <c r="O41" i="35"/>
  <c r="N41" i="35"/>
  <c r="M41" i="35"/>
  <c r="L41" i="35"/>
  <c r="K41" i="35"/>
  <c r="J41" i="35"/>
  <c r="I41" i="35"/>
  <c r="H41" i="35"/>
  <c r="G41" i="35"/>
  <c r="F41" i="35"/>
  <c r="E41" i="35"/>
  <c r="D41" i="35"/>
  <c r="C41" i="35"/>
  <c r="B41" i="35"/>
  <c r="P40" i="35"/>
  <c r="Q40" i="35" s="1"/>
  <c r="P39" i="35"/>
  <c r="O38" i="35"/>
  <c r="N38" i="35"/>
  <c r="M38" i="35"/>
  <c r="L38" i="35"/>
  <c r="K38" i="35"/>
  <c r="J38" i="35"/>
  <c r="I38" i="35"/>
  <c r="H38" i="35"/>
  <c r="G38" i="35"/>
  <c r="F38" i="35"/>
  <c r="E38" i="35"/>
  <c r="D38" i="35"/>
  <c r="C38" i="35"/>
  <c r="B38" i="35"/>
  <c r="O37" i="35"/>
  <c r="N37" i="35"/>
  <c r="M37" i="35"/>
  <c r="L37" i="35"/>
  <c r="K37" i="35"/>
  <c r="J37" i="35"/>
  <c r="I37" i="35"/>
  <c r="H37" i="35"/>
  <c r="G37" i="35"/>
  <c r="F37" i="35"/>
  <c r="E37" i="35"/>
  <c r="D37" i="35"/>
  <c r="C37" i="35"/>
  <c r="B37" i="35"/>
  <c r="P36" i="35"/>
  <c r="Q36" i="35" s="1"/>
  <c r="P35" i="35"/>
  <c r="Q35" i="35" s="1"/>
  <c r="P34" i="35"/>
  <c r="Q34" i="35" s="1"/>
  <c r="P33" i="35"/>
  <c r="P32" i="35"/>
  <c r="Q32" i="35" s="1"/>
  <c r="O31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B31" i="35"/>
  <c r="P30" i="35"/>
  <c r="Q30" i="35" s="1"/>
  <c r="P29" i="35"/>
  <c r="Q29" i="35" s="1"/>
  <c r="M28" i="35"/>
  <c r="L28" i="35"/>
  <c r="I28" i="35"/>
  <c r="I47" i="35" s="1"/>
  <c r="H28" i="35"/>
  <c r="H47" i="35" s="1"/>
  <c r="E28" i="35"/>
  <c r="D28" i="35"/>
  <c r="P21" i="35"/>
  <c r="Q21" i="35" s="1"/>
  <c r="P19" i="35"/>
  <c r="Q19" i="35" s="1"/>
  <c r="Q18" i="35"/>
  <c r="P18" i="35"/>
  <c r="P17" i="35" s="1"/>
  <c r="Q17" i="35" s="1"/>
  <c r="O17" i="35"/>
  <c r="N17" i="35"/>
  <c r="M17" i="35"/>
  <c r="L17" i="35"/>
  <c r="K17" i="35"/>
  <c r="J17" i="35"/>
  <c r="I17" i="35"/>
  <c r="H17" i="35"/>
  <c r="G17" i="35"/>
  <c r="F17" i="35"/>
  <c r="E17" i="35"/>
  <c r="D17" i="35"/>
  <c r="C17" i="35"/>
  <c r="B17" i="35"/>
  <c r="Q16" i="35"/>
  <c r="P16" i="35"/>
  <c r="P15" i="35"/>
  <c r="O14" i="35"/>
  <c r="N14" i="35"/>
  <c r="M14" i="35"/>
  <c r="L14" i="35"/>
  <c r="K14" i="35"/>
  <c r="J14" i="35"/>
  <c r="I14" i="35"/>
  <c r="H14" i="35"/>
  <c r="G14" i="35"/>
  <c r="F14" i="35"/>
  <c r="E14" i="35"/>
  <c r="D14" i="35"/>
  <c r="C14" i="35"/>
  <c r="B14" i="35"/>
  <c r="O13" i="35"/>
  <c r="N13" i="35"/>
  <c r="M13" i="35"/>
  <c r="L13" i="35"/>
  <c r="K13" i="35"/>
  <c r="J13" i="35"/>
  <c r="I13" i="35"/>
  <c r="H13" i="35"/>
  <c r="G13" i="35"/>
  <c r="F13" i="35"/>
  <c r="E13" i="35"/>
  <c r="D13" i="35"/>
  <c r="C13" i="35"/>
  <c r="B13" i="35"/>
  <c r="P12" i="35"/>
  <c r="Q12" i="35" s="1"/>
  <c r="P11" i="35"/>
  <c r="Q11" i="35" s="1"/>
  <c r="P10" i="35"/>
  <c r="Q10" i="35" s="1"/>
  <c r="P9" i="35"/>
  <c r="P8" i="35"/>
  <c r="Q8" i="35" s="1"/>
  <c r="O7" i="35"/>
  <c r="N7" i="35"/>
  <c r="M7" i="35"/>
  <c r="L7" i="35"/>
  <c r="L4" i="35" s="1"/>
  <c r="L23" i="35" s="1"/>
  <c r="K7" i="35"/>
  <c r="J7" i="35"/>
  <c r="I7" i="35"/>
  <c r="H7" i="35"/>
  <c r="H4" i="35" s="1"/>
  <c r="H23" i="35" s="1"/>
  <c r="G7" i="35"/>
  <c r="F7" i="35"/>
  <c r="E7" i="35"/>
  <c r="P7" i="35"/>
  <c r="C7" i="35"/>
  <c r="B7" i="35"/>
  <c r="P6" i="35"/>
  <c r="Q6" i="35" s="1"/>
  <c r="P5" i="35"/>
  <c r="Q5" i="35" s="1"/>
  <c r="O4" i="35"/>
  <c r="M4" i="35"/>
  <c r="M23" i="35" s="1"/>
  <c r="K4" i="35"/>
  <c r="I4" i="35"/>
  <c r="G4" i="35"/>
  <c r="G23" i="35" s="1"/>
  <c r="E4" i="35"/>
  <c r="C4" i="35"/>
  <c r="C23" i="35" s="1"/>
  <c r="B4" i="35" l="1"/>
  <c r="B23" i="35" s="1"/>
  <c r="F4" i="35"/>
  <c r="F23" i="35" s="1"/>
  <c r="J4" i="35"/>
  <c r="J23" i="35" s="1"/>
  <c r="N4" i="35"/>
  <c r="N23" i="35" s="1"/>
  <c r="G167" i="35"/>
  <c r="O23" i="35"/>
  <c r="B28" i="35"/>
  <c r="B47" i="35" s="1"/>
  <c r="F28" i="35"/>
  <c r="F47" i="35" s="1"/>
  <c r="J28" i="35"/>
  <c r="J47" i="35" s="1"/>
  <c r="N28" i="35"/>
  <c r="N47" i="35" s="1"/>
  <c r="P137" i="35"/>
  <c r="Q137" i="35" s="1"/>
  <c r="C148" i="35"/>
  <c r="C167" i="35" s="1"/>
  <c r="O148" i="35"/>
  <c r="Q207" i="35"/>
  <c r="B268" i="35"/>
  <c r="B287" i="35" s="1"/>
  <c r="J268" i="35"/>
  <c r="J287" i="35" s="1"/>
  <c r="N268" i="35"/>
  <c r="N287" i="35" s="1"/>
  <c r="P281" i="35"/>
  <c r="Q281" i="35" s="1"/>
  <c r="P302" i="35"/>
  <c r="Q302" i="35" s="1"/>
  <c r="Q354" i="35"/>
  <c r="Q369" i="35"/>
  <c r="P209" i="35"/>
  <c r="Q209" i="35" s="1"/>
  <c r="O287" i="35"/>
  <c r="C311" i="35"/>
  <c r="K311" i="35"/>
  <c r="E335" i="35"/>
  <c r="M335" i="35"/>
  <c r="F359" i="35"/>
  <c r="P350" i="35"/>
  <c r="Q350" i="35" s="1"/>
  <c r="H383" i="35"/>
  <c r="E23" i="35"/>
  <c r="K23" i="35"/>
  <c r="I52" i="35"/>
  <c r="I71" i="35" s="1"/>
  <c r="P181" i="35"/>
  <c r="Q181" i="35" s="1"/>
  <c r="P182" i="35"/>
  <c r="Q182" i="35" s="1"/>
  <c r="Q210" i="35"/>
  <c r="P229" i="35"/>
  <c r="Q229" i="35" s="1"/>
  <c r="P230" i="35"/>
  <c r="Q230" i="35" s="1"/>
  <c r="D268" i="35"/>
  <c r="D287" i="35" s="1"/>
  <c r="L268" i="35"/>
  <c r="L287" i="35" s="1"/>
  <c r="Q351" i="35"/>
  <c r="G183" i="36"/>
  <c r="G187" i="36"/>
  <c r="G32" i="20"/>
  <c r="G55" i="4"/>
  <c r="G57" i="4" s="1"/>
  <c r="O183" i="36"/>
  <c r="H183" i="36"/>
  <c r="O187" i="36"/>
  <c r="F187" i="36"/>
  <c r="K187" i="36"/>
  <c r="F183" i="36"/>
  <c r="I187" i="36"/>
  <c r="H187" i="36"/>
  <c r="I183" i="36"/>
  <c r="E53" i="4"/>
  <c r="P30" i="4"/>
  <c r="Q30" i="4" s="1"/>
  <c r="K183" i="36"/>
  <c r="M183" i="36"/>
  <c r="N183" i="36"/>
  <c r="M187" i="36"/>
  <c r="N187" i="36"/>
  <c r="B203" i="46"/>
  <c r="H59" i="4"/>
  <c r="H58" i="4" s="1"/>
  <c r="L59" i="4"/>
  <c r="L58" i="4" s="1"/>
  <c r="D58" i="4"/>
  <c r="G33" i="20"/>
  <c r="G56" i="20" s="1"/>
  <c r="O37" i="20"/>
  <c r="E37" i="20"/>
  <c r="D31" i="20"/>
  <c r="L33" i="20"/>
  <c r="L33" i="28" s="1"/>
  <c r="F33" i="20"/>
  <c r="F33" i="28" s="1"/>
  <c r="N37" i="20"/>
  <c r="O27" i="20"/>
  <c r="O27" i="28" s="1"/>
  <c r="O37" i="46" s="1"/>
  <c r="K37" i="20"/>
  <c r="E27" i="20"/>
  <c r="E27" i="28" s="1"/>
  <c r="H31" i="20"/>
  <c r="H31" i="28" s="1"/>
  <c r="D36" i="20"/>
  <c r="D59" i="20" s="1"/>
  <c r="D59" i="28" s="1"/>
  <c r="F27" i="20"/>
  <c r="F27" i="28" s="1"/>
  <c r="F37" i="46" s="1"/>
  <c r="E59" i="4"/>
  <c r="E58" i="4" s="1"/>
  <c r="I59" i="4"/>
  <c r="M59" i="20"/>
  <c r="M59" i="28" s="1"/>
  <c r="M59" i="4"/>
  <c r="M58" i="4" s="1"/>
  <c r="I58" i="4"/>
  <c r="G31" i="20"/>
  <c r="G31" i="28" s="1"/>
  <c r="O33" i="20"/>
  <c r="O33" i="28" s="1"/>
  <c r="O56" i="28" s="1"/>
  <c r="E33" i="20"/>
  <c r="E56" i="20" s="1"/>
  <c r="M37" i="20"/>
  <c r="H27" i="20"/>
  <c r="H50" i="20" s="1"/>
  <c r="L31" i="20"/>
  <c r="L31" i="28" s="1"/>
  <c r="H36" i="20"/>
  <c r="H59" i="20" s="1"/>
  <c r="H59" i="28" s="1"/>
  <c r="F31" i="20"/>
  <c r="F31" i="28" s="1"/>
  <c r="N33" i="20"/>
  <c r="N56" i="20" s="1"/>
  <c r="K33" i="20"/>
  <c r="K56" i="20" s="1"/>
  <c r="M27" i="20"/>
  <c r="M27" i="28" s="1"/>
  <c r="I37" i="20"/>
  <c r="D27" i="20"/>
  <c r="D50" i="20" s="1"/>
  <c r="L36" i="20"/>
  <c r="L59" i="20" s="1"/>
  <c r="L59" i="28" s="1"/>
  <c r="N27" i="20"/>
  <c r="N27" i="28" s="1"/>
  <c r="N37" i="46" s="1"/>
  <c r="J37" i="20"/>
  <c r="F59" i="4"/>
  <c r="J59" i="4"/>
  <c r="J58" i="4" s="1"/>
  <c r="N59" i="20"/>
  <c r="N59" i="28" s="1"/>
  <c r="N59" i="4"/>
  <c r="N58" i="4" s="1"/>
  <c r="F58" i="4"/>
  <c r="K27" i="20"/>
  <c r="K27" i="28" s="1"/>
  <c r="K37" i="46" s="1"/>
  <c r="O31" i="20"/>
  <c r="O31" i="28" s="1"/>
  <c r="E31" i="20"/>
  <c r="E31" i="28" s="1"/>
  <c r="M33" i="20"/>
  <c r="M33" i="28" s="1"/>
  <c r="M43" i="46" s="1"/>
  <c r="D29" i="20"/>
  <c r="D52" i="20" s="1"/>
  <c r="D52" i="28" s="1"/>
  <c r="D37" i="20"/>
  <c r="D60" i="20" s="1"/>
  <c r="D60" i="28" s="1"/>
  <c r="J27" i="20"/>
  <c r="J50" i="20" s="1"/>
  <c r="N31" i="20"/>
  <c r="N31" i="28" s="1"/>
  <c r="J36" i="20"/>
  <c r="J59" i="20" s="1"/>
  <c r="J59" i="28" s="1"/>
  <c r="K31" i="20"/>
  <c r="K31" i="28" s="1"/>
  <c r="I33" i="20"/>
  <c r="I33" i="28" s="1"/>
  <c r="I43" i="46" s="1"/>
  <c r="L27" i="20"/>
  <c r="L27" i="28" s="1"/>
  <c r="H37" i="20"/>
  <c r="J33" i="20"/>
  <c r="J56" i="20" s="1"/>
  <c r="G59" i="20"/>
  <c r="G59" i="28" s="1"/>
  <c r="G59" i="4"/>
  <c r="G58" i="4" s="1"/>
  <c r="K59" i="20"/>
  <c r="K59" i="28" s="1"/>
  <c r="K59" i="4"/>
  <c r="K58" i="4" s="1"/>
  <c r="O59" i="4"/>
  <c r="O58" i="4" s="1"/>
  <c r="G37" i="20"/>
  <c r="I27" i="20"/>
  <c r="I27" i="28" s="1"/>
  <c r="I37" i="46" s="1"/>
  <c r="M31" i="20"/>
  <c r="M31" i="28" s="1"/>
  <c r="I36" i="20"/>
  <c r="I59" i="20" s="1"/>
  <c r="I59" i="28" s="1"/>
  <c r="D33" i="20"/>
  <c r="L37" i="20"/>
  <c r="F37" i="20"/>
  <c r="G27" i="20"/>
  <c r="G27" i="28" s="1"/>
  <c r="G37" i="46" s="1"/>
  <c r="O36" i="20"/>
  <c r="O59" i="20" s="1"/>
  <c r="O59" i="28" s="1"/>
  <c r="I31" i="20"/>
  <c r="I54" i="20" s="1"/>
  <c r="I54" i="28" s="1"/>
  <c r="E36" i="20"/>
  <c r="E59" i="20" s="1"/>
  <c r="E59" i="28" s="1"/>
  <c r="H33" i="20"/>
  <c r="H56" i="20" s="1"/>
  <c r="J31" i="20"/>
  <c r="J54" i="20" s="1"/>
  <c r="J54" i="28" s="1"/>
  <c r="F36" i="20"/>
  <c r="F59" i="20" s="1"/>
  <c r="F59" i="28" s="1"/>
  <c r="L52" i="20"/>
  <c r="L52" i="28" s="1"/>
  <c r="L52" i="4"/>
  <c r="F29" i="28"/>
  <c r="F52" i="4"/>
  <c r="J52" i="20"/>
  <c r="J52" i="28" s="1"/>
  <c r="J52" i="4"/>
  <c r="N29" i="28"/>
  <c r="N52" i="4"/>
  <c r="H52" i="20"/>
  <c r="H52" i="28" s="1"/>
  <c r="H52" i="4"/>
  <c r="E29" i="28"/>
  <c r="E52" i="4"/>
  <c r="I52" i="20"/>
  <c r="I52" i="28" s="1"/>
  <c r="I52" i="4"/>
  <c r="M52" i="20"/>
  <c r="M52" i="28" s="1"/>
  <c r="M52" i="4"/>
  <c r="G52" i="20"/>
  <c r="G52" i="28" s="1"/>
  <c r="G52" i="4"/>
  <c r="K29" i="28"/>
  <c r="K52" i="4"/>
  <c r="O52" i="20"/>
  <c r="O52" i="28" s="1"/>
  <c r="O52" i="4"/>
  <c r="F55" i="4"/>
  <c r="F57" i="4" s="1"/>
  <c r="J55" i="4"/>
  <c r="J57" i="4" s="1"/>
  <c r="N55" i="4"/>
  <c r="N57" i="4" s="1"/>
  <c r="K55" i="4"/>
  <c r="K57" i="4" s="1"/>
  <c r="O55" i="4"/>
  <c r="O57" i="4" s="1"/>
  <c r="H55" i="4"/>
  <c r="H57" i="4" s="1"/>
  <c r="L55" i="4"/>
  <c r="L57" i="4" s="1"/>
  <c r="E55" i="4"/>
  <c r="E57" i="4" s="1"/>
  <c r="I55" i="4"/>
  <c r="I57" i="4" s="1"/>
  <c r="M55" i="4"/>
  <c r="M57" i="4" s="1"/>
  <c r="P60" i="4"/>
  <c r="Q60" i="4" s="1"/>
  <c r="C104" i="46"/>
  <c r="C72" i="28"/>
  <c r="C118" i="28" s="1"/>
  <c r="C39" i="46"/>
  <c r="G36" i="28"/>
  <c r="K36" i="28"/>
  <c r="M36" i="28"/>
  <c r="N36" i="28"/>
  <c r="C28" i="28"/>
  <c r="C36" i="46"/>
  <c r="C34" i="28"/>
  <c r="C44" i="46" s="1"/>
  <c r="P27" i="4"/>
  <c r="Q27" i="4" s="1"/>
  <c r="P29" i="4"/>
  <c r="Q29" i="4" s="1"/>
  <c r="P31" i="4"/>
  <c r="Q31" i="4" s="1"/>
  <c r="P33" i="4"/>
  <c r="Q33" i="4" s="1"/>
  <c r="P37" i="4"/>
  <c r="Q37" i="4" s="1"/>
  <c r="P36" i="4"/>
  <c r="Q36" i="4" s="1"/>
  <c r="E186" i="36"/>
  <c r="E187" i="36" s="1"/>
  <c r="E183" i="36"/>
  <c r="D4" i="35"/>
  <c r="D23" i="35" s="1"/>
  <c r="I23" i="35"/>
  <c r="P31" i="35"/>
  <c r="Q31" i="35" s="1"/>
  <c r="P61" i="35"/>
  <c r="Q61" i="35" s="1"/>
  <c r="Q57" i="35"/>
  <c r="B52" i="35"/>
  <c r="B71" i="35" s="1"/>
  <c r="F52" i="35"/>
  <c r="F71" i="35" s="1"/>
  <c r="J52" i="35"/>
  <c r="J71" i="35" s="1"/>
  <c r="N52" i="35"/>
  <c r="N71" i="35" s="1"/>
  <c r="P62" i="35"/>
  <c r="Q62" i="35" s="1"/>
  <c r="Q63" i="35"/>
  <c r="P65" i="35"/>
  <c r="Q65" i="35" s="1"/>
  <c r="Q66" i="35"/>
  <c r="P151" i="35"/>
  <c r="Q151" i="35" s="1"/>
  <c r="D148" i="35"/>
  <c r="D167" i="35" s="1"/>
  <c r="H148" i="35"/>
  <c r="H167" i="35" s="1"/>
  <c r="P13" i="35"/>
  <c r="Q13" i="35" s="1"/>
  <c r="Q9" i="35"/>
  <c r="D47" i="35"/>
  <c r="L47" i="35"/>
  <c r="P37" i="35"/>
  <c r="Q37" i="35" s="1"/>
  <c r="E95" i="35"/>
  <c r="I95" i="35"/>
  <c r="M95" i="35"/>
  <c r="P110" i="35"/>
  <c r="Q110" i="35" s="1"/>
  <c r="Q33" i="35"/>
  <c r="D52" i="35"/>
  <c r="D71" i="35" s="1"/>
  <c r="P113" i="35"/>
  <c r="Q113" i="35" s="1"/>
  <c r="P134" i="35"/>
  <c r="Q134" i="35" s="1"/>
  <c r="P14" i="35"/>
  <c r="Q14" i="35" s="1"/>
  <c r="Q15" i="35"/>
  <c r="P38" i="35"/>
  <c r="Q38" i="35" s="1"/>
  <c r="Q39" i="35"/>
  <c r="P41" i="35"/>
  <c r="Q41" i="35" s="1"/>
  <c r="Q42" i="35"/>
  <c r="C28" i="35"/>
  <c r="C47" i="35" s="1"/>
  <c r="G28" i="35"/>
  <c r="G47" i="35" s="1"/>
  <c r="K28" i="35"/>
  <c r="K47" i="35" s="1"/>
  <c r="O28" i="35"/>
  <c r="O47" i="35" s="1"/>
  <c r="B119" i="35"/>
  <c r="F119" i="35"/>
  <c r="J119" i="35"/>
  <c r="N119" i="35"/>
  <c r="P103" i="35"/>
  <c r="H143" i="35"/>
  <c r="K167" i="35"/>
  <c r="O167" i="35"/>
  <c r="E172" i="35"/>
  <c r="E191" i="35" s="1"/>
  <c r="I172" i="35"/>
  <c r="I191" i="35" s="1"/>
  <c r="M172" i="35"/>
  <c r="M191" i="35" s="1"/>
  <c r="P199" i="35"/>
  <c r="Q199" i="35" s="1"/>
  <c r="E220" i="35"/>
  <c r="E239" i="35" s="1"/>
  <c r="I220" i="35"/>
  <c r="I239" i="35" s="1"/>
  <c r="M220" i="35"/>
  <c r="M239" i="35" s="1"/>
  <c r="E268" i="35"/>
  <c r="E287" i="35" s="1"/>
  <c r="I268" i="35"/>
  <c r="I287" i="35" s="1"/>
  <c r="M268" i="35"/>
  <c r="M287" i="35" s="1"/>
  <c r="P295" i="35"/>
  <c r="P343" i="35"/>
  <c r="E196" i="35"/>
  <c r="E215" i="35" s="1"/>
  <c r="I196" i="35"/>
  <c r="I215" i="35" s="1"/>
  <c r="M196" i="35"/>
  <c r="M215" i="35" s="1"/>
  <c r="E292" i="35"/>
  <c r="E311" i="35" s="1"/>
  <c r="I292" i="35"/>
  <c r="I311" i="35" s="1"/>
  <c r="M292" i="35"/>
  <c r="M311" i="35" s="1"/>
  <c r="E47" i="35"/>
  <c r="M47" i="35"/>
  <c r="C52" i="35"/>
  <c r="C71" i="35" s="1"/>
  <c r="G52" i="35"/>
  <c r="G71" i="35" s="1"/>
  <c r="K52" i="35"/>
  <c r="K71" i="35" s="1"/>
  <c r="O52" i="35"/>
  <c r="O71" i="35" s="1"/>
  <c r="D95" i="35"/>
  <c r="L95" i="35"/>
  <c r="D100" i="35"/>
  <c r="D119" i="35" s="1"/>
  <c r="P109" i="35"/>
  <c r="Q109" i="35" s="1"/>
  <c r="D143" i="35"/>
  <c r="L143" i="35"/>
  <c r="E148" i="35"/>
  <c r="I148" i="35"/>
  <c r="M148" i="35"/>
  <c r="M167" i="35" s="1"/>
  <c r="G191" i="35"/>
  <c r="Q177" i="35"/>
  <c r="Q186" i="35"/>
  <c r="F215" i="35"/>
  <c r="P205" i="35"/>
  <c r="Q205" i="35" s="1"/>
  <c r="G239" i="35"/>
  <c r="Q225" i="35"/>
  <c r="H263" i="35"/>
  <c r="P247" i="35"/>
  <c r="G287" i="35"/>
  <c r="Q273" i="35"/>
  <c r="Q282" i="35"/>
  <c r="F311" i="35"/>
  <c r="P301" i="35"/>
  <c r="Q301" i="35" s="1"/>
  <c r="P319" i="35"/>
  <c r="Q319" i="35" s="1"/>
  <c r="P329" i="35"/>
  <c r="Q329" i="35" s="1"/>
  <c r="D340" i="35"/>
  <c r="D359" i="35" s="1"/>
  <c r="P349" i="35"/>
  <c r="Q349" i="35" s="1"/>
  <c r="P367" i="35"/>
  <c r="Q367" i="35" s="1"/>
  <c r="P157" i="35"/>
  <c r="Q157" i="35" s="1"/>
  <c r="P161" i="35"/>
  <c r="Q161" i="35" s="1"/>
  <c r="H191" i="35"/>
  <c r="P175" i="35"/>
  <c r="P172" i="35" s="1"/>
  <c r="G215" i="35"/>
  <c r="H239" i="35"/>
  <c r="P223" i="35"/>
  <c r="Q223" i="35" s="1"/>
  <c r="E244" i="35"/>
  <c r="E263" i="35" s="1"/>
  <c r="I244" i="35"/>
  <c r="I263" i="35" s="1"/>
  <c r="M244" i="35"/>
  <c r="M263" i="35" s="1"/>
  <c r="H287" i="35"/>
  <c r="P271" i="35"/>
  <c r="Q271" i="35" s="1"/>
  <c r="Q7" i="35"/>
  <c r="P4" i="35"/>
  <c r="Q55" i="35"/>
  <c r="P52" i="35"/>
  <c r="P127" i="35"/>
  <c r="Q295" i="35"/>
  <c r="Q343" i="35"/>
  <c r="P79" i="35"/>
  <c r="E167" i="35"/>
  <c r="I167" i="35"/>
  <c r="Q247" i="35"/>
  <c r="P244" i="35"/>
  <c r="P316" i="35"/>
  <c r="Q103" i="35"/>
  <c r="Q175" i="35"/>
  <c r="P268" i="35"/>
  <c r="P106" i="28"/>
  <c r="R116" i="46" s="1"/>
  <c r="P105" i="28"/>
  <c r="R115" i="46" s="1"/>
  <c r="P102" i="28"/>
  <c r="P100" i="28"/>
  <c r="P98" i="28"/>
  <c r="P96" i="28"/>
  <c r="C79" i="28"/>
  <c r="C78" i="28"/>
  <c r="C77" i="28"/>
  <c r="C76" i="28"/>
  <c r="C75" i="28"/>
  <c r="C73" i="28"/>
  <c r="C61" i="28"/>
  <c r="C58" i="28"/>
  <c r="C51" i="28"/>
  <c r="C61" i="46" s="1"/>
  <c r="C58" i="46" s="1"/>
  <c r="P220" i="35" l="1"/>
  <c r="P364" i="35"/>
  <c r="P196" i="35"/>
  <c r="Q196" i="35" s="1"/>
  <c r="P28" i="35"/>
  <c r="Q28" i="35" s="1"/>
  <c r="P100" i="35"/>
  <c r="P59" i="28"/>
  <c r="F54" i="20"/>
  <c r="F54" i="28" s="1"/>
  <c r="F77" i="28" s="1"/>
  <c r="H54" i="20"/>
  <c r="H54" i="28" s="1"/>
  <c r="H64" i="46" s="1"/>
  <c r="N33" i="28"/>
  <c r="N43" i="46" s="1"/>
  <c r="E54" i="20"/>
  <c r="E54" i="28" s="1"/>
  <c r="E77" i="28" s="1"/>
  <c r="G54" i="20"/>
  <c r="G54" i="28" s="1"/>
  <c r="G77" i="28" s="1"/>
  <c r="D58" i="20"/>
  <c r="O50" i="20"/>
  <c r="I50" i="20"/>
  <c r="G33" i="28"/>
  <c r="G43" i="46" s="1"/>
  <c r="J33" i="28"/>
  <c r="J43" i="46" s="1"/>
  <c r="F50" i="20"/>
  <c r="L50" i="20"/>
  <c r="H27" i="28"/>
  <c r="H37" i="46" s="1"/>
  <c r="I56" i="20"/>
  <c r="L37" i="46"/>
  <c r="L50" i="28"/>
  <c r="L73" i="28" s="1"/>
  <c r="F43" i="46"/>
  <c r="F56" i="28"/>
  <c r="F79" i="28" s="1"/>
  <c r="L43" i="46"/>
  <c r="L56" i="28"/>
  <c r="L79" i="28" s="1"/>
  <c r="F56" i="20"/>
  <c r="M56" i="20"/>
  <c r="L56" i="20"/>
  <c r="K33" i="28"/>
  <c r="K43" i="46" s="1"/>
  <c r="E33" i="28"/>
  <c r="J31" i="28"/>
  <c r="J77" i="28" s="1"/>
  <c r="J27" i="28"/>
  <c r="M50" i="20"/>
  <c r="E50" i="20"/>
  <c r="H33" i="28"/>
  <c r="H43" i="46" s="1"/>
  <c r="K50" i="20"/>
  <c r="N54" i="20"/>
  <c r="N54" i="28" s="1"/>
  <c r="N77" i="28" s="1"/>
  <c r="M37" i="46"/>
  <c r="M50" i="28"/>
  <c r="M73" i="28" s="1"/>
  <c r="E37" i="46"/>
  <c r="E50" i="28"/>
  <c r="E73" i="28" s="1"/>
  <c r="G50" i="20"/>
  <c r="N50" i="20"/>
  <c r="I36" i="28"/>
  <c r="H36" i="28"/>
  <c r="J36" i="28"/>
  <c r="O36" i="28"/>
  <c r="F36" i="28"/>
  <c r="L36" i="28"/>
  <c r="E36" i="28"/>
  <c r="O56" i="20"/>
  <c r="P33" i="20"/>
  <c r="O43" i="46"/>
  <c r="M54" i="20"/>
  <c r="M54" i="28" s="1"/>
  <c r="M77" i="28" s="1"/>
  <c r="L54" i="20"/>
  <c r="L54" i="28" s="1"/>
  <c r="L77" i="28" s="1"/>
  <c r="O54" i="20"/>
  <c r="O54" i="28" s="1"/>
  <c r="O64" i="46" s="1"/>
  <c r="I31" i="28"/>
  <c r="I64" i="46" s="1"/>
  <c r="K54" i="20"/>
  <c r="K54" i="28" s="1"/>
  <c r="K64" i="46" s="1"/>
  <c r="P59" i="4"/>
  <c r="Q59" i="4" s="1"/>
  <c r="M56" i="28"/>
  <c r="M79" i="28" s="1"/>
  <c r="I56" i="28"/>
  <c r="I66" i="46" s="1"/>
  <c r="F50" i="28"/>
  <c r="F60" i="46" s="1"/>
  <c r="G50" i="28"/>
  <c r="G60" i="46" s="1"/>
  <c r="O50" i="28"/>
  <c r="O73" i="28" s="1"/>
  <c r="K50" i="28"/>
  <c r="K73" i="28" s="1"/>
  <c r="N50" i="28"/>
  <c r="N60" i="46" s="1"/>
  <c r="I50" i="28"/>
  <c r="I73" i="28" s="1"/>
  <c r="J29" i="28"/>
  <c r="J39" i="46" s="1"/>
  <c r="H29" i="28"/>
  <c r="H39" i="46" s="1"/>
  <c r="O29" i="28"/>
  <c r="O75" i="28" s="1"/>
  <c r="E52" i="20"/>
  <c r="E52" i="28" s="1"/>
  <c r="E75" i="28" s="1"/>
  <c r="Q100" i="28"/>
  <c r="R110" i="46"/>
  <c r="D31" i="28"/>
  <c r="D54" i="20"/>
  <c r="D54" i="28" s="1"/>
  <c r="M29" i="28"/>
  <c r="M75" i="28" s="1"/>
  <c r="N41" i="46"/>
  <c r="F41" i="46"/>
  <c r="L41" i="46"/>
  <c r="O41" i="46"/>
  <c r="G41" i="46"/>
  <c r="Q96" i="28"/>
  <c r="R106" i="46"/>
  <c r="Q102" i="28"/>
  <c r="R112" i="46"/>
  <c r="D33" i="28"/>
  <c r="D43" i="46" s="1"/>
  <c r="D56" i="20"/>
  <c r="G29" i="28"/>
  <c r="G62" i="46" s="1"/>
  <c r="L29" i="28"/>
  <c r="L39" i="46" s="1"/>
  <c r="M41" i="46"/>
  <c r="E41" i="46"/>
  <c r="H41" i="46"/>
  <c r="K41" i="46"/>
  <c r="I29" i="28"/>
  <c r="I39" i="46" s="1"/>
  <c r="O37" i="28"/>
  <c r="O60" i="20"/>
  <c r="J37" i="28"/>
  <c r="J47" i="46" s="1"/>
  <c r="J60" i="20"/>
  <c r="K52" i="20"/>
  <c r="K52" i="28" s="1"/>
  <c r="K75" i="28" s="1"/>
  <c r="N52" i="20"/>
  <c r="N52" i="28" s="1"/>
  <c r="N75" i="28" s="1"/>
  <c r="F52" i="20"/>
  <c r="F52" i="28" s="1"/>
  <c r="F75" i="28" s="1"/>
  <c r="K37" i="28"/>
  <c r="K60" i="20"/>
  <c r="E39" i="46"/>
  <c r="Q98" i="28"/>
  <c r="R108" i="46"/>
  <c r="K39" i="46"/>
  <c r="N39" i="46"/>
  <c r="F39" i="46"/>
  <c r="M32" i="28"/>
  <c r="M55" i="20"/>
  <c r="M55" i="28" s="1"/>
  <c r="E32" i="28"/>
  <c r="E55" i="20"/>
  <c r="E55" i="28" s="1"/>
  <c r="H32" i="28"/>
  <c r="H55" i="20"/>
  <c r="H55" i="28" s="1"/>
  <c r="K32" i="28"/>
  <c r="K55" i="20"/>
  <c r="K55" i="28" s="1"/>
  <c r="N32" i="28"/>
  <c r="N55" i="20"/>
  <c r="N55" i="28" s="1"/>
  <c r="F32" i="28"/>
  <c r="F55" i="20"/>
  <c r="F55" i="28" s="1"/>
  <c r="I32" i="28"/>
  <c r="I55" i="20"/>
  <c r="I55" i="28" s="1"/>
  <c r="L32" i="28"/>
  <c r="L55" i="20"/>
  <c r="L55" i="28" s="1"/>
  <c r="O32" i="28"/>
  <c r="O55" i="20"/>
  <c r="O55" i="28" s="1"/>
  <c r="G32" i="28"/>
  <c r="G55" i="20"/>
  <c r="G55" i="28" s="1"/>
  <c r="J32" i="28"/>
  <c r="J55" i="20"/>
  <c r="J55" i="28" s="1"/>
  <c r="E37" i="28"/>
  <c r="E60" i="20"/>
  <c r="I37" i="28"/>
  <c r="I60" i="20"/>
  <c r="L37" i="28"/>
  <c r="L60" i="20"/>
  <c r="M37" i="28"/>
  <c r="M60" i="20"/>
  <c r="N37" i="28"/>
  <c r="N35" i="28" s="1"/>
  <c r="N60" i="20"/>
  <c r="H37" i="28"/>
  <c r="H60" i="20"/>
  <c r="G35" i="20"/>
  <c r="G60" i="20"/>
  <c r="F37" i="28"/>
  <c r="F60" i="20"/>
  <c r="K35" i="20"/>
  <c r="N35" i="20"/>
  <c r="F35" i="20"/>
  <c r="I35" i="20"/>
  <c r="L35" i="20"/>
  <c r="E35" i="20"/>
  <c r="H35" i="20"/>
  <c r="M35" i="20"/>
  <c r="J35" i="20"/>
  <c r="O35" i="20"/>
  <c r="G37" i="28"/>
  <c r="C82" i="46"/>
  <c r="C128" i="46" s="1"/>
  <c r="C83" i="46"/>
  <c r="C129" i="46" s="1"/>
  <c r="C119" i="28"/>
  <c r="C38" i="46"/>
  <c r="C35" i="46" s="1"/>
  <c r="D37" i="28"/>
  <c r="K46" i="46"/>
  <c r="D36" i="28"/>
  <c r="N46" i="46"/>
  <c r="M46" i="46"/>
  <c r="G46" i="46"/>
  <c r="C77" i="46"/>
  <c r="C191" i="46" s="1"/>
  <c r="C48" i="28"/>
  <c r="C67" i="28" s="1"/>
  <c r="D29" i="28"/>
  <c r="O79" i="28"/>
  <c r="O66" i="46"/>
  <c r="C121" i="28"/>
  <c r="C85" i="46"/>
  <c r="C131" i="46" s="1"/>
  <c r="C86" i="46"/>
  <c r="C132" i="46" s="1"/>
  <c r="C80" i="28"/>
  <c r="C90" i="46" s="1"/>
  <c r="C123" i="28"/>
  <c r="C87" i="46"/>
  <c r="C133" i="46" s="1"/>
  <c r="C125" i="28"/>
  <c r="C89" i="46"/>
  <c r="C135" i="46" s="1"/>
  <c r="C124" i="28"/>
  <c r="C88" i="46"/>
  <c r="C134" i="46" s="1"/>
  <c r="P27" i="20"/>
  <c r="D27" i="28"/>
  <c r="D50" i="28" s="1"/>
  <c r="P29" i="20"/>
  <c r="P31" i="20"/>
  <c r="C122" i="28"/>
  <c r="C74" i="28"/>
  <c r="D35" i="20"/>
  <c r="P36" i="20"/>
  <c r="P37" i="20"/>
  <c r="P340" i="35"/>
  <c r="P359" i="35" s="1"/>
  <c r="Q359" i="35" s="1"/>
  <c r="P148" i="35"/>
  <c r="P167" i="35" s="1"/>
  <c r="Q167" i="35" s="1"/>
  <c r="P292" i="35"/>
  <c r="P311" i="35" s="1"/>
  <c r="Q311" i="35" s="1"/>
  <c r="Q316" i="35"/>
  <c r="P335" i="35"/>
  <c r="Q335" i="35" s="1"/>
  <c r="Q292" i="35"/>
  <c r="P124" i="35"/>
  <c r="Q127" i="35"/>
  <c r="Q4" i="35"/>
  <c r="P23" i="35"/>
  <c r="Q23" i="35" s="1"/>
  <c r="Q220" i="35"/>
  <c r="P239" i="35"/>
  <c r="Q239" i="35" s="1"/>
  <c r="Q364" i="35"/>
  <c r="P383" i="35"/>
  <c r="Q383" i="35" s="1"/>
  <c r="Q244" i="35"/>
  <c r="P263" i="35"/>
  <c r="Q263" i="35" s="1"/>
  <c r="Q340" i="35"/>
  <c r="P71" i="35"/>
  <c r="Q71" i="35" s="1"/>
  <c r="Q52" i="35"/>
  <c r="Q268" i="35"/>
  <c r="P287" i="35"/>
  <c r="Q287" i="35" s="1"/>
  <c r="Q172" i="35"/>
  <c r="P191" i="35"/>
  <c r="Q191" i="35" s="1"/>
  <c r="P76" i="35"/>
  <c r="Q79" i="35"/>
  <c r="C25" i="28"/>
  <c r="P104" i="28"/>
  <c r="R114" i="46" s="1"/>
  <c r="O16" i="28"/>
  <c r="O16" i="46" s="1"/>
  <c r="N16" i="28"/>
  <c r="N16" i="46" s="1"/>
  <c r="M16" i="28"/>
  <c r="M16" i="46" s="1"/>
  <c r="L16" i="28"/>
  <c r="L16" i="46" s="1"/>
  <c r="K16" i="28"/>
  <c r="K16" i="46" s="1"/>
  <c r="J16" i="28"/>
  <c r="J16" i="46" s="1"/>
  <c r="I16" i="28"/>
  <c r="I16" i="46" s="1"/>
  <c r="H16" i="28"/>
  <c r="H16" i="46" s="1"/>
  <c r="G16" i="28"/>
  <c r="G16" i="46" s="1"/>
  <c r="F16" i="28"/>
  <c r="F16" i="46" s="1"/>
  <c r="E16" i="28"/>
  <c r="E16" i="46" s="1"/>
  <c r="O15" i="28"/>
  <c r="O15" i="46" s="1"/>
  <c r="M15" i="28"/>
  <c r="M15" i="46" s="1"/>
  <c r="K15" i="28"/>
  <c r="K15" i="46" s="1"/>
  <c r="I15" i="28"/>
  <c r="I15" i="46" s="1"/>
  <c r="G15" i="28"/>
  <c r="G15" i="46" s="1"/>
  <c r="E15" i="28"/>
  <c r="E15" i="46" s="1"/>
  <c r="H19" i="22"/>
  <c r="U19" i="22" s="1"/>
  <c r="Q148" i="35" l="1"/>
  <c r="P47" i="35"/>
  <c r="Q47" i="35" s="1"/>
  <c r="P215" i="35"/>
  <c r="Q215" i="35" s="1"/>
  <c r="P119" i="35"/>
  <c r="Q119" i="35" s="1"/>
  <c r="Q100" i="35"/>
  <c r="P52" i="28"/>
  <c r="J41" i="46"/>
  <c r="R37" i="20"/>
  <c r="Q27" i="20"/>
  <c r="S27" i="20"/>
  <c r="R27" i="20"/>
  <c r="G58" i="20"/>
  <c r="G60" i="28"/>
  <c r="N58" i="20"/>
  <c r="N60" i="28"/>
  <c r="L58" i="20"/>
  <c r="L60" i="28"/>
  <c r="E58" i="20"/>
  <c r="E60" i="28"/>
  <c r="O58" i="20"/>
  <c r="O60" i="28"/>
  <c r="Q29" i="20"/>
  <c r="S29" i="20"/>
  <c r="R29" i="20"/>
  <c r="F58" i="20"/>
  <c r="F60" i="28"/>
  <c r="H58" i="20"/>
  <c r="H60" i="28"/>
  <c r="M58" i="20"/>
  <c r="M60" i="28"/>
  <c r="I58" i="20"/>
  <c r="I60" i="28"/>
  <c r="K58" i="20"/>
  <c r="K60" i="28"/>
  <c r="J58" i="20"/>
  <c r="J60" i="28"/>
  <c r="Q33" i="20"/>
  <c r="R33" i="20"/>
  <c r="S33" i="20"/>
  <c r="Q36" i="20"/>
  <c r="R36" i="20"/>
  <c r="Q31" i="20"/>
  <c r="S31" i="20"/>
  <c r="R31" i="20"/>
  <c r="L46" i="46"/>
  <c r="N56" i="28"/>
  <c r="N66" i="46" s="1"/>
  <c r="H46" i="46"/>
  <c r="I46" i="46"/>
  <c r="G56" i="28"/>
  <c r="G79" i="28" s="1"/>
  <c r="G125" i="28" s="1"/>
  <c r="L60" i="46"/>
  <c r="M60" i="46"/>
  <c r="L66" i="46"/>
  <c r="H50" i="28"/>
  <c r="H73" i="28" s="1"/>
  <c r="H119" i="28" s="1"/>
  <c r="F66" i="46"/>
  <c r="J56" i="28"/>
  <c r="J66" i="46" s="1"/>
  <c r="I79" i="28"/>
  <c r="I89" i="46" s="1"/>
  <c r="I135" i="46" s="1"/>
  <c r="F73" i="28"/>
  <c r="F119" i="28" s="1"/>
  <c r="K60" i="46"/>
  <c r="H56" i="28"/>
  <c r="H66" i="46" s="1"/>
  <c r="K56" i="28"/>
  <c r="E43" i="46"/>
  <c r="P43" i="46" s="1"/>
  <c r="Q43" i="46" s="1"/>
  <c r="E56" i="28"/>
  <c r="J37" i="46"/>
  <c r="J50" i="28"/>
  <c r="E60" i="46"/>
  <c r="G73" i="28"/>
  <c r="G119" i="28" s="1"/>
  <c r="J46" i="46"/>
  <c r="J45" i="46" s="1"/>
  <c r="F46" i="46"/>
  <c r="O46" i="46"/>
  <c r="E46" i="46"/>
  <c r="O39" i="46"/>
  <c r="H77" i="28"/>
  <c r="H123" i="28" s="1"/>
  <c r="M66" i="46"/>
  <c r="O60" i="46"/>
  <c r="I41" i="46"/>
  <c r="O47" i="46"/>
  <c r="O35" i="28"/>
  <c r="I35" i="28"/>
  <c r="M35" i="28"/>
  <c r="E64" i="46"/>
  <c r="K77" i="28"/>
  <c r="K123" i="28" s="1"/>
  <c r="K35" i="28"/>
  <c r="J64" i="46"/>
  <c r="G39" i="46"/>
  <c r="I60" i="46"/>
  <c r="N73" i="28"/>
  <c r="N83" i="46" s="1"/>
  <c r="N129" i="46" s="1"/>
  <c r="I77" i="28"/>
  <c r="I123" i="28" s="1"/>
  <c r="O77" i="28"/>
  <c r="O123" i="28" s="1"/>
  <c r="N64" i="46"/>
  <c r="L62" i="46"/>
  <c r="H75" i="28"/>
  <c r="H121" i="28" s="1"/>
  <c r="M39" i="46"/>
  <c r="L64" i="46"/>
  <c r="I47" i="46"/>
  <c r="G64" i="46"/>
  <c r="M64" i="46"/>
  <c r="F64" i="46"/>
  <c r="I62" i="46"/>
  <c r="J62" i="46"/>
  <c r="M62" i="46"/>
  <c r="D58" i="28"/>
  <c r="D56" i="28"/>
  <c r="P33" i="28"/>
  <c r="Q33" i="28" s="1"/>
  <c r="D41" i="46"/>
  <c r="D64" i="46"/>
  <c r="K47" i="46"/>
  <c r="K45" i="46" s="1"/>
  <c r="J35" i="28"/>
  <c r="G75" i="28"/>
  <c r="G85" i="46" s="1"/>
  <c r="G131" i="46" s="1"/>
  <c r="N62" i="46"/>
  <c r="K62" i="46"/>
  <c r="F62" i="46"/>
  <c r="E62" i="46"/>
  <c r="O62" i="46"/>
  <c r="J42" i="46"/>
  <c r="O42" i="46"/>
  <c r="I42" i="46"/>
  <c r="N42" i="46"/>
  <c r="H42" i="46"/>
  <c r="M42" i="46"/>
  <c r="G42" i="46"/>
  <c r="L42" i="46"/>
  <c r="F42" i="46"/>
  <c r="K42" i="46"/>
  <c r="E42" i="46"/>
  <c r="E35" i="28"/>
  <c r="E47" i="46"/>
  <c r="F35" i="28"/>
  <c r="L35" i="28"/>
  <c r="L47" i="46"/>
  <c r="L45" i="46" s="1"/>
  <c r="M47" i="46"/>
  <c r="M45" i="46" s="1"/>
  <c r="N47" i="46"/>
  <c r="N45" i="46" s="1"/>
  <c r="H47" i="46"/>
  <c r="G47" i="46"/>
  <c r="G45" i="46" s="1"/>
  <c r="H35" i="28"/>
  <c r="F47" i="46"/>
  <c r="C130" i="46"/>
  <c r="G35" i="28"/>
  <c r="P35" i="20"/>
  <c r="C136" i="46"/>
  <c r="C84" i="46"/>
  <c r="C81" i="46" s="1"/>
  <c r="C71" i="28"/>
  <c r="D46" i="46"/>
  <c r="D47" i="46"/>
  <c r="D70" i="46"/>
  <c r="C178" i="28"/>
  <c r="D39" i="46"/>
  <c r="D62" i="46"/>
  <c r="L109" i="19"/>
  <c r="L40" i="19"/>
  <c r="H109" i="19"/>
  <c r="H40" i="19"/>
  <c r="N108" i="19"/>
  <c r="N39" i="19"/>
  <c r="J108" i="19"/>
  <c r="J39" i="19"/>
  <c r="F108" i="19"/>
  <c r="F39" i="19"/>
  <c r="O40" i="19"/>
  <c r="O109" i="19"/>
  <c r="K40" i="19"/>
  <c r="K109" i="19"/>
  <c r="G40" i="19"/>
  <c r="G109" i="19"/>
  <c r="M39" i="19"/>
  <c r="M108" i="19"/>
  <c r="I108" i="19"/>
  <c r="I39" i="19"/>
  <c r="N40" i="19"/>
  <c r="N109" i="19"/>
  <c r="J109" i="19"/>
  <c r="J40" i="19"/>
  <c r="F40" i="19"/>
  <c r="F109" i="19"/>
  <c r="L39" i="19"/>
  <c r="L108" i="19"/>
  <c r="H39" i="19"/>
  <c r="H108" i="19"/>
  <c r="M109" i="19"/>
  <c r="M40" i="19"/>
  <c r="I40" i="19"/>
  <c r="I109" i="19"/>
  <c r="O108" i="19"/>
  <c r="O39" i="19"/>
  <c r="K108" i="19"/>
  <c r="K39" i="19"/>
  <c r="G39" i="19"/>
  <c r="G108" i="19"/>
  <c r="C120" i="28"/>
  <c r="G14" i="46"/>
  <c r="K14" i="46"/>
  <c r="O14" i="46"/>
  <c r="C126" i="28"/>
  <c r="J15" i="28"/>
  <c r="J15" i="46" s="1"/>
  <c r="J14" i="46" s="1"/>
  <c r="N15" i="28"/>
  <c r="N15" i="46" s="1"/>
  <c r="N14" i="46" s="1"/>
  <c r="G123" i="28"/>
  <c r="G87" i="46"/>
  <c r="G133" i="46" s="1"/>
  <c r="E123" i="28"/>
  <c r="E87" i="46"/>
  <c r="E133" i="46" s="1"/>
  <c r="F121" i="28"/>
  <c r="F85" i="46"/>
  <c r="F131" i="46" s="1"/>
  <c r="N123" i="28"/>
  <c r="N87" i="46"/>
  <c r="N133" i="46" s="1"/>
  <c r="L119" i="28"/>
  <c r="L83" i="46"/>
  <c r="L129" i="46" s="1"/>
  <c r="P15" i="20"/>
  <c r="D15" i="28"/>
  <c r="L15" i="28"/>
  <c r="L15" i="46" s="1"/>
  <c r="L14" i="46" s="1"/>
  <c r="E14" i="46"/>
  <c r="I14" i="46"/>
  <c r="M14" i="46"/>
  <c r="D16" i="28"/>
  <c r="D37" i="46"/>
  <c r="M121" i="28"/>
  <c r="M85" i="46"/>
  <c r="M131" i="46" s="1"/>
  <c r="E121" i="28"/>
  <c r="E85" i="46"/>
  <c r="E131" i="46" s="1"/>
  <c r="I119" i="28"/>
  <c r="I83" i="46"/>
  <c r="I129" i="46" s="1"/>
  <c r="F15" i="28"/>
  <c r="F15" i="46" s="1"/>
  <c r="F14" i="46" s="1"/>
  <c r="M119" i="28"/>
  <c r="M83" i="46"/>
  <c r="M129" i="46" s="1"/>
  <c r="J123" i="28"/>
  <c r="J87" i="46"/>
  <c r="J133" i="46" s="1"/>
  <c r="F125" i="28"/>
  <c r="F89" i="46"/>
  <c r="F135" i="46" s="1"/>
  <c r="M123" i="28"/>
  <c r="M87" i="46"/>
  <c r="M133" i="46" s="1"/>
  <c r="N121" i="28"/>
  <c r="N85" i="46"/>
  <c r="N131" i="46" s="1"/>
  <c r="K119" i="28"/>
  <c r="K83" i="46"/>
  <c r="K129" i="46" s="1"/>
  <c r="O121" i="28"/>
  <c r="O85" i="46"/>
  <c r="O131" i="46" s="1"/>
  <c r="M125" i="28"/>
  <c r="M89" i="46"/>
  <c r="M135" i="46" s="1"/>
  <c r="L123" i="28"/>
  <c r="L87" i="46"/>
  <c r="L133" i="46" s="1"/>
  <c r="L125" i="28"/>
  <c r="L89" i="46"/>
  <c r="L135" i="46" s="1"/>
  <c r="H15" i="28"/>
  <c r="H15" i="46" s="1"/>
  <c r="H14" i="46" s="1"/>
  <c r="E119" i="28"/>
  <c r="E83" i="46"/>
  <c r="E129" i="46" s="1"/>
  <c r="O119" i="28"/>
  <c r="O83" i="46"/>
  <c r="O129" i="46" s="1"/>
  <c r="O125" i="28"/>
  <c r="O89" i="46"/>
  <c r="O135" i="46" s="1"/>
  <c r="F123" i="28"/>
  <c r="F87" i="46"/>
  <c r="F133" i="46" s="1"/>
  <c r="K121" i="28"/>
  <c r="K85" i="46"/>
  <c r="K131" i="46" s="1"/>
  <c r="P27" i="28"/>
  <c r="Q27" i="28" s="1"/>
  <c r="P31" i="28"/>
  <c r="Q31" i="28" s="1"/>
  <c r="P29" i="28"/>
  <c r="Q29" i="28" s="1"/>
  <c r="P36" i="28"/>
  <c r="N69" i="46"/>
  <c r="J69" i="46"/>
  <c r="F69" i="46"/>
  <c r="M69" i="46"/>
  <c r="I69" i="46"/>
  <c r="D35" i="28"/>
  <c r="L69" i="46"/>
  <c r="H69" i="46"/>
  <c r="O69" i="46"/>
  <c r="K69" i="46"/>
  <c r="G69" i="46"/>
  <c r="P37" i="28"/>
  <c r="G14" i="28"/>
  <c r="K14" i="28"/>
  <c r="O14" i="28"/>
  <c r="E14" i="28"/>
  <c r="I14" i="28"/>
  <c r="M14" i="28"/>
  <c r="P143" i="35"/>
  <c r="Q143" i="35" s="1"/>
  <c r="Q124" i="35"/>
  <c r="P95" i="35"/>
  <c r="Q95" i="35" s="1"/>
  <c r="Q76" i="35"/>
  <c r="Q15" i="20" l="1"/>
  <c r="R15" i="20"/>
  <c r="I45" i="46"/>
  <c r="E45" i="46"/>
  <c r="N79" i="28"/>
  <c r="N89" i="46" s="1"/>
  <c r="N135" i="46" s="1"/>
  <c r="N119" i="28"/>
  <c r="H45" i="46"/>
  <c r="G89" i="46"/>
  <c r="G135" i="46" s="1"/>
  <c r="F45" i="46"/>
  <c r="G66" i="46"/>
  <c r="O45" i="46"/>
  <c r="J79" i="28"/>
  <c r="J125" i="28" s="1"/>
  <c r="I125" i="28"/>
  <c r="F83" i="46"/>
  <c r="F129" i="46" s="1"/>
  <c r="H83" i="46"/>
  <c r="H129" i="46" s="1"/>
  <c r="H60" i="46"/>
  <c r="H87" i="46"/>
  <c r="H133" i="46" s="1"/>
  <c r="H79" i="28"/>
  <c r="H125" i="28" s="1"/>
  <c r="K66" i="46"/>
  <c r="K79" i="28"/>
  <c r="E79" i="28"/>
  <c r="E66" i="46"/>
  <c r="I87" i="46"/>
  <c r="I133" i="46" s="1"/>
  <c r="G83" i="46"/>
  <c r="G129" i="46" s="1"/>
  <c r="J73" i="28"/>
  <c r="J60" i="46"/>
  <c r="L75" i="28"/>
  <c r="L85" i="46" s="1"/>
  <c r="L131" i="46" s="1"/>
  <c r="J75" i="28"/>
  <c r="J85" i="46" s="1"/>
  <c r="J131" i="46" s="1"/>
  <c r="I75" i="28"/>
  <c r="I121" i="28" s="1"/>
  <c r="R43" i="46"/>
  <c r="P41" i="46"/>
  <c r="Q41" i="46" s="1"/>
  <c r="H85" i="46"/>
  <c r="H131" i="46" s="1"/>
  <c r="H62" i="46"/>
  <c r="P62" i="46" s="1"/>
  <c r="Q62" i="46" s="1"/>
  <c r="O87" i="46"/>
  <c r="O133" i="46" s="1"/>
  <c r="K87" i="46"/>
  <c r="K133" i="46" s="1"/>
  <c r="P64" i="46"/>
  <c r="Q64" i="46" s="1"/>
  <c r="I63" i="19"/>
  <c r="H62" i="19"/>
  <c r="H85" i="19" s="1"/>
  <c r="H131" i="19" s="1"/>
  <c r="N63" i="19"/>
  <c r="M62" i="19"/>
  <c r="K63" i="19"/>
  <c r="K86" i="19" s="1"/>
  <c r="K132" i="19" s="1"/>
  <c r="O62" i="19"/>
  <c r="M63" i="19"/>
  <c r="M86" i="19" s="1"/>
  <c r="M132" i="19" s="1"/>
  <c r="J63" i="19"/>
  <c r="I62" i="19"/>
  <c r="I61" i="19" s="1"/>
  <c r="I67" i="19" s="1"/>
  <c r="J62" i="19"/>
  <c r="H63" i="19"/>
  <c r="G62" i="19"/>
  <c r="L62" i="19"/>
  <c r="L85" i="19" s="1"/>
  <c r="L131" i="19" s="1"/>
  <c r="G63" i="19"/>
  <c r="G86" i="19" s="1"/>
  <c r="G132" i="19" s="1"/>
  <c r="O63" i="19"/>
  <c r="O86" i="19" s="1"/>
  <c r="O132" i="19" s="1"/>
  <c r="K62" i="19"/>
  <c r="F62" i="19"/>
  <c r="F85" i="19" s="1"/>
  <c r="F131" i="19" s="1"/>
  <c r="N62" i="19"/>
  <c r="L63" i="19"/>
  <c r="G121" i="28"/>
  <c r="D66" i="46"/>
  <c r="P56" i="28"/>
  <c r="Q56" i="28" s="1"/>
  <c r="D79" i="28"/>
  <c r="H65" i="46"/>
  <c r="H78" i="28"/>
  <c r="I78" i="28"/>
  <c r="I65" i="46"/>
  <c r="J65" i="46"/>
  <c r="J78" i="28"/>
  <c r="K78" i="28"/>
  <c r="K65" i="46"/>
  <c r="L78" i="28"/>
  <c r="L65" i="46"/>
  <c r="M65" i="46"/>
  <c r="M78" i="28"/>
  <c r="N78" i="28"/>
  <c r="N65" i="46"/>
  <c r="O65" i="46"/>
  <c r="O78" i="28"/>
  <c r="E65" i="46"/>
  <c r="E78" i="28"/>
  <c r="F78" i="28"/>
  <c r="F65" i="46"/>
  <c r="G65" i="46"/>
  <c r="G78" i="28"/>
  <c r="P35" i="28"/>
  <c r="P47" i="46"/>
  <c r="R47" i="46" s="1"/>
  <c r="C127" i="46"/>
  <c r="C117" i="28"/>
  <c r="P46" i="46"/>
  <c r="R46" i="46" s="1"/>
  <c r="D45" i="46"/>
  <c r="G107" i="19"/>
  <c r="G113" i="19" s="1"/>
  <c r="G181" i="19" s="1"/>
  <c r="D69" i="46"/>
  <c r="D92" i="46" s="1"/>
  <c r="E69" i="46"/>
  <c r="E92" i="46" s="1"/>
  <c r="E138" i="46" s="1"/>
  <c r="E58" i="28"/>
  <c r="E81" i="28" s="1"/>
  <c r="P39" i="46"/>
  <c r="R39" i="46" s="1"/>
  <c r="O107" i="19"/>
  <c r="O113" i="19" s="1"/>
  <c r="O181" i="19" s="1"/>
  <c r="H107" i="19"/>
  <c r="H113" i="19" s="1"/>
  <c r="H181" i="19" s="1"/>
  <c r="L107" i="19"/>
  <c r="L113" i="19" s="1"/>
  <c r="L181" i="19" s="1"/>
  <c r="M107" i="19"/>
  <c r="M113" i="19" s="1"/>
  <c r="M181" i="19" s="1"/>
  <c r="K107" i="19"/>
  <c r="K113" i="19" s="1"/>
  <c r="K181" i="19" s="1"/>
  <c r="N107" i="19"/>
  <c r="N113" i="19" s="1"/>
  <c r="N181" i="19" s="1"/>
  <c r="I107" i="19"/>
  <c r="I113" i="19" s="1"/>
  <c r="I181" i="19" s="1"/>
  <c r="P109" i="19"/>
  <c r="Q109" i="19" s="1"/>
  <c r="P108" i="19"/>
  <c r="Q108" i="19" s="1"/>
  <c r="P40" i="19"/>
  <c r="Q40" i="19" s="1"/>
  <c r="P39" i="19"/>
  <c r="Q39" i="19" s="1"/>
  <c r="F107" i="19"/>
  <c r="F113" i="19" s="1"/>
  <c r="F181" i="19" s="1"/>
  <c r="K38" i="19"/>
  <c r="K44" i="19" s="1"/>
  <c r="K177" i="19" s="1"/>
  <c r="J38" i="19"/>
  <c r="J44" i="19" s="1"/>
  <c r="J177" i="19" s="1"/>
  <c r="H38" i="19"/>
  <c r="H44" i="19" s="1"/>
  <c r="H177" i="19" s="1"/>
  <c r="J107" i="19"/>
  <c r="J113" i="19" s="1"/>
  <c r="J181" i="19" s="1"/>
  <c r="G38" i="19"/>
  <c r="G44" i="19" s="1"/>
  <c r="G177" i="19" s="1"/>
  <c r="L38" i="19"/>
  <c r="L44" i="19" s="1"/>
  <c r="L177" i="19" s="1"/>
  <c r="O38" i="19"/>
  <c r="O44" i="19" s="1"/>
  <c r="O177" i="19" s="1"/>
  <c r="F38" i="19"/>
  <c r="F44" i="19" s="1"/>
  <c r="F177" i="19" s="1"/>
  <c r="F63" i="19"/>
  <c r="N38" i="19"/>
  <c r="N44" i="19" s="1"/>
  <c r="N177" i="19" s="1"/>
  <c r="I38" i="19"/>
  <c r="M38" i="19"/>
  <c r="M44" i="19" s="1"/>
  <c r="M177" i="19" s="1"/>
  <c r="P37" i="46"/>
  <c r="R37" i="46" s="1"/>
  <c r="D14" i="28"/>
  <c r="J14" i="28"/>
  <c r="G83" i="28"/>
  <c r="G129" i="28" s="1"/>
  <c r="G70" i="46"/>
  <c r="G93" i="46" s="1"/>
  <c r="G139" i="46" s="1"/>
  <c r="H83" i="28"/>
  <c r="H129" i="28" s="1"/>
  <c r="H70" i="46"/>
  <c r="H93" i="46" s="1"/>
  <c r="H139" i="46" s="1"/>
  <c r="M83" i="28"/>
  <c r="M129" i="28" s="1"/>
  <c r="M70" i="46"/>
  <c r="M93" i="46" s="1"/>
  <c r="M139" i="46" s="1"/>
  <c r="J92" i="46"/>
  <c r="J138" i="46" s="1"/>
  <c r="D73" i="28"/>
  <c r="D60" i="46"/>
  <c r="L83" i="28"/>
  <c r="L129" i="28" s="1"/>
  <c r="L70" i="46"/>
  <c r="L93" i="46" s="1"/>
  <c r="L139" i="46" s="1"/>
  <c r="H92" i="46"/>
  <c r="H138" i="46" s="1"/>
  <c r="L14" i="28"/>
  <c r="D93" i="46"/>
  <c r="D139" i="46" s="1"/>
  <c r="I83" i="28"/>
  <c r="I129" i="28" s="1"/>
  <c r="I70" i="46"/>
  <c r="I93" i="46" s="1"/>
  <c r="I139" i="46" s="1"/>
  <c r="N83" i="28"/>
  <c r="N129" i="28" s="1"/>
  <c r="N70" i="46"/>
  <c r="N93" i="46" s="1"/>
  <c r="N139" i="46" s="1"/>
  <c r="O92" i="46"/>
  <c r="O138" i="46" s="1"/>
  <c r="F92" i="46"/>
  <c r="F138" i="46" s="1"/>
  <c r="H14" i="28"/>
  <c r="D16" i="46"/>
  <c r="P16" i="46" s="1"/>
  <c r="P16" i="28"/>
  <c r="K83" i="28"/>
  <c r="K129" i="28" s="1"/>
  <c r="K70" i="46"/>
  <c r="K93" i="46" s="1"/>
  <c r="K139" i="46" s="1"/>
  <c r="F83" i="28"/>
  <c r="F129" i="28" s="1"/>
  <c r="F70" i="46"/>
  <c r="F93" i="46" s="1"/>
  <c r="F139" i="46" s="1"/>
  <c r="G92" i="46"/>
  <c r="G138" i="46" s="1"/>
  <c r="I92" i="46"/>
  <c r="I138" i="46" s="1"/>
  <c r="N92" i="46"/>
  <c r="N138" i="46" s="1"/>
  <c r="F14" i="28"/>
  <c r="O83" i="28"/>
  <c r="O129" i="28" s="1"/>
  <c r="O70" i="46"/>
  <c r="O93" i="46" s="1"/>
  <c r="O139" i="46" s="1"/>
  <c r="E83" i="28"/>
  <c r="E129" i="28" s="1"/>
  <c r="E70" i="46"/>
  <c r="E93" i="46" s="1"/>
  <c r="E139" i="46" s="1"/>
  <c r="J83" i="28"/>
  <c r="J129" i="28" s="1"/>
  <c r="J70" i="46"/>
  <c r="J93" i="46" s="1"/>
  <c r="J139" i="46" s="1"/>
  <c r="K92" i="46"/>
  <c r="K138" i="46" s="1"/>
  <c r="L92" i="46"/>
  <c r="L138" i="46" s="1"/>
  <c r="M92" i="46"/>
  <c r="M138" i="46" s="1"/>
  <c r="D15" i="46"/>
  <c r="P15" i="28"/>
  <c r="N14" i="28"/>
  <c r="Q36" i="28"/>
  <c r="P50" i="28"/>
  <c r="D77" i="28"/>
  <c r="D87" i="46" s="1"/>
  <c r="P54" i="28"/>
  <c r="D75" i="28"/>
  <c r="D85" i="46" s="1"/>
  <c r="D131" i="46" s="1"/>
  <c r="D83" i="28"/>
  <c r="P60" i="28"/>
  <c r="O82" i="28"/>
  <c r="O128" i="28" s="1"/>
  <c r="O58" i="28"/>
  <c r="O81" i="28" s="1"/>
  <c r="F58" i="28"/>
  <c r="F81" i="28" s="1"/>
  <c r="F82" i="28"/>
  <c r="F128" i="28" s="1"/>
  <c r="D82" i="28"/>
  <c r="E82" i="28"/>
  <c r="E128" i="28" s="1"/>
  <c r="J58" i="28"/>
  <c r="J81" i="28" s="1"/>
  <c r="J82" i="28"/>
  <c r="J128" i="28" s="1"/>
  <c r="G82" i="28"/>
  <c r="G128" i="28" s="1"/>
  <c r="G58" i="28"/>
  <c r="G81" i="28" s="1"/>
  <c r="H82" i="28"/>
  <c r="H128" i="28" s="1"/>
  <c r="H58" i="28"/>
  <c r="H81" i="28" s="1"/>
  <c r="I82" i="28"/>
  <c r="I128" i="28" s="1"/>
  <c r="I58" i="28"/>
  <c r="I81" i="28" s="1"/>
  <c r="N58" i="28"/>
  <c r="N81" i="28" s="1"/>
  <c r="N82" i="28"/>
  <c r="N128" i="28" s="1"/>
  <c r="K82" i="28"/>
  <c r="K128" i="28" s="1"/>
  <c r="K58" i="28"/>
  <c r="K81" i="28" s="1"/>
  <c r="L82" i="28"/>
  <c r="L128" i="28" s="1"/>
  <c r="L58" i="28"/>
  <c r="M82" i="28"/>
  <c r="M128" i="28" s="1"/>
  <c r="M58" i="28"/>
  <c r="M81" i="28" s="1"/>
  <c r="N125" i="28" l="1"/>
  <c r="P45" i="46"/>
  <c r="R45" i="46" s="1"/>
  <c r="L121" i="28"/>
  <c r="J89" i="46"/>
  <c r="J135" i="46" s="1"/>
  <c r="J121" i="28"/>
  <c r="N61" i="19"/>
  <c r="N67" i="19" s="1"/>
  <c r="N178" i="19" s="1"/>
  <c r="P60" i="46"/>
  <c r="R60" i="46" s="1"/>
  <c r="H89" i="46"/>
  <c r="H135" i="46" s="1"/>
  <c r="P66" i="46"/>
  <c r="Q66" i="46" s="1"/>
  <c r="K125" i="28"/>
  <c r="K89" i="46"/>
  <c r="K135" i="46" s="1"/>
  <c r="E125" i="28"/>
  <c r="E89" i="46"/>
  <c r="E135" i="46" s="1"/>
  <c r="J119" i="28"/>
  <c r="J83" i="46"/>
  <c r="J129" i="46" s="1"/>
  <c r="I85" i="46"/>
  <c r="I131" i="46" s="1"/>
  <c r="P131" i="46" s="1"/>
  <c r="R41" i="46"/>
  <c r="R64" i="46"/>
  <c r="F61" i="19"/>
  <c r="F67" i="19" s="1"/>
  <c r="K61" i="19"/>
  <c r="K67" i="19" s="1"/>
  <c r="K178" i="19" s="1"/>
  <c r="I85" i="19"/>
  <c r="I131" i="19" s="1"/>
  <c r="N85" i="19"/>
  <c r="N131" i="19" s="1"/>
  <c r="G61" i="19"/>
  <c r="G67" i="19" s="1"/>
  <c r="L61" i="19"/>
  <c r="L67" i="19" s="1"/>
  <c r="J61" i="19"/>
  <c r="J67" i="19" s="1"/>
  <c r="J178" i="19" s="1"/>
  <c r="O61" i="19"/>
  <c r="O67" i="19" s="1"/>
  <c r="O178" i="19" s="1"/>
  <c r="J85" i="19"/>
  <c r="J131" i="19" s="1"/>
  <c r="M61" i="19"/>
  <c r="M67" i="19" s="1"/>
  <c r="H61" i="19"/>
  <c r="H67" i="19" s="1"/>
  <c r="H178" i="19" s="1"/>
  <c r="D89" i="46"/>
  <c r="P79" i="28"/>
  <c r="Q79" i="28" s="1"/>
  <c r="D125" i="28"/>
  <c r="R62" i="46"/>
  <c r="F124" i="28"/>
  <c r="F88" i="46"/>
  <c r="F134" i="46" s="1"/>
  <c r="O124" i="28"/>
  <c r="O88" i="46"/>
  <c r="O134" i="46" s="1"/>
  <c r="M124" i="28"/>
  <c r="M88" i="46"/>
  <c r="M134" i="46" s="1"/>
  <c r="K88" i="46"/>
  <c r="K134" i="46" s="1"/>
  <c r="K124" i="28"/>
  <c r="I124" i="28"/>
  <c r="I88" i="46"/>
  <c r="I134" i="46" s="1"/>
  <c r="G124" i="28"/>
  <c r="G88" i="46"/>
  <c r="G134" i="46" s="1"/>
  <c r="E124" i="28"/>
  <c r="E88" i="46"/>
  <c r="E134" i="46" s="1"/>
  <c r="J88" i="46"/>
  <c r="J134" i="46" s="1"/>
  <c r="J124" i="28"/>
  <c r="H88" i="46"/>
  <c r="H134" i="46" s="1"/>
  <c r="H124" i="28"/>
  <c r="L124" i="28"/>
  <c r="L88" i="46"/>
  <c r="L134" i="46" s="1"/>
  <c r="N124" i="28"/>
  <c r="N88" i="46"/>
  <c r="N134" i="46" s="1"/>
  <c r="L81" i="28"/>
  <c r="Q39" i="46"/>
  <c r="Q37" i="46"/>
  <c r="Q115" i="46"/>
  <c r="Q59" i="28"/>
  <c r="Q60" i="28"/>
  <c r="Q54" i="28"/>
  <c r="Q52" i="28"/>
  <c r="Q50" i="28"/>
  <c r="D68" i="46"/>
  <c r="D91" i="46" s="1"/>
  <c r="P69" i="46"/>
  <c r="R69" i="46" s="1"/>
  <c r="P139" i="46"/>
  <c r="I178" i="19"/>
  <c r="O85" i="19"/>
  <c r="O131" i="19" s="1"/>
  <c r="O130" i="19" s="1"/>
  <c r="O136" i="19" s="1"/>
  <c r="O182" i="19" s="1"/>
  <c r="O186" i="19" s="1"/>
  <c r="P107" i="19"/>
  <c r="Q107" i="19" s="1"/>
  <c r="P62" i="19"/>
  <c r="Q62" i="19" s="1"/>
  <c r="P38" i="19"/>
  <c r="Q38" i="19" s="1"/>
  <c r="P63" i="19"/>
  <c r="Q63" i="19" s="1"/>
  <c r="F86" i="19"/>
  <c r="F132" i="19" s="1"/>
  <c r="F130" i="19" s="1"/>
  <c r="F136" i="19" s="1"/>
  <c r="F182" i="19" s="1"/>
  <c r="F186" i="19" s="1"/>
  <c r="J86" i="19"/>
  <c r="J132" i="19" s="1"/>
  <c r="M85" i="19"/>
  <c r="M131" i="19" s="1"/>
  <c r="M130" i="19" s="1"/>
  <c r="M136" i="19" s="1"/>
  <c r="M182" i="19" s="1"/>
  <c r="G85" i="19"/>
  <c r="G131" i="19" s="1"/>
  <c r="G130" i="19" s="1"/>
  <c r="G136" i="19" s="1"/>
  <c r="G182" i="19" s="1"/>
  <c r="P18" i="4"/>
  <c r="Q18" i="4" s="1"/>
  <c r="L86" i="19"/>
  <c r="L132" i="19" s="1"/>
  <c r="L130" i="19" s="1"/>
  <c r="L136" i="19" s="1"/>
  <c r="L182" i="19" s="1"/>
  <c r="I86" i="19"/>
  <c r="I132" i="19" s="1"/>
  <c r="K85" i="19"/>
  <c r="K131" i="19" s="1"/>
  <c r="K130" i="19" s="1"/>
  <c r="K136" i="19" s="1"/>
  <c r="K182" i="19" s="1"/>
  <c r="I44" i="19"/>
  <c r="I177" i="19" s="1"/>
  <c r="N86" i="19"/>
  <c r="N132" i="19" s="1"/>
  <c r="H86" i="19"/>
  <c r="H132" i="19" s="1"/>
  <c r="H130" i="19" s="1"/>
  <c r="H136" i="19" s="1"/>
  <c r="H182" i="19" s="1"/>
  <c r="Q15" i="28"/>
  <c r="Q105" i="28"/>
  <c r="G68" i="46"/>
  <c r="G91" i="46" s="1"/>
  <c r="P14" i="28"/>
  <c r="M68" i="46"/>
  <c r="M91" i="46" s="1"/>
  <c r="N68" i="46"/>
  <c r="N91" i="46" s="1"/>
  <c r="K68" i="46"/>
  <c r="K91" i="46" s="1"/>
  <c r="D138" i="46"/>
  <c r="P92" i="46"/>
  <c r="O68" i="46"/>
  <c r="O91" i="46" s="1"/>
  <c r="D119" i="28"/>
  <c r="D83" i="46"/>
  <c r="P73" i="28"/>
  <c r="Q73" i="28" s="1"/>
  <c r="L68" i="46"/>
  <c r="L91" i="46" s="1"/>
  <c r="P93" i="46"/>
  <c r="I68" i="46"/>
  <c r="I91" i="46" s="1"/>
  <c r="D133" i="46"/>
  <c r="P87" i="46"/>
  <c r="D14" i="46"/>
  <c r="P14" i="46" s="1"/>
  <c r="P15" i="46"/>
  <c r="E68" i="46"/>
  <c r="E91" i="46" s="1"/>
  <c r="F68" i="46"/>
  <c r="F91" i="46" s="1"/>
  <c r="P70" i="46"/>
  <c r="R70" i="46" s="1"/>
  <c r="H68" i="46"/>
  <c r="H91" i="46" s="1"/>
  <c r="J68" i="46"/>
  <c r="J91" i="46" s="1"/>
  <c r="D121" i="28"/>
  <c r="P75" i="28"/>
  <c r="Q75" i="28" s="1"/>
  <c r="D123" i="28"/>
  <c r="P123" i="28" s="1"/>
  <c r="Q123" i="28" s="1"/>
  <c r="P77" i="28"/>
  <c r="Q77" i="28" s="1"/>
  <c r="D128" i="28"/>
  <c r="P128" i="28" s="1"/>
  <c r="P82" i="28"/>
  <c r="D81" i="28"/>
  <c r="P58" i="28"/>
  <c r="D129" i="28"/>
  <c r="P129" i="28" s="1"/>
  <c r="P83" i="28"/>
  <c r="G108" i="13"/>
  <c r="G39" i="13"/>
  <c r="G62" i="13" s="1"/>
  <c r="K108" i="13"/>
  <c r="K39" i="13"/>
  <c r="K62" i="13" s="1"/>
  <c r="O108" i="13"/>
  <c r="O39" i="13"/>
  <c r="O62" i="13" s="1"/>
  <c r="G62" i="10"/>
  <c r="K62" i="10"/>
  <c r="O62" i="10"/>
  <c r="G108" i="7"/>
  <c r="G39" i="7"/>
  <c r="G62" i="7" s="1"/>
  <c r="K108" i="7"/>
  <c r="K39" i="7"/>
  <c r="K62" i="7" s="1"/>
  <c r="O108" i="7"/>
  <c r="O39" i="7"/>
  <c r="O62" i="7" s="1"/>
  <c r="G108" i="14"/>
  <c r="G39" i="14"/>
  <c r="G62" i="14" s="1"/>
  <c r="K108" i="14"/>
  <c r="K39" i="14"/>
  <c r="K62" i="14" s="1"/>
  <c r="O108" i="14"/>
  <c r="O39" i="14"/>
  <c r="O62" i="14" s="1"/>
  <c r="G62" i="5"/>
  <c r="K62" i="5"/>
  <c r="O62" i="5"/>
  <c r="G108" i="6"/>
  <c r="G39" i="6"/>
  <c r="G62" i="6" s="1"/>
  <c r="K108" i="6"/>
  <c r="K39" i="6"/>
  <c r="K62" i="6" s="1"/>
  <c r="O108" i="6"/>
  <c r="O39" i="6"/>
  <c r="O62" i="6" s="1"/>
  <c r="G108" i="15"/>
  <c r="G39" i="15"/>
  <c r="G62" i="15" s="1"/>
  <c r="K108" i="15"/>
  <c r="K39" i="15"/>
  <c r="K62" i="15" s="1"/>
  <c r="O108" i="15"/>
  <c r="O39" i="15"/>
  <c r="O62" i="15" s="1"/>
  <c r="G108" i="18"/>
  <c r="G39" i="18"/>
  <c r="K108" i="18"/>
  <c r="K39" i="18"/>
  <c r="O108" i="18"/>
  <c r="O39" i="18"/>
  <c r="G108" i="11"/>
  <c r="G39" i="11"/>
  <c r="G62" i="11" s="1"/>
  <c r="K108" i="11"/>
  <c r="K39" i="11"/>
  <c r="K62" i="11" s="1"/>
  <c r="O108" i="11"/>
  <c r="O39" i="11"/>
  <c r="O62" i="11" s="1"/>
  <c r="G108" i="17"/>
  <c r="G39" i="17"/>
  <c r="G62" i="17" s="1"/>
  <c r="K108" i="17"/>
  <c r="K39" i="17"/>
  <c r="K62" i="17" s="1"/>
  <c r="O108" i="17"/>
  <c r="O39" i="17"/>
  <c r="O62" i="17" s="1"/>
  <c r="G108" i="12"/>
  <c r="G39" i="12"/>
  <c r="G62" i="12" s="1"/>
  <c r="K108" i="12"/>
  <c r="K39" i="12"/>
  <c r="K62" i="12" s="1"/>
  <c r="O108" i="12"/>
  <c r="O39" i="12"/>
  <c r="O62" i="12" s="1"/>
  <c r="G108" i="9"/>
  <c r="G39" i="9"/>
  <c r="G62" i="9" s="1"/>
  <c r="K108" i="9"/>
  <c r="K39" i="9"/>
  <c r="K62" i="9" s="1"/>
  <c r="O108" i="9"/>
  <c r="O39" i="9"/>
  <c r="O62" i="9" s="1"/>
  <c r="G109" i="13"/>
  <c r="G40" i="13"/>
  <c r="G63" i="13" s="1"/>
  <c r="K109" i="13"/>
  <c r="K40" i="13"/>
  <c r="K63" i="13" s="1"/>
  <c r="O109" i="13"/>
  <c r="O40" i="13"/>
  <c r="O63" i="13" s="1"/>
  <c r="G109" i="10"/>
  <c r="G40" i="10"/>
  <c r="G63" i="10" s="1"/>
  <c r="K109" i="10"/>
  <c r="K40" i="10"/>
  <c r="K63" i="10" s="1"/>
  <c r="O109" i="10"/>
  <c r="O40" i="10"/>
  <c r="O63" i="10" s="1"/>
  <c r="G109" i="7"/>
  <c r="G40" i="7"/>
  <c r="G63" i="7" s="1"/>
  <c r="K109" i="7"/>
  <c r="K40" i="7"/>
  <c r="K63" i="7" s="1"/>
  <c r="O109" i="7"/>
  <c r="O40" i="7"/>
  <c r="O63" i="7" s="1"/>
  <c r="G109" i="14"/>
  <c r="G40" i="14"/>
  <c r="G63" i="14" s="1"/>
  <c r="K109" i="14"/>
  <c r="K40" i="14"/>
  <c r="K63" i="14" s="1"/>
  <c r="O109" i="14"/>
  <c r="O40" i="14"/>
  <c r="O63" i="14" s="1"/>
  <c r="G109" i="5"/>
  <c r="G40" i="5"/>
  <c r="G63" i="5" s="1"/>
  <c r="K109" i="5"/>
  <c r="K40" i="5"/>
  <c r="K63" i="5" s="1"/>
  <c r="O109" i="5"/>
  <c r="O40" i="5"/>
  <c r="O63" i="5" s="1"/>
  <c r="G109" i="6"/>
  <c r="G40" i="6"/>
  <c r="G63" i="6" s="1"/>
  <c r="K109" i="6"/>
  <c r="K40" i="6"/>
  <c r="K63" i="6" s="1"/>
  <c r="O109" i="6"/>
  <c r="O40" i="6"/>
  <c r="O63" i="6" s="1"/>
  <c r="G109" i="15"/>
  <c r="G40" i="15"/>
  <c r="G63" i="15" s="1"/>
  <c r="K109" i="15"/>
  <c r="K40" i="15"/>
  <c r="K63" i="15" s="1"/>
  <c r="O109" i="15"/>
  <c r="O40" i="15"/>
  <c r="O63" i="15" s="1"/>
  <c r="G109" i="18"/>
  <c r="G40" i="18"/>
  <c r="K109" i="18"/>
  <c r="K40" i="18"/>
  <c r="O109" i="18"/>
  <c r="O40" i="18"/>
  <c r="G109" i="11"/>
  <c r="G40" i="11"/>
  <c r="G63" i="11" s="1"/>
  <c r="K109" i="11"/>
  <c r="K40" i="11"/>
  <c r="K63" i="11" s="1"/>
  <c r="O109" i="11"/>
  <c r="O40" i="11"/>
  <c r="O63" i="11" s="1"/>
  <c r="K109" i="17"/>
  <c r="K40" i="17"/>
  <c r="K63" i="17" s="1"/>
  <c r="E109" i="12"/>
  <c r="E40" i="12"/>
  <c r="E63" i="12" s="1"/>
  <c r="I109" i="12"/>
  <c r="I40" i="12"/>
  <c r="I63" i="12" s="1"/>
  <c r="M109" i="12"/>
  <c r="M40" i="12"/>
  <c r="M63" i="12" s="1"/>
  <c r="E109" i="9"/>
  <c r="E40" i="9"/>
  <c r="E63" i="9" s="1"/>
  <c r="I109" i="9"/>
  <c r="I40" i="9"/>
  <c r="I63" i="9" s="1"/>
  <c r="M109" i="9"/>
  <c r="M40" i="9"/>
  <c r="M63" i="9" s="1"/>
  <c r="H109" i="17"/>
  <c r="H40" i="17"/>
  <c r="H63" i="17" s="1"/>
  <c r="F108" i="4"/>
  <c r="F62" i="4"/>
  <c r="J108" i="4"/>
  <c r="J39" i="4"/>
  <c r="J62" i="4" s="1"/>
  <c r="N108" i="4"/>
  <c r="N39" i="4"/>
  <c r="N62" i="4" s="1"/>
  <c r="D108" i="13"/>
  <c r="D39" i="13"/>
  <c r="D62" i="13" s="1"/>
  <c r="H108" i="13"/>
  <c r="H39" i="13"/>
  <c r="H62" i="13" s="1"/>
  <c r="L108" i="13"/>
  <c r="L39" i="13"/>
  <c r="L62" i="13" s="1"/>
  <c r="H62" i="10"/>
  <c r="L62" i="10"/>
  <c r="D108" i="7"/>
  <c r="D39" i="7"/>
  <c r="D62" i="7" s="1"/>
  <c r="H108" i="7"/>
  <c r="H39" i="7"/>
  <c r="H62" i="7" s="1"/>
  <c r="L108" i="7"/>
  <c r="L39" i="7"/>
  <c r="L62" i="7" s="1"/>
  <c r="D108" i="14"/>
  <c r="D39" i="14"/>
  <c r="D62" i="14" s="1"/>
  <c r="H108" i="14"/>
  <c r="H39" i="14"/>
  <c r="H62" i="14" s="1"/>
  <c r="L108" i="14"/>
  <c r="L39" i="14"/>
  <c r="L62" i="14" s="1"/>
  <c r="D62" i="5"/>
  <c r="H62" i="5"/>
  <c r="L62" i="5"/>
  <c r="D108" i="6"/>
  <c r="D39" i="6"/>
  <c r="D62" i="6" s="1"/>
  <c r="H108" i="6"/>
  <c r="H39" i="6"/>
  <c r="H62" i="6" s="1"/>
  <c r="L108" i="6"/>
  <c r="L39" i="6"/>
  <c r="L62" i="6" s="1"/>
  <c r="D108" i="15"/>
  <c r="D39" i="15"/>
  <c r="D62" i="15" s="1"/>
  <c r="H108" i="15"/>
  <c r="H39" i="15"/>
  <c r="H62" i="15" s="1"/>
  <c r="L108" i="15"/>
  <c r="L39" i="15"/>
  <c r="L62" i="15" s="1"/>
  <c r="D108" i="18"/>
  <c r="D39" i="18"/>
  <c r="H108" i="18"/>
  <c r="H39" i="18"/>
  <c r="L108" i="18"/>
  <c r="L39" i="18"/>
  <c r="H108" i="11"/>
  <c r="H39" i="11"/>
  <c r="H62" i="11" s="1"/>
  <c r="L108" i="11"/>
  <c r="L39" i="11"/>
  <c r="L62" i="11" s="1"/>
  <c r="D108" i="17"/>
  <c r="D39" i="17"/>
  <c r="D62" i="17" s="1"/>
  <c r="H108" i="17"/>
  <c r="H39" i="17"/>
  <c r="H62" i="17" s="1"/>
  <c r="L108" i="17"/>
  <c r="L39" i="17"/>
  <c r="L62" i="17" s="1"/>
  <c r="D108" i="12"/>
  <c r="D39" i="12"/>
  <c r="D62" i="12" s="1"/>
  <c r="H108" i="12"/>
  <c r="H39" i="12"/>
  <c r="H62" i="12" s="1"/>
  <c r="L108" i="12"/>
  <c r="L39" i="12"/>
  <c r="L62" i="12" s="1"/>
  <c r="D108" i="9"/>
  <c r="D39" i="9"/>
  <c r="D62" i="9" s="1"/>
  <c r="H108" i="9"/>
  <c r="H39" i="9"/>
  <c r="H62" i="9" s="1"/>
  <c r="L108" i="9"/>
  <c r="L39" i="9"/>
  <c r="L62" i="9" s="1"/>
  <c r="D109" i="13"/>
  <c r="D40" i="13"/>
  <c r="D63" i="13" s="1"/>
  <c r="H109" i="13"/>
  <c r="H40" i="13"/>
  <c r="H63" i="13" s="1"/>
  <c r="L109" i="13"/>
  <c r="L40" i="13"/>
  <c r="L63" i="13" s="1"/>
  <c r="H109" i="10"/>
  <c r="H40" i="10"/>
  <c r="H63" i="10" s="1"/>
  <c r="L109" i="10"/>
  <c r="L40" i="10"/>
  <c r="L63" i="10" s="1"/>
  <c r="D109" i="7"/>
  <c r="D40" i="7"/>
  <c r="D63" i="7" s="1"/>
  <c r="H109" i="7"/>
  <c r="H40" i="7"/>
  <c r="H63" i="7" s="1"/>
  <c r="L109" i="7"/>
  <c r="L40" i="7"/>
  <c r="L63" i="7" s="1"/>
  <c r="D109" i="14"/>
  <c r="D40" i="14"/>
  <c r="D63" i="14" s="1"/>
  <c r="H109" i="14"/>
  <c r="H40" i="14"/>
  <c r="H63" i="14" s="1"/>
  <c r="L109" i="14"/>
  <c r="L40" i="14"/>
  <c r="L63" i="14" s="1"/>
  <c r="D109" i="5"/>
  <c r="D40" i="5"/>
  <c r="D63" i="5" s="1"/>
  <c r="H109" i="5"/>
  <c r="H40" i="5"/>
  <c r="H63" i="5" s="1"/>
  <c r="L109" i="5"/>
  <c r="L40" i="5"/>
  <c r="L63" i="5" s="1"/>
  <c r="D109" i="6"/>
  <c r="D40" i="6"/>
  <c r="D63" i="6" s="1"/>
  <c r="H109" i="6"/>
  <c r="H40" i="6"/>
  <c r="H63" i="6" s="1"/>
  <c r="L109" i="6"/>
  <c r="L40" i="6"/>
  <c r="L63" i="6" s="1"/>
  <c r="D109" i="15"/>
  <c r="D40" i="15"/>
  <c r="D63" i="15" s="1"/>
  <c r="H109" i="15"/>
  <c r="H40" i="15"/>
  <c r="H63" i="15" s="1"/>
  <c r="L109" i="15"/>
  <c r="L40" i="15"/>
  <c r="L63" i="15" s="1"/>
  <c r="D109" i="18"/>
  <c r="D40" i="18"/>
  <c r="H109" i="18"/>
  <c r="H40" i="18"/>
  <c r="L109" i="18"/>
  <c r="L40" i="18"/>
  <c r="H109" i="11"/>
  <c r="H40" i="11"/>
  <c r="H63" i="11" s="1"/>
  <c r="L109" i="11"/>
  <c r="L40" i="11"/>
  <c r="L63" i="11" s="1"/>
  <c r="E109" i="17"/>
  <c r="E40" i="17"/>
  <c r="E63" i="17" s="1"/>
  <c r="M109" i="17"/>
  <c r="M40" i="17"/>
  <c r="M63" i="17" s="1"/>
  <c r="F109" i="12"/>
  <c r="F40" i="12"/>
  <c r="F63" i="12" s="1"/>
  <c r="J109" i="12"/>
  <c r="J40" i="12"/>
  <c r="J63" i="12" s="1"/>
  <c r="N109" i="12"/>
  <c r="N40" i="12"/>
  <c r="N63" i="12" s="1"/>
  <c r="F109" i="9"/>
  <c r="F40" i="9"/>
  <c r="F63" i="9" s="1"/>
  <c r="J109" i="9"/>
  <c r="J40" i="9"/>
  <c r="J63" i="9" s="1"/>
  <c r="N109" i="9"/>
  <c r="N40" i="9"/>
  <c r="N63" i="9" s="1"/>
  <c r="J109" i="17"/>
  <c r="J40" i="17"/>
  <c r="J63" i="17" s="1"/>
  <c r="G108" i="4"/>
  <c r="G39" i="4"/>
  <c r="G62" i="4" s="1"/>
  <c r="K108" i="4"/>
  <c r="K39" i="4"/>
  <c r="K62" i="4" s="1"/>
  <c r="O108" i="4"/>
  <c r="O39" i="4"/>
  <c r="O62" i="4" s="1"/>
  <c r="E108" i="13"/>
  <c r="E39" i="13"/>
  <c r="E62" i="13" s="1"/>
  <c r="I108" i="13"/>
  <c r="I39" i="13"/>
  <c r="I62" i="13" s="1"/>
  <c r="M108" i="13"/>
  <c r="M39" i="13"/>
  <c r="M62" i="13" s="1"/>
  <c r="I62" i="10"/>
  <c r="M62" i="10"/>
  <c r="E108" i="7"/>
  <c r="E39" i="7"/>
  <c r="E62" i="7" s="1"/>
  <c r="I108" i="7"/>
  <c r="I39" i="7"/>
  <c r="I62" i="7" s="1"/>
  <c r="M108" i="7"/>
  <c r="M39" i="7"/>
  <c r="M62" i="7" s="1"/>
  <c r="E108" i="14"/>
  <c r="E39" i="14"/>
  <c r="E62" i="14" s="1"/>
  <c r="I108" i="14"/>
  <c r="I39" i="14"/>
  <c r="I62" i="14" s="1"/>
  <c r="M108" i="14"/>
  <c r="M39" i="14"/>
  <c r="M62" i="14" s="1"/>
  <c r="E62" i="5"/>
  <c r="I62" i="5"/>
  <c r="M62" i="5"/>
  <c r="E108" i="6"/>
  <c r="E39" i="6"/>
  <c r="E62" i="6" s="1"/>
  <c r="I108" i="6"/>
  <c r="I39" i="6"/>
  <c r="I62" i="6" s="1"/>
  <c r="M108" i="6"/>
  <c r="M39" i="6"/>
  <c r="M62" i="6" s="1"/>
  <c r="E108" i="15"/>
  <c r="E39" i="15"/>
  <c r="E62" i="15" s="1"/>
  <c r="I108" i="15"/>
  <c r="I39" i="15"/>
  <c r="I62" i="15" s="1"/>
  <c r="M108" i="15"/>
  <c r="M39" i="15"/>
  <c r="M62" i="15" s="1"/>
  <c r="E108" i="18"/>
  <c r="E39" i="18"/>
  <c r="I108" i="18"/>
  <c r="I39" i="18"/>
  <c r="M108" i="18"/>
  <c r="M39" i="18"/>
  <c r="I108" i="11"/>
  <c r="I39" i="11"/>
  <c r="I62" i="11" s="1"/>
  <c r="M108" i="11"/>
  <c r="M39" i="11"/>
  <c r="M62" i="11" s="1"/>
  <c r="E108" i="17"/>
  <c r="E39" i="17"/>
  <c r="E62" i="17" s="1"/>
  <c r="I108" i="17"/>
  <c r="I39" i="17"/>
  <c r="I62" i="17" s="1"/>
  <c r="M108" i="17"/>
  <c r="M39" i="17"/>
  <c r="M62" i="17" s="1"/>
  <c r="E108" i="12"/>
  <c r="E39" i="12"/>
  <c r="E62" i="12" s="1"/>
  <c r="I108" i="12"/>
  <c r="I39" i="12"/>
  <c r="I62" i="12" s="1"/>
  <c r="M108" i="12"/>
  <c r="M39" i="12"/>
  <c r="M62" i="12" s="1"/>
  <c r="E108" i="9"/>
  <c r="E39" i="9"/>
  <c r="E62" i="9" s="1"/>
  <c r="I108" i="9"/>
  <c r="I39" i="9"/>
  <c r="I62" i="9" s="1"/>
  <c r="M108" i="9"/>
  <c r="M39" i="9"/>
  <c r="M62" i="9" s="1"/>
  <c r="E109" i="13"/>
  <c r="E40" i="13"/>
  <c r="E63" i="13" s="1"/>
  <c r="I109" i="13"/>
  <c r="I40" i="13"/>
  <c r="I63" i="13" s="1"/>
  <c r="M109" i="13"/>
  <c r="M40" i="13"/>
  <c r="M63" i="13" s="1"/>
  <c r="I109" i="10"/>
  <c r="I40" i="10"/>
  <c r="I63" i="10" s="1"/>
  <c r="M109" i="10"/>
  <c r="M40" i="10"/>
  <c r="M63" i="10" s="1"/>
  <c r="E109" i="7"/>
  <c r="E40" i="7"/>
  <c r="E63" i="7" s="1"/>
  <c r="I109" i="7"/>
  <c r="I40" i="7"/>
  <c r="I63" i="7" s="1"/>
  <c r="M109" i="7"/>
  <c r="M40" i="7"/>
  <c r="M63" i="7" s="1"/>
  <c r="E109" i="14"/>
  <c r="E40" i="14"/>
  <c r="E63" i="14" s="1"/>
  <c r="I109" i="14"/>
  <c r="I40" i="14"/>
  <c r="I63" i="14" s="1"/>
  <c r="M109" i="14"/>
  <c r="M40" i="14"/>
  <c r="M63" i="14" s="1"/>
  <c r="E109" i="5"/>
  <c r="E40" i="5"/>
  <c r="E63" i="5" s="1"/>
  <c r="I109" i="5"/>
  <c r="I40" i="5"/>
  <c r="I63" i="5" s="1"/>
  <c r="M109" i="5"/>
  <c r="M40" i="5"/>
  <c r="M63" i="5" s="1"/>
  <c r="E109" i="6"/>
  <c r="E40" i="6"/>
  <c r="E63" i="6" s="1"/>
  <c r="I109" i="6"/>
  <c r="I40" i="6"/>
  <c r="I63" i="6" s="1"/>
  <c r="M109" i="6"/>
  <c r="M40" i="6"/>
  <c r="M63" i="6" s="1"/>
  <c r="E109" i="15"/>
  <c r="E40" i="15"/>
  <c r="E63" i="15" s="1"/>
  <c r="I109" i="15"/>
  <c r="I40" i="15"/>
  <c r="I63" i="15" s="1"/>
  <c r="M109" i="15"/>
  <c r="M40" i="15"/>
  <c r="M63" i="15" s="1"/>
  <c r="E109" i="18"/>
  <c r="E40" i="18"/>
  <c r="I109" i="18"/>
  <c r="I40" i="18"/>
  <c r="M109" i="18"/>
  <c r="M40" i="18"/>
  <c r="I109" i="11"/>
  <c r="I40" i="11"/>
  <c r="I63" i="11" s="1"/>
  <c r="M109" i="11"/>
  <c r="M40" i="11"/>
  <c r="M63" i="11" s="1"/>
  <c r="G109" i="17"/>
  <c r="G40" i="17"/>
  <c r="G63" i="17" s="1"/>
  <c r="O109" i="17"/>
  <c r="O40" i="17"/>
  <c r="O63" i="17" s="1"/>
  <c r="G109" i="12"/>
  <c r="G40" i="12"/>
  <c r="G63" i="12" s="1"/>
  <c r="K109" i="12"/>
  <c r="K40" i="12"/>
  <c r="K63" i="12" s="1"/>
  <c r="O109" i="12"/>
  <c r="O40" i="12"/>
  <c r="O63" i="12" s="1"/>
  <c r="G109" i="9"/>
  <c r="G40" i="9"/>
  <c r="G63" i="9" s="1"/>
  <c r="K109" i="9"/>
  <c r="K40" i="9"/>
  <c r="K63" i="9" s="1"/>
  <c r="O109" i="9"/>
  <c r="O40" i="9"/>
  <c r="O63" i="9" s="1"/>
  <c r="D109" i="17"/>
  <c r="D40" i="17"/>
  <c r="D63" i="17" s="1"/>
  <c r="L109" i="17"/>
  <c r="L40" i="17"/>
  <c r="L63" i="17" s="1"/>
  <c r="D108" i="4"/>
  <c r="D39" i="4"/>
  <c r="D62" i="4" s="1"/>
  <c r="H108" i="4"/>
  <c r="H39" i="4"/>
  <c r="H62" i="4" s="1"/>
  <c r="L108" i="4"/>
  <c r="L39" i="4"/>
  <c r="L62" i="4" s="1"/>
  <c r="F108" i="13"/>
  <c r="F39" i="13"/>
  <c r="F62" i="13" s="1"/>
  <c r="J108" i="13"/>
  <c r="J39" i="13"/>
  <c r="J62" i="13" s="1"/>
  <c r="N108" i="13"/>
  <c r="N39" i="13"/>
  <c r="N62" i="13" s="1"/>
  <c r="F62" i="10"/>
  <c r="J62" i="10"/>
  <c r="N62" i="10"/>
  <c r="F108" i="7"/>
  <c r="F39" i="7"/>
  <c r="F62" i="7" s="1"/>
  <c r="J108" i="7"/>
  <c r="J39" i="7"/>
  <c r="J62" i="7" s="1"/>
  <c r="N108" i="7"/>
  <c r="N39" i="7"/>
  <c r="N62" i="7" s="1"/>
  <c r="F108" i="14"/>
  <c r="F39" i="14"/>
  <c r="F62" i="14" s="1"/>
  <c r="J108" i="14"/>
  <c r="J39" i="14"/>
  <c r="J62" i="14" s="1"/>
  <c r="N108" i="14"/>
  <c r="N39" i="14"/>
  <c r="N62" i="14" s="1"/>
  <c r="F62" i="5"/>
  <c r="J62" i="5"/>
  <c r="N62" i="5"/>
  <c r="F108" i="6"/>
  <c r="F39" i="6"/>
  <c r="F62" i="6" s="1"/>
  <c r="J108" i="6"/>
  <c r="J39" i="6"/>
  <c r="J62" i="6" s="1"/>
  <c r="N108" i="6"/>
  <c r="N39" i="6"/>
  <c r="N62" i="6" s="1"/>
  <c r="F108" i="15"/>
  <c r="F39" i="15"/>
  <c r="F62" i="15" s="1"/>
  <c r="J108" i="15"/>
  <c r="J39" i="15"/>
  <c r="J62" i="15" s="1"/>
  <c r="N108" i="15"/>
  <c r="N39" i="15"/>
  <c r="N62" i="15" s="1"/>
  <c r="F108" i="18"/>
  <c r="F39" i="18"/>
  <c r="J108" i="18"/>
  <c r="J39" i="18"/>
  <c r="N108" i="18"/>
  <c r="N39" i="18"/>
  <c r="F108" i="11"/>
  <c r="F39" i="11"/>
  <c r="F62" i="11" s="1"/>
  <c r="J108" i="11"/>
  <c r="J39" i="11"/>
  <c r="J62" i="11" s="1"/>
  <c r="N108" i="11"/>
  <c r="N39" i="11"/>
  <c r="N62" i="11" s="1"/>
  <c r="F108" i="17"/>
  <c r="F39" i="17"/>
  <c r="F62" i="17" s="1"/>
  <c r="J108" i="17"/>
  <c r="J39" i="17"/>
  <c r="J62" i="17" s="1"/>
  <c r="N108" i="17"/>
  <c r="N39" i="17"/>
  <c r="N62" i="17" s="1"/>
  <c r="F108" i="12"/>
  <c r="F39" i="12"/>
  <c r="F62" i="12" s="1"/>
  <c r="J108" i="12"/>
  <c r="J39" i="12"/>
  <c r="J62" i="12" s="1"/>
  <c r="N108" i="12"/>
  <c r="N39" i="12"/>
  <c r="N62" i="12" s="1"/>
  <c r="F108" i="9"/>
  <c r="F39" i="9"/>
  <c r="F62" i="9" s="1"/>
  <c r="J108" i="9"/>
  <c r="J39" i="9"/>
  <c r="J62" i="9" s="1"/>
  <c r="N108" i="9"/>
  <c r="N39" i="9"/>
  <c r="N62" i="9" s="1"/>
  <c r="F109" i="13"/>
  <c r="F40" i="13"/>
  <c r="F63" i="13" s="1"/>
  <c r="J109" i="13"/>
  <c r="J40" i="13"/>
  <c r="J63" i="13" s="1"/>
  <c r="N109" i="13"/>
  <c r="N40" i="13"/>
  <c r="N63" i="13" s="1"/>
  <c r="F109" i="10"/>
  <c r="F40" i="10"/>
  <c r="F63" i="10" s="1"/>
  <c r="J109" i="10"/>
  <c r="J40" i="10"/>
  <c r="J63" i="10" s="1"/>
  <c r="N109" i="10"/>
  <c r="N40" i="10"/>
  <c r="N63" i="10" s="1"/>
  <c r="F109" i="7"/>
  <c r="F40" i="7"/>
  <c r="F63" i="7" s="1"/>
  <c r="J109" i="7"/>
  <c r="J40" i="7"/>
  <c r="J63" i="7" s="1"/>
  <c r="N109" i="7"/>
  <c r="N40" i="7"/>
  <c r="N63" i="7" s="1"/>
  <c r="F109" i="14"/>
  <c r="F40" i="14"/>
  <c r="F63" i="14" s="1"/>
  <c r="J109" i="14"/>
  <c r="J40" i="14"/>
  <c r="J63" i="14" s="1"/>
  <c r="N109" i="14"/>
  <c r="N40" i="14"/>
  <c r="N63" i="14" s="1"/>
  <c r="F109" i="5"/>
  <c r="F40" i="5"/>
  <c r="F63" i="5" s="1"/>
  <c r="J109" i="5"/>
  <c r="J40" i="5"/>
  <c r="J63" i="5" s="1"/>
  <c r="N109" i="5"/>
  <c r="N40" i="5"/>
  <c r="N63" i="5" s="1"/>
  <c r="F109" i="6"/>
  <c r="F40" i="6"/>
  <c r="F63" i="6" s="1"/>
  <c r="J109" i="6"/>
  <c r="J40" i="6"/>
  <c r="J63" i="6" s="1"/>
  <c r="N109" i="6"/>
  <c r="N40" i="6"/>
  <c r="N63" i="6" s="1"/>
  <c r="F109" i="15"/>
  <c r="F40" i="15"/>
  <c r="F63" i="15" s="1"/>
  <c r="J109" i="15"/>
  <c r="J40" i="15"/>
  <c r="J63" i="15" s="1"/>
  <c r="N109" i="15"/>
  <c r="N40" i="15"/>
  <c r="N63" i="15" s="1"/>
  <c r="F109" i="18"/>
  <c r="F40" i="18"/>
  <c r="J109" i="18"/>
  <c r="J40" i="18"/>
  <c r="N109" i="18"/>
  <c r="N40" i="18"/>
  <c r="F109" i="11"/>
  <c r="F40" i="11"/>
  <c r="F63" i="11" s="1"/>
  <c r="J109" i="11"/>
  <c r="J40" i="11"/>
  <c r="J63" i="11" s="1"/>
  <c r="N109" i="11"/>
  <c r="N40" i="11"/>
  <c r="N63" i="11" s="1"/>
  <c r="I109" i="17"/>
  <c r="I40" i="17"/>
  <c r="I63" i="17" s="1"/>
  <c r="D109" i="12"/>
  <c r="D40" i="12"/>
  <c r="D63" i="12" s="1"/>
  <c r="H109" i="12"/>
  <c r="H40" i="12"/>
  <c r="H63" i="12" s="1"/>
  <c r="L109" i="12"/>
  <c r="L40" i="12"/>
  <c r="L63" i="12" s="1"/>
  <c r="D109" i="9"/>
  <c r="D40" i="9"/>
  <c r="D63" i="9" s="1"/>
  <c r="H109" i="9"/>
  <c r="H40" i="9"/>
  <c r="H63" i="9" s="1"/>
  <c r="L109" i="9"/>
  <c r="L40" i="9"/>
  <c r="L63" i="9" s="1"/>
  <c r="F109" i="17"/>
  <c r="F40" i="17"/>
  <c r="F63" i="17" s="1"/>
  <c r="N109" i="17"/>
  <c r="N40" i="17"/>
  <c r="N63" i="17" s="1"/>
  <c r="E108" i="4"/>
  <c r="E62" i="4"/>
  <c r="I108" i="4"/>
  <c r="I39" i="4"/>
  <c r="I62" i="4" s="1"/>
  <c r="M108" i="4"/>
  <c r="M39" i="4"/>
  <c r="M62" i="4" s="1"/>
  <c r="P21" i="4"/>
  <c r="N84" i="19" l="1"/>
  <c r="N90" i="19" s="1"/>
  <c r="F84" i="19"/>
  <c r="F90" i="19" s="1"/>
  <c r="Q21" i="4"/>
  <c r="R21" i="20"/>
  <c r="N61" i="9"/>
  <c r="F61" i="9"/>
  <c r="J61" i="12"/>
  <c r="J61" i="9"/>
  <c r="N61" i="12"/>
  <c r="F61" i="12"/>
  <c r="J61" i="17"/>
  <c r="M61" i="17"/>
  <c r="H61" i="17"/>
  <c r="N180" i="19"/>
  <c r="N185" i="19" s="1"/>
  <c r="F180" i="19"/>
  <c r="F185" i="19" s="1"/>
  <c r="P121" i="28"/>
  <c r="Q121" i="28" s="1"/>
  <c r="P85" i="46"/>
  <c r="R85" i="46" s="1"/>
  <c r="Q60" i="46"/>
  <c r="K84" i="19"/>
  <c r="K90" i="19" s="1"/>
  <c r="I130" i="19"/>
  <c r="I136" i="19" s="1"/>
  <c r="I182" i="19" s="1"/>
  <c r="I186" i="19" s="1"/>
  <c r="L84" i="19"/>
  <c r="L90" i="19" s="1"/>
  <c r="P119" i="28"/>
  <c r="Q119" i="28" s="1"/>
  <c r="P125" i="28"/>
  <c r="Q125" i="28" s="1"/>
  <c r="R66" i="46"/>
  <c r="M61" i="12"/>
  <c r="E61" i="12"/>
  <c r="I61" i="9"/>
  <c r="J84" i="19"/>
  <c r="J90" i="19" s="1"/>
  <c r="N130" i="19"/>
  <c r="N136" i="19" s="1"/>
  <c r="N182" i="19" s="1"/>
  <c r="N186" i="19" s="1"/>
  <c r="O84" i="19"/>
  <c r="O90" i="19" s="1"/>
  <c r="G84" i="19"/>
  <c r="G90" i="19" s="1"/>
  <c r="M61" i="9"/>
  <c r="I61" i="12"/>
  <c r="J130" i="19"/>
  <c r="J136" i="19" s="1"/>
  <c r="J182" i="19" s="1"/>
  <c r="J186" i="19" s="1"/>
  <c r="E61" i="9"/>
  <c r="E61" i="17"/>
  <c r="E107" i="12"/>
  <c r="F63" i="18"/>
  <c r="F86" i="18" s="1"/>
  <c r="F132" i="18" s="1"/>
  <c r="F61" i="17"/>
  <c r="N62" i="18"/>
  <c r="N85" i="18" s="1"/>
  <c r="N131" i="18" s="1"/>
  <c r="N39" i="20"/>
  <c r="F62" i="18"/>
  <c r="F61" i="18" s="1"/>
  <c r="F39" i="20"/>
  <c r="N61" i="6"/>
  <c r="J61" i="5"/>
  <c r="F61" i="14"/>
  <c r="N61" i="10"/>
  <c r="J61" i="13"/>
  <c r="I63" i="18"/>
  <c r="I86" i="18" s="1"/>
  <c r="I132" i="18" s="1"/>
  <c r="I61" i="11"/>
  <c r="M61" i="15"/>
  <c r="E61" i="15"/>
  <c r="I61" i="6"/>
  <c r="E61" i="5"/>
  <c r="I61" i="14"/>
  <c r="M61" i="7"/>
  <c r="E61" i="7"/>
  <c r="I61" i="10"/>
  <c r="I61" i="13"/>
  <c r="L63" i="18"/>
  <c r="L86" i="18" s="1"/>
  <c r="L132" i="18" s="1"/>
  <c r="D63" i="18"/>
  <c r="D86" i="18" s="1"/>
  <c r="H61" i="9"/>
  <c r="L61" i="12"/>
  <c r="D61" i="12"/>
  <c r="L61" i="11"/>
  <c r="L62" i="18"/>
  <c r="L39" i="20"/>
  <c r="D62" i="18"/>
  <c r="D85" i="18" s="1"/>
  <c r="D39" i="20"/>
  <c r="D62" i="20" s="1"/>
  <c r="D62" i="28" s="1"/>
  <c r="H61" i="15"/>
  <c r="L61" i="6"/>
  <c r="D61" i="6"/>
  <c r="H61" i="5"/>
  <c r="L61" i="14"/>
  <c r="D61" i="14"/>
  <c r="H61" i="7"/>
  <c r="L61" i="10"/>
  <c r="L61" i="13"/>
  <c r="D61" i="13"/>
  <c r="K63" i="18"/>
  <c r="K86" i="18" s="1"/>
  <c r="K132" i="18" s="1"/>
  <c r="K61" i="9"/>
  <c r="O61" i="12"/>
  <c r="G61" i="12"/>
  <c r="K61" i="17"/>
  <c r="O61" i="11"/>
  <c r="G61" i="11"/>
  <c r="K62" i="18"/>
  <c r="K39" i="20"/>
  <c r="O61" i="15"/>
  <c r="G61" i="15"/>
  <c r="K61" i="6"/>
  <c r="O61" i="5"/>
  <c r="G61" i="5"/>
  <c r="K61" i="14"/>
  <c r="O61" i="7"/>
  <c r="G61" i="7"/>
  <c r="K61" i="10"/>
  <c r="O61" i="13"/>
  <c r="G61" i="13"/>
  <c r="N63" i="18"/>
  <c r="N86" i="18" s="1"/>
  <c r="N132" i="18" s="1"/>
  <c r="N61" i="17"/>
  <c r="J61" i="11"/>
  <c r="J61" i="15"/>
  <c r="F61" i="6"/>
  <c r="N61" i="14"/>
  <c r="J61" i="7"/>
  <c r="F61" i="10"/>
  <c r="I62" i="18"/>
  <c r="I39" i="20"/>
  <c r="M61" i="5"/>
  <c r="N108" i="20"/>
  <c r="N108" i="28" s="1"/>
  <c r="N118" i="46" s="1"/>
  <c r="F108" i="20"/>
  <c r="F108" i="28" s="1"/>
  <c r="F118" i="46" s="1"/>
  <c r="I108" i="20"/>
  <c r="I108" i="28" s="1"/>
  <c r="I118" i="46" s="1"/>
  <c r="L108" i="20"/>
  <c r="L108" i="28" s="1"/>
  <c r="L118" i="46" s="1"/>
  <c r="D108" i="20"/>
  <c r="D108" i="28" s="1"/>
  <c r="K108" i="20"/>
  <c r="K108" i="28" s="1"/>
  <c r="K118" i="46" s="1"/>
  <c r="F61" i="11"/>
  <c r="J62" i="18"/>
  <c r="J85" i="18" s="1"/>
  <c r="J131" i="18" s="1"/>
  <c r="J39" i="20"/>
  <c r="F61" i="15"/>
  <c r="N61" i="5"/>
  <c r="J61" i="14"/>
  <c r="F61" i="7"/>
  <c r="N61" i="13"/>
  <c r="E63" i="18"/>
  <c r="I61" i="17"/>
  <c r="M61" i="11"/>
  <c r="E62" i="18"/>
  <c r="E39" i="20"/>
  <c r="I61" i="15"/>
  <c r="M61" i="6"/>
  <c r="E61" i="6"/>
  <c r="I61" i="5"/>
  <c r="M61" i="14"/>
  <c r="E61" i="14"/>
  <c r="I61" i="7"/>
  <c r="M61" i="10"/>
  <c r="M61" i="13"/>
  <c r="E61" i="13"/>
  <c r="H63" i="18"/>
  <c r="H86" i="18" s="1"/>
  <c r="H132" i="18" s="1"/>
  <c r="L61" i="9"/>
  <c r="D61" i="9"/>
  <c r="H61" i="12"/>
  <c r="L61" i="17"/>
  <c r="D61" i="17"/>
  <c r="H61" i="11"/>
  <c r="H62" i="18"/>
  <c r="H39" i="20"/>
  <c r="L61" i="15"/>
  <c r="D61" i="15"/>
  <c r="H61" i="6"/>
  <c r="L61" i="5"/>
  <c r="D61" i="5"/>
  <c r="H61" i="14"/>
  <c r="L61" i="7"/>
  <c r="D61" i="7"/>
  <c r="H61" i="10"/>
  <c r="H61" i="13"/>
  <c r="O63" i="18"/>
  <c r="O86" i="18" s="1"/>
  <c r="O132" i="18" s="1"/>
  <c r="G63" i="18"/>
  <c r="G86" i="18" s="1"/>
  <c r="G132" i="18" s="1"/>
  <c r="O61" i="9"/>
  <c r="G61" i="9"/>
  <c r="K61" i="12"/>
  <c r="O61" i="17"/>
  <c r="G61" i="17"/>
  <c r="K61" i="11"/>
  <c r="O62" i="18"/>
  <c r="O61" i="18" s="1"/>
  <c r="O39" i="20"/>
  <c r="O62" i="20" s="1"/>
  <c r="O62" i="28" s="1"/>
  <c r="G62" i="18"/>
  <c r="G85" i="18" s="1"/>
  <c r="G131" i="18" s="1"/>
  <c r="G39" i="20"/>
  <c r="K61" i="15"/>
  <c r="O61" i="6"/>
  <c r="G61" i="6"/>
  <c r="K61" i="5"/>
  <c r="O61" i="14"/>
  <c r="G61" i="14"/>
  <c r="K61" i="7"/>
  <c r="O61" i="10"/>
  <c r="G61" i="10"/>
  <c r="K61" i="13"/>
  <c r="J63" i="18"/>
  <c r="J86" i="18" s="1"/>
  <c r="J132" i="18" s="1"/>
  <c r="N61" i="11"/>
  <c r="N61" i="15"/>
  <c r="J61" i="6"/>
  <c r="F61" i="5"/>
  <c r="N61" i="7"/>
  <c r="J61" i="10"/>
  <c r="F61" i="13"/>
  <c r="M63" i="18"/>
  <c r="M86" i="18" s="1"/>
  <c r="M132" i="18" s="1"/>
  <c r="M62" i="18"/>
  <c r="M85" i="18" s="1"/>
  <c r="M131" i="18" s="1"/>
  <c r="M39" i="20"/>
  <c r="J108" i="20"/>
  <c r="M108" i="20"/>
  <c r="M108" i="28" s="1"/>
  <c r="M118" i="46" s="1"/>
  <c r="E108" i="20"/>
  <c r="E108" i="28" s="1"/>
  <c r="E118" i="46" s="1"/>
  <c r="H108" i="20"/>
  <c r="H108" i="28" s="1"/>
  <c r="H118" i="46" s="1"/>
  <c r="O108" i="20"/>
  <c r="O108" i="28" s="1"/>
  <c r="O118" i="46" s="1"/>
  <c r="G108" i="20"/>
  <c r="G108" i="28" s="1"/>
  <c r="G118" i="46" s="1"/>
  <c r="Q87" i="46"/>
  <c r="R87" i="46"/>
  <c r="R92" i="46"/>
  <c r="D135" i="46"/>
  <c r="P135" i="46" s="1"/>
  <c r="P89" i="46"/>
  <c r="F178" i="19"/>
  <c r="Q131" i="46"/>
  <c r="R139" i="46"/>
  <c r="P81" i="28"/>
  <c r="R93" i="46"/>
  <c r="Q69" i="46"/>
  <c r="Q58" i="28"/>
  <c r="Q70" i="46"/>
  <c r="P138" i="46"/>
  <c r="R138" i="46" s="1"/>
  <c r="P133" i="46"/>
  <c r="Q92" i="46"/>
  <c r="I84" i="19"/>
  <c r="I90" i="19" s="1"/>
  <c r="Q15" i="46"/>
  <c r="L178" i="19"/>
  <c r="G178" i="19"/>
  <c r="H84" i="19"/>
  <c r="H90" i="19" s="1"/>
  <c r="P19" i="4"/>
  <c r="Q19" i="4" s="1"/>
  <c r="P86" i="19"/>
  <c r="Q86" i="19" s="1"/>
  <c r="P132" i="19"/>
  <c r="Q132" i="19" s="1"/>
  <c r="P85" i="19"/>
  <c r="Q85" i="19" s="1"/>
  <c r="P61" i="19"/>
  <c r="Q61" i="19" s="1"/>
  <c r="M186" i="19"/>
  <c r="K186" i="19"/>
  <c r="G186" i="19"/>
  <c r="H186" i="19"/>
  <c r="L186" i="19"/>
  <c r="M84" i="19"/>
  <c r="M90" i="19" s="1"/>
  <c r="M178" i="19"/>
  <c r="J107" i="9"/>
  <c r="N107" i="12"/>
  <c r="I107" i="9"/>
  <c r="M107" i="12"/>
  <c r="M107" i="17"/>
  <c r="F107" i="12"/>
  <c r="H107" i="17"/>
  <c r="E107" i="17"/>
  <c r="I107" i="12"/>
  <c r="M107" i="9"/>
  <c r="E107" i="9"/>
  <c r="N107" i="9"/>
  <c r="F107" i="9"/>
  <c r="C118" i="46"/>
  <c r="C119" i="46"/>
  <c r="L18" i="46"/>
  <c r="L18" i="28"/>
  <c r="J18" i="46"/>
  <c r="J18" i="28"/>
  <c r="P68" i="46"/>
  <c r="R68" i="46" s="1"/>
  <c r="C18" i="28"/>
  <c r="H18" i="46"/>
  <c r="H18" i="28"/>
  <c r="N18" i="46"/>
  <c r="N18" i="28"/>
  <c r="M18" i="46"/>
  <c r="M18" i="28"/>
  <c r="E18" i="46"/>
  <c r="E18" i="28"/>
  <c r="P91" i="46"/>
  <c r="D18" i="46"/>
  <c r="P18" i="20"/>
  <c r="D18" i="28"/>
  <c r="G18" i="46"/>
  <c r="G18" i="28"/>
  <c r="I18" i="46"/>
  <c r="I18" i="28"/>
  <c r="K18" i="46"/>
  <c r="K18" i="28"/>
  <c r="O18" i="46"/>
  <c r="O18" i="28"/>
  <c r="F18" i="46"/>
  <c r="F18" i="28"/>
  <c r="D129" i="46"/>
  <c r="P83" i="46"/>
  <c r="Q82" i="28"/>
  <c r="C40" i="28"/>
  <c r="C50" i="46" s="1"/>
  <c r="C96" i="46" s="1"/>
  <c r="P39" i="18"/>
  <c r="Q39" i="18" s="1"/>
  <c r="P40" i="18"/>
  <c r="Q40" i="18" s="1"/>
  <c r="E86" i="18"/>
  <c r="E132" i="18" s="1"/>
  <c r="G85" i="17"/>
  <c r="G131" i="17" s="1"/>
  <c r="I86" i="17"/>
  <c r="I132" i="17" s="1"/>
  <c r="H86" i="17"/>
  <c r="H132" i="17" s="1"/>
  <c r="N86" i="17"/>
  <c r="N132" i="17" s="1"/>
  <c r="P40" i="17"/>
  <c r="Q40" i="17" s="1"/>
  <c r="D86" i="17"/>
  <c r="O86" i="17"/>
  <c r="O132" i="17" s="1"/>
  <c r="E38" i="17"/>
  <c r="E85" i="17"/>
  <c r="E131" i="17" s="1"/>
  <c r="J86" i="17"/>
  <c r="J132" i="17" s="1"/>
  <c r="M86" i="17"/>
  <c r="M132" i="17" s="1"/>
  <c r="P39" i="17"/>
  <c r="Q39" i="17" s="1"/>
  <c r="D85" i="17"/>
  <c r="K85" i="17"/>
  <c r="K131" i="17" s="1"/>
  <c r="J38" i="17"/>
  <c r="K86" i="17"/>
  <c r="K132" i="17" s="1"/>
  <c r="I85" i="17"/>
  <c r="I131" i="17" s="1"/>
  <c r="H38" i="17"/>
  <c r="H85" i="17"/>
  <c r="H131" i="17" s="1"/>
  <c r="O85" i="17"/>
  <c r="O131" i="17" s="1"/>
  <c r="F86" i="17"/>
  <c r="F132" i="17" s="1"/>
  <c r="F85" i="17"/>
  <c r="F131" i="17" s="1"/>
  <c r="L86" i="17"/>
  <c r="L132" i="17" s="1"/>
  <c r="G86" i="17"/>
  <c r="G132" i="17" s="1"/>
  <c r="M38" i="17"/>
  <c r="M85" i="17"/>
  <c r="M131" i="17" s="1"/>
  <c r="E86" i="17"/>
  <c r="E132" i="17" s="1"/>
  <c r="L85" i="15"/>
  <c r="L131" i="15" s="1"/>
  <c r="K86" i="15"/>
  <c r="K132" i="15" s="1"/>
  <c r="N86" i="15"/>
  <c r="N132" i="15" s="1"/>
  <c r="F86" i="15"/>
  <c r="F132" i="15" s="1"/>
  <c r="I86" i="15"/>
  <c r="I132" i="15" s="1"/>
  <c r="E85" i="15"/>
  <c r="E131" i="15" s="1"/>
  <c r="L86" i="15"/>
  <c r="L132" i="15" s="1"/>
  <c r="P40" i="15"/>
  <c r="Q40" i="15" s="1"/>
  <c r="D86" i="15"/>
  <c r="P39" i="15"/>
  <c r="Q39" i="15" s="1"/>
  <c r="D85" i="15"/>
  <c r="O86" i="15"/>
  <c r="O132" i="15" s="1"/>
  <c r="G86" i="15"/>
  <c r="G132" i="15" s="1"/>
  <c r="J86" i="15"/>
  <c r="J132" i="15" s="1"/>
  <c r="M86" i="15"/>
  <c r="M132" i="15" s="1"/>
  <c r="E86" i="15"/>
  <c r="E132" i="15" s="1"/>
  <c r="M85" i="15"/>
  <c r="M131" i="15" s="1"/>
  <c r="H86" i="15"/>
  <c r="H132" i="15" s="1"/>
  <c r="H85" i="15"/>
  <c r="H131" i="15" s="1"/>
  <c r="J86" i="14"/>
  <c r="J132" i="14" s="1"/>
  <c r="J85" i="14"/>
  <c r="J131" i="14" s="1"/>
  <c r="M86" i="14"/>
  <c r="M132" i="14" s="1"/>
  <c r="E86" i="14"/>
  <c r="E132" i="14" s="1"/>
  <c r="D85" i="14"/>
  <c r="P39" i="14"/>
  <c r="Q39" i="14" s="1"/>
  <c r="O86" i="14"/>
  <c r="O132" i="14" s="1"/>
  <c r="G86" i="14"/>
  <c r="G132" i="14" s="1"/>
  <c r="H86" i="14"/>
  <c r="H132" i="14" s="1"/>
  <c r="H85" i="14"/>
  <c r="H131" i="14" s="1"/>
  <c r="N86" i="14"/>
  <c r="N132" i="14" s="1"/>
  <c r="F86" i="14"/>
  <c r="F132" i="14" s="1"/>
  <c r="I86" i="14"/>
  <c r="I132" i="14" s="1"/>
  <c r="L85" i="14"/>
  <c r="L131" i="14" s="1"/>
  <c r="K86" i="14"/>
  <c r="K132" i="14" s="1"/>
  <c r="L86" i="14"/>
  <c r="L132" i="14" s="1"/>
  <c r="D86" i="14"/>
  <c r="P40" i="14"/>
  <c r="Q40" i="14" s="1"/>
  <c r="D85" i="13"/>
  <c r="P39" i="13"/>
  <c r="Q39" i="13" s="1"/>
  <c r="K86" i="13"/>
  <c r="K132" i="13" s="1"/>
  <c r="O85" i="13"/>
  <c r="O131" i="13" s="1"/>
  <c r="J86" i="13"/>
  <c r="J132" i="13" s="1"/>
  <c r="J85" i="13"/>
  <c r="J131" i="13" s="1"/>
  <c r="M86" i="13"/>
  <c r="M132" i="13" s="1"/>
  <c r="E86" i="13"/>
  <c r="E132" i="13" s="1"/>
  <c r="I85" i="13"/>
  <c r="I131" i="13" s="1"/>
  <c r="L86" i="13"/>
  <c r="L132" i="13" s="1"/>
  <c r="P40" i="13"/>
  <c r="Q40" i="13" s="1"/>
  <c r="D86" i="13"/>
  <c r="H85" i="13"/>
  <c r="H131" i="13" s="1"/>
  <c r="G85" i="13"/>
  <c r="G131" i="13" s="1"/>
  <c r="O86" i="13"/>
  <c r="O132" i="13" s="1"/>
  <c r="G86" i="13"/>
  <c r="G132" i="13" s="1"/>
  <c r="N86" i="13"/>
  <c r="N132" i="13" s="1"/>
  <c r="F86" i="13"/>
  <c r="F132" i="13" s="1"/>
  <c r="I86" i="13"/>
  <c r="I132" i="13" s="1"/>
  <c r="H86" i="13"/>
  <c r="H132" i="13" s="1"/>
  <c r="F38" i="12"/>
  <c r="F85" i="12"/>
  <c r="F131" i="12" s="1"/>
  <c r="O86" i="12"/>
  <c r="O132" i="12" s="1"/>
  <c r="G86" i="12"/>
  <c r="G132" i="12" s="1"/>
  <c r="M38" i="12"/>
  <c r="M85" i="12"/>
  <c r="M131" i="12" s="1"/>
  <c r="H85" i="12"/>
  <c r="H131" i="12" s="1"/>
  <c r="M86" i="12"/>
  <c r="M132" i="12" s="1"/>
  <c r="E86" i="12"/>
  <c r="E132" i="12" s="1"/>
  <c r="K85" i="12"/>
  <c r="K131" i="12" s="1"/>
  <c r="H86" i="12"/>
  <c r="H132" i="12" s="1"/>
  <c r="J38" i="12"/>
  <c r="J85" i="12"/>
  <c r="J131" i="12" s="1"/>
  <c r="E38" i="12"/>
  <c r="E85" i="12"/>
  <c r="E131" i="12" s="1"/>
  <c r="N86" i="12"/>
  <c r="N132" i="12" s="1"/>
  <c r="F86" i="12"/>
  <c r="F132" i="12" s="1"/>
  <c r="L85" i="12"/>
  <c r="L131" i="12" s="1"/>
  <c r="N38" i="12"/>
  <c r="N85" i="12"/>
  <c r="N131" i="12" s="1"/>
  <c r="K86" i="12"/>
  <c r="K132" i="12" s="1"/>
  <c r="I86" i="12"/>
  <c r="I132" i="12" s="1"/>
  <c r="L86" i="12"/>
  <c r="L132" i="12" s="1"/>
  <c r="D86" i="12"/>
  <c r="P40" i="12"/>
  <c r="Q40" i="12" s="1"/>
  <c r="I38" i="12"/>
  <c r="J86" i="12"/>
  <c r="J132" i="12" s="1"/>
  <c r="P39" i="12"/>
  <c r="Q39" i="12" s="1"/>
  <c r="D85" i="12"/>
  <c r="N86" i="11"/>
  <c r="N132" i="11" s="1"/>
  <c r="F86" i="11"/>
  <c r="F132" i="11" s="1"/>
  <c r="L85" i="11"/>
  <c r="L131" i="11" s="1"/>
  <c r="P39" i="11"/>
  <c r="Q39" i="11" s="1"/>
  <c r="K86" i="11"/>
  <c r="K132" i="11" s="1"/>
  <c r="I86" i="11"/>
  <c r="I132" i="11" s="1"/>
  <c r="I85" i="11"/>
  <c r="I131" i="11" s="1"/>
  <c r="L86" i="11"/>
  <c r="L132" i="11" s="1"/>
  <c r="P40" i="11"/>
  <c r="Q40" i="11" s="1"/>
  <c r="J86" i="11"/>
  <c r="J132" i="11" s="1"/>
  <c r="M85" i="11"/>
  <c r="M131" i="11" s="1"/>
  <c r="O86" i="11"/>
  <c r="O132" i="11" s="1"/>
  <c r="G86" i="11"/>
  <c r="G132" i="11" s="1"/>
  <c r="J85" i="11"/>
  <c r="J131" i="11" s="1"/>
  <c r="M86" i="11"/>
  <c r="M132" i="11" s="1"/>
  <c r="H86" i="11"/>
  <c r="H132" i="11" s="1"/>
  <c r="J86" i="10"/>
  <c r="J132" i="10" s="1"/>
  <c r="J85" i="10"/>
  <c r="J131" i="10" s="1"/>
  <c r="M86" i="10"/>
  <c r="M132" i="10" s="1"/>
  <c r="P39" i="10"/>
  <c r="Q39" i="10" s="1"/>
  <c r="O86" i="10"/>
  <c r="O132" i="10" s="1"/>
  <c r="G86" i="10"/>
  <c r="G132" i="10" s="1"/>
  <c r="H86" i="10"/>
  <c r="H132" i="10" s="1"/>
  <c r="N86" i="10"/>
  <c r="N132" i="10" s="1"/>
  <c r="F86" i="10"/>
  <c r="F132" i="10" s="1"/>
  <c r="I86" i="10"/>
  <c r="I132" i="10" s="1"/>
  <c r="K86" i="10"/>
  <c r="K132" i="10" s="1"/>
  <c r="L86" i="10"/>
  <c r="L132" i="10" s="1"/>
  <c r="P40" i="10"/>
  <c r="Q40" i="10" s="1"/>
  <c r="L86" i="9"/>
  <c r="L132" i="9" s="1"/>
  <c r="P40" i="9"/>
  <c r="Q40" i="9" s="1"/>
  <c r="M86" i="9"/>
  <c r="M132" i="9" s="1"/>
  <c r="E86" i="9"/>
  <c r="E132" i="9" s="1"/>
  <c r="K85" i="9"/>
  <c r="K131" i="9" s="1"/>
  <c r="J38" i="9"/>
  <c r="J85" i="9"/>
  <c r="J131" i="9" s="1"/>
  <c r="O86" i="9"/>
  <c r="O132" i="9" s="1"/>
  <c r="G86" i="9"/>
  <c r="G132" i="9" s="1"/>
  <c r="N86" i="9"/>
  <c r="N132" i="9" s="1"/>
  <c r="F86" i="9"/>
  <c r="F132" i="9" s="1"/>
  <c r="D85" i="9"/>
  <c r="P39" i="9"/>
  <c r="Q39" i="9" s="1"/>
  <c r="H86" i="9"/>
  <c r="H132" i="9" s="1"/>
  <c r="I86" i="9"/>
  <c r="I132" i="9" s="1"/>
  <c r="N38" i="9"/>
  <c r="N85" i="9"/>
  <c r="N131" i="9" s="1"/>
  <c r="F38" i="9"/>
  <c r="K86" i="9"/>
  <c r="K132" i="9" s="1"/>
  <c r="J86" i="9"/>
  <c r="J132" i="9" s="1"/>
  <c r="H85" i="9"/>
  <c r="H131" i="9" s="1"/>
  <c r="L85" i="7"/>
  <c r="L131" i="7" s="1"/>
  <c r="D85" i="7"/>
  <c r="P39" i="7"/>
  <c r="Q39" i="7" s="1"/>
  <c r="O86" i="7"/>
  <c r="O132" i="7" s="1"/>
  <c r="G86" i="7"/>
  <c r="G132" i="7" s="1"/>
  <c r="K85" i="7"/>
  <c r="K131" i="7" s="1"/>
  <c r="J86" i="7"/>
  <c r="J132" i="7" s="1"/>
  <c r="M86" i="7"/>
  <c r="M132" i="7" s="1"/>
  <c r="E86" i="7"/>
  <c r="E132" i="7" s="1"/>
  <c r="H86" i="7"/>
  <c r="H132" i="7" s="1"/>
  <c r="I85" i="7"/>
  <c r="I131" i="7" s="1"/>
  <c r="H85" i="7"/>
  <c r="H131" i="7" s="1"/>
  <c r="K86" i="7"/>
  <c r="K132" i="7" s="1"/>
  <c r="O85" i="7"/>
  <c r="O131" i="7" s="1"/>
  <c r="G85" i="7"/>
  <c r="G131" i="7" s="1"/>
  <c r="N86" i="7"/>
  <c r="N132" i="7" s="1"/>
  <c r="F86" i="7"/>
  <c r="F132" i="7" s="1"/>
  <c r="I86" i="7"/>
  <c r="I132" i="7" s="1"/>
  <c r="L86" i="7"/>
  <c r="L132" i="7" s="1"/>
  <c r="D86" i="7"/>
  <c r="P40" i="7"/>
  <c r="Q40" i="7" s="1"/>
  <c r="N86" i="5"/>
  <c r="N132" i="5" s="1"/>
  <c r="F86" i="5"/>
  <c r="F132" i="5" s="1"/>
  <c r="N85" i="5"/>
  <c r="N131" i="5" s="1"/>
  <c r="F85" i="5"/>
  <c r="F131" i="5" s="1"/>
  <c r="I86" i="5"/>
  <c r="I132" i="5" s="1"/>
  <c r="M85" i="5"/>
  <c r="M131" i="5" s="1"/>
  <c r="P39" i="5"/>
  <c r="Q39" i="5" s="1"/>
  <c r="D85" i="5"/>
  <c r="K86" i="5"/>
  <c r="K132" i="5" s="1"/>
  <c r="O85" i="5"/>
  <c r="O131" i="5" s="1"/>
  <c r="L86" i="5"/>
  <c r="L132" i="5" s="1"/>
  <c r="D86" i="5"/>
  <c r="P40" i="5"/>
  <c r="Q40" i="5" s="1"/>
  <c r="J86" i="5"/>
  <c r="J132" i="5" s="1"/>
  <c r="J85" i="5"/>
  <c r="J131" i="5" s="1"/>
  <c r="M86" i="5"/>
  <c r="M132" i="5" s="1"/>
  <c r="E86" i="5"/>
  <c r="E132" i="5" s="1"/>
  <c r="E85" i="5"/>
  <c r="E131" i="5" s="1"/>
  <c r="H85" i="5"/>
  <c r="H131" i="5" s="1"/>
  <c r="O86" i="5"/>
  <c r="O132" i="5" s="1"/>
  <c r="G86" i="5"/>
  <c r="G132" i="5" s="1"/>
  <c r="I85" i="5"/>
  <c r="I131" i="5" s="1"/>
  <c r="H86" i="5"/>
  <c r="H132" i="5" s="1"/>
  <c r="L85" i="6"/>
  <c r="L131" i="6" s="1"/>
  <c r="P39" i="6"/>
  <c r="Q39" i="6" s="1"/>
  <c r="D85" i="6"/>
  <c r="K86" i="6"/>
  <c r="K132" i="6" s="1"/>
  <c r="O85" i="6"/>
  <c r="O131" i="6" s="1"/>
  <c r="J86" i="6"/>
  <c r="J132" i="6" s="1"/>
  <c r="M86" i="6"/>
  <c r="M132" i="6" s="1"/>
  <c r="E86" i="6"/>
  <c r="E132" i="6" s="1"/>
  <c r="I85" i="6"/>
  <c r="I131" i="6" s="1"/>
  <c r="L86" i="6"/>
  <c r="L132" i="6" s="1"/>
  <c r="P40" i="6"/>
  <c r="Q40" i="6" s="1"/>
  <c r="D86" i="6"/>
  <c r="O86" i="6"/>
  <c r="O132" i="6" s="1"/>
  <c r="G86" i="6"/>
  <c r="G132" i="6" s="1"/>
  <c r="N86" i="6"/>
  <c r="N132" i="6" s="1"/>
  <c r="F86" i="6"/>
  <c r="F132" i="6" s="1"/>
  <c r="I86" i="6"/>
  <c r="I132" i="6" s="1"/>
  <c r="H86" i="6"/>
  <c r="H132" i="6" s="1"/>
  <c r="E85" i="4"/>
  <c r="E131" i="4" s="1"/>
  <c r="H85" i="4"/>
  <c r="H131" i="4" s="1"/>
  <c r="K85" i="4"/>
  <c r="K131" i="4" s="1"/>
  <c r="N85" i="4"/>
  <c r="N131" i="4" s="1"/>
  <c r="F85" i="4"/>
  <c r="F131" i="4" s="1"/>
  <c r="L85" i="4"/>
  <c r="L131" i="4" s="1"/>
  <c r="P39" i="4"/>
  <c r="Q39" i="4" s="1"/>
  <c r="D85" i="4"/>
  <c r="O85" i="4"/>
  <c r="O131" i="4" s="1"/>
  <c r="G85" i="4"/>
  <c r="G131" i="4" s="1"/>
  <c r="J85" i="4"/>
  <c r="J131" i="4" s="1"/>
  <c r="P127" i="28"/>
  <c r="Q128" i="28"/>
  <c r="J107" i="12"/>
  <c r="J107" i="17"/>
  <c r="M107" i="18"/>
  <c r="L107" i="18"/>
  <c r="E107" i="18"/>
  <c r="H107" i="18"/>
  <c r="I107" i="15"/>
  <c r="L107" i="15"/>
  <c r="I107" i="14"/>
  <c r="L107" i="14"/>
  <c r="E107" i="13"/>
  <c r="L107" i="13"/>
  <c r="M107" i="13"/>
  <c r="M107" i="11"/>
  <c r="H107" i="11"/>
  <c r="L107" i="11"/>
  <c r="M107" i="10"/>
  <c r="L107" i="10"/>
  <c r="H107" i="10"/>
  <c r="K38" i="18"/>
  <c r="O38" i="18"/>
  <c r="G38" i="18"/>
  <c r="K38" i="17"/>
  <c r="O38" i="15"/>
  <c r="K38" i="15"/>
  <c r="J38" i="11"/>
  <c r="O38" i="11"/>
  <c r="G38" i="11"/>
  <c r="F38" i="11"/>
  <c r="K38" i="11"/>
  <c r="M38" i="9"/>
  <c r="E38" i="9"/>
  <c r="I38" i="9"/>
  <c r="I107" i="7"/>
  <c r="H107" i="7"/>
  <c r="M107" i="7"/>
  <c r="E107" i="7"/>
  <c r="L107" i="7"/>
  <c r="I107" i="5"/>
  <c r="L107" i="5"/>
  <c r="H107" i="5"/>
  <c r="H107" i="6"/>
  <c r="L107" i="6"/>
  <c r="G111" i="4"/>
  <c r="J111" i="6"/>
  <c r="I111" i="4"/>
  <c r="D111" i="6"/>
  <c r="H111" i="6"/>
  <c r="J111" i="5"/>
  <c r="G111" i="7"/>
  <c r="O111" i="7"/>
  <c r="H111" i="9"/>
  <c r="I111" i="10"/>
  <c r="L111" i="11"/>
  <c r="F111" i="12"/>
  <c r="N111" i="12"/>
  <c r="G111" i="14"/>
  <c r="O111" i="14"/>
  <c r="E111" i="17"/>
  <c r="I111" i="17"/>
  <c r="F111" i="4"/>
  <c r="J111" i="4"/>
  <c r="N111" i="4"/>
  <c r="E111" i="6"/>
  <c r="I111" i="6"/>
  <c r="M111" i="6"/>
  <c r="G111" i="5"/>
  <c r="K111" i="5"/>
  <c r="O111" i="5"/>
  <c r="D111" i="7"/>
  <c r="H111" i="7"/>
  <c r="L111" i="7"/>
  <c r="E111" i="9"/>
  <c r="I111" i="9"/>
  <c r="M111" i="9"/>
  <c r="F111" i="10"/>
  <c r="J111" i="10"/>
  <c r="N111" i="10"/>
  <c r="I111" i="11"/>
  <c r="M111" i="11"/>
  <c r="G111" i="12"/>
  <c r="K111" i="12"/>
  <c r="O111" i="12"/>
  <c r="D111" i="14"/>
  <c r="H111" i="14"/>
  <c r="L111" i="14"/>
  <c r="F111" i="17"/>
  <c r="J111" i="17"/>
  <c r="N111" i="17"/>
  <c r="L17" i="4"/>
  <c r="L109" i="4"/>
  <c r="L107" i="4" s="1"/>
  <c r="L40" i="4"/>
  <c r="L63" i="4" s="1"/>
  <c r="L61" i="4" s="1"/>
  <c r="D109" i="4"/>
  <c r="D107" i="4" s="1"/>
  <c r="D40" i="4"/>
  <c r="D63" i="4" s="1"/>
  <c r="D61" i="4" s="1"/>
  <c r="K17" i="4"/>
  <c r="K109" i="4"/>
  <c r="K107" i="4" s="1"/>
  <c r="K40" i="4"/>
  <c r="K63" i="4" s="1"/>
  <c r="K61" i="4" s="1"/>
  <c r="N17" i="4"/>
  <c r="N109" i="4"/>
  <c r="N107" i="4" s="1"/>
  <c r="N40" i="4"/>
  <c r="N63" i="4" s="1"/>
  <c r="N61" i="4" s="1"/>
  <c r="F17" i="4"/>
  <c r="F109" i="4"/>
  <c r="F107" i="4" s="1"/>
  <c r="F40" i="4"/>
  <c r="F63" i="4" s="1"/>
  <c r="F61" i="4" s="1"/>
  <c r="N107" i="17"/>
  <c r="N38" i="11"/>
  <c r="J107" i="11"/>
  <c r="N107" i="18"/>
  <c r="F107" i="18"/>
  <c r="J107" i="15"/>
  <c r="J107" i="6"/>
  <c r="N107" i="5"/>
  <c r="F107" i="5"/>
  <c r="J107" i="14"/>
  <c r="N107" i="7"/>
  <c r="F107" i="7"/>
  <c r="J107" i="10"/>
  <c r="J107" i="13"/>
  <c r="P109" i="17"/>
  <c r="Q109" i="17" s="1"/>
  <c r="I38" i="17"/>
  <c r="E38" i="18"/>
  <c r="M107" i="15"/>
  <c r="I107" i="6"/>
  <c r="M107" i="5"/>
  <c r="M107" i="14"/>
  <c r="M38" i="7"/>
  <c r="E38" i="7"/>
  <c r="M38" i="13"/>
  <c r="I107" i="13"/>
  <c r="P109" i="18"/>
  <c r="Q109" i="18" s="1"/>
  <c r="P109" i="5"/>
  <c r="Q109" i="5" s="1"/>
  <c r="P109" i="7"/>
  <c r="Q109" i="7" s="1"/>
  <c r="H107" i="9"/>
  <c r="L107" i="12"/>
  <c r="L107" i="17"/>
  <c r="L38" i="11"/>
  <c r="H38" i="18"/>
  <c r="L38" i="15"/>
  <c r="H107" i="15"/>
  <c r="L38" i="6"/>
  <c r="D38" i="6"/>
  <c r="H38" i="5"/>
  <c r="L38" i="14"/>
  <c r="H107" i="14"/>
  <c r="L38" i="7"/>
  <c r="D38" i="7"/>
  <c r="H38" i="10"/>
  <c r="D38" i="13"/>
  <c r="K38" i="9"/>
  <c r="O38" i="12"/>
  <c r="G38" i="12"/>
  <c r="G38" i="17"/>
  <c r="O107" i="11"/>
  <c r="G107" i="11"/>
  <c r="K107" i="18"/>
  <c r="O107" i="15"/>
  <c r="G38" i="15"/>
  <c r="O38" i="6"/>
  <c r="G38" i="6"/>
  <c r="K38" i="5"/>
  <c r="O38" i="14"/>
  <c r="G38" i="14"/>
  <c r="K38" i="7"/>
  <c r="O38" i="10"/>
  <c r="G38" i="10"/>
  <c r="O38" i="13"/>
  <c r="G38" i="13"/>
  <c r="O111" i="4"/>
  <c r="N111" i="6"/>
  <c r="H111" i="5"/>
  <c r="I111" i="7"/>
  <c r="F111" i="9"/>
  <c r="K111" i="10"/>
  <c r="F111" i="11"/>
  <c r="N111" i="11"/>
  <c r="H111" i="12"/>
  <c r="E111" i="14"/>
  <c r="M111" i="14"/>
  <c r="G111" i="17"/>
  <c r="O111" i="17"/>
  <c r="P109" i="12"/>
  <c r="Q109" i="12" s="1"/>
  <c r="F38" i="17"/>
  <c r="N107" i="11"/>
  <c r="J38" i="18"/>
  <c r="N38" i="15"/>
  <c r="F38" i="15"/>
  <c r="N38" i="6"/>
  <c r="F38" i="6"/>
  <c r="J38" i="5"/>
  <c r="N38" i="14"/>
  <c r="F38" i="14"/>
  <c r="J38" i="7"/>
  <c r="N38" i="10"/>
  <c r="F38" i="10"/>
  <c r="N38" i="13"/>
  <c r="F38" i="13"/>
  <c r="I107" i="17"/>
  <c r="I38" i="11"/>
  <c r="I38" i="18"/>
  <c r="E38" i="15"/>
  <c r="M38" i="6"/>
  <c r="E38" i="6"/>
  <c r="E38" i="5"/>
  <c r="E38" i="14"/>
  <c r="I38" i="10"/>
  <c r="L38" i="9"/>
  <c r="D38" i="9"/>
  <c r="D38" i="12"/>
  <c r="D38" i="17"/>
  <c r="P108" i="11"/>
  <c r="Q108" i="11" s="1"/>
  <c r="D107" i="6"/>
  <c r="P108" i="6"/>
  <c r="Q108" i="6" s="1"/>
  <c r="D107" i="7"/>
  <c r="P108" i="7"/>
  <c r="Q108" i="7" s="1"/>
  <c r="H38" i="13"/>
  <c r="D107" i="13"/>
  <c r="P108" i="13"/>
  <c r="Q108" i="13" s="1"/>
  <c r="K107" i="9"/>
  <c r="O107" i="12"/>
  <c r="G107" i="12"/>
  <c r="G107" i="17"/>
  <c r="G107" i="15"/>
  <c r="O107" i="6"/>
  <c r="G107" i="6"/>
  <c r="K107" i="5"/>
  <c r="O107" i="14"/>
  <c r="G107" i="14"/>
  <c r="K107" i="7"/>
  <c r="O107" i="10"/>
  <c r="G107" i="10"/>
  <c r="O107" i="13"/>
  <c r="G107" i="13"/>
  <c r="F111" i="6"/>
  <c r="D111" i="5"/>
  <c r="L111" i="5"/>
  <c r="E111" i="7"/>
  <c r="M111" i="7"/>
  <c r="J111" i="9"/>
  <c r="N111" i="9"/>
  <c r="G111" i="10"/>
  <c r="O111" i="10"/>
  <c r="J111" i="11"/>
  <c r="D111" i="12"/>
  <c r="L111" i="12"/>
  <c r="I111" i="14"/>
  <c r="K111" i="17"/>
  <c r="I17" i="4"/>
  <c r="I109" i="4"/>
  <c r="I109" i="20" s="1"/>
  <c r="I40" i="4"/>
  <c r="I63" i="4" s="1"/>
  <c r="I61" i="4" s="1"/>
  <c r="D111" i="4"/>
  <c r="H111" i="4"/>
  <c r="L111" i="4"/>
  <c r="G111" i="6"/>
  <c r="K111" i="6"/>
  <c r="O111" i="6"/>
  <c r="E111" i="5"/>
  <c r="I111" i="5"/>
  <c r="M111" i="5"/>
  <c r="F111" i="7"/>
  <c r="J111" i="7"/>
  <c r="N111" i="7"/>
  <c r="G111" i="9"/>
  <c r="K111" i="9"/>
  <c r="O111" i="9"/>
  <c r="H111" i="10"/>
  <c r="L111" i="10"/>
  <c r="G111" i="11"/>
  <c r="K111" i="11"/>
  <c r="O111" i="11"/>
  <c r="E111" i="12"/>
  <c r="I111" i="12"/>
  <c r="M111" i="12"/>
  <c r="F111" i="14"/>
  <c r="J111" i="14"/>
  <c r="N111" i="14"/>
  <c r="D111" i="17"/>
  <c r="H111" i="17"/>
  <c r="L111" i="17"/>
  <c r="H17" i="4"/>
  <c r="H109" i="4"/>
  <c r="H107" i="4" s="1"/>
  <c r="H40" i="4"/>
  <c r="H63" i="4" s="1"/>
  <c r="H61" i="4" s="1"/>
  <c r="O17" i="4"/>
  <c r="O109" i="4"/>
  <c r="O107" i="4" s="1"/>
  <c r="O40" i="4"/>
  <c r="O63" i="4" s="1"/>
  <c r="O61" i="4" s="1"/>
  <c r="G17" i="4"/>
  <c r="G109" i="4"/>
  <c r="G109" i="20" s="1"/>
  <c r="G40" i="4"/>
  <c r="G63" i="4" s="1"/>
  <c r="G61" i="4" s="1"/>
  <c r="J17" i="4"/>
  <c r="J109" i="4"/>
  <c r="J107" i="4" s="1"/>
  <c r="J40" i="4"/>
  <c r="J63" i="4" s="1"/>
  <c r="J61" i="4" s="1"/>
  <c r="F107" i="17"/>
  <c r="F107" i="11"/>
  <c r="J107" i="18"/>
  <c r="N107" i="15"/>
  <c r="F107" i="15"/>
  <c r="N107" i="6"/>
  <c r="F107" i="6"/>
  <c r="J107" i="5"/>
  <c r="N107" i="14"/>
  <c r="F107" i="14"/>
  <c r="J107" i="7"/>
  <c r="N107" i="10"/>
  <c r="F107" i="10"/>
  <c r="N107" i="13"/>
  <c r="F107" i="13"/>
  <c r="P108" i="4"/>
  <c r="Q108" i="4" s="1"/>
  <c r="M38" i="11"/>
  <c r="I107" i="11"/>
  <c r="M38" i="18"/>
  <c r="I107" i="18"/>
  <c r="I38" i="15"/>
  <c r="E107" i="15"/>
  <c r="M107" i="6"/>
  <c r="E107" i="6"/>
  <c r="I38" i="5"/>
  <c r="E107" i="5"/>
  <c r="I38" i="14"/>
  <c r="E107" i="14"/>
  <c r="I38" i="7"/>
  <c r="M38" i="10"/>
  <c r="I107" i="10"/>
  <c r="E38" i="13"/>
  <c r="P109" i="11"/>
  <c r="Q109" i="11" s="1"/>
  <c r="P109" i="15"/>
  <c r="Q109" i="15" s="1"/>
  <c r="P109" i="6"/>
  <c r="Q109" i="6" s="1"/>
  <c r="P109" i="14"/>
  <c r="Q109" i="14" s="1"/>
  <c r="P109" i="10"/>
  <c r="Q109" i="10" s="1"/>
  <c r="P109" i="13"/>
  <c r="Q109" i="13" s="1"/>
  <c r="L107" i="9"/>
  <c r="D107" i="9"/>
  <c r="P108" i="9"/>
  <c r="Q108" i="9" s="1"/>
  <c r="H38" i="12"/>
  <c r="D107" i="12"/>
  <c r="P108" i="12"/>
  <c r="Q108" i="12" s="1"/>
  <c r="P108" i="17"/>
  <c r="Q108" i="17" s="1"/>
  <c r="D107" i="17"/>
  <c r="H38" i="11"/>
  <c r="L38" i="18"/>
  <c r="D38" i="18"/>
  <c r="D38" i="15"/>
  <c r="H38" i="6"/>
  <c r="L38" i="5"/>
  <c r="D38" i="5"/>
  <c r="D38" i="14"/>
  <c r="H38" i="7"/>
  <c r="L38" i="10"/>
  <c r="L38" i="13"/>
  <c r="H107" i="13"/>
  <c r="O38" i="9"/>
  <c r="G38" i="9"/>
  <c r="K38" i="12"/>
  <c r="O38" i="17"/>
  <c r="K107" i="17"/>
  <c r="K107" i="11"/>
  <c r="O107" i="18"/>
  <c r="G107" i="18"/>
  <c r="K107" i="15"/>
  <c r="K38" i="6"/>
  <c r="O38" i="5"/>
  <c r="G38" i="5"/>
  <c r="K38" i="14"/>
  <c r="O38" i="7"/>
  <c r="G38" i="7"/>
  <c r="K38" i="10"/>
  <c r="K38" i="13"/>
  <c r="K111" i="4"/>
  <c r="E111" i="4"/>
  <c r="M111" i="4"/>
  <c r="L111" i="6"/>
  <c r="F111" i="5"/>
  <c r="N111" i="5"/>
  <c r="K111" i="7"/>
  <c r="D111" i="9"/>
  <c r="L111" i="9"/>
  <c r="M111" i="10"/>
  <c r="H111" i="11"/>
  <c r="J111" i="12"/>
  <c r="K111" i="14"/>
  <c r="M111" i="17"/>
  <c r="M17" i="4"/>
  <c r="M109" i="4"/>
  <c r="M107" i="4" s="1"/>
  <c r="M40" i="4"/>
  <c r="M63" i="4" s="1"/>
  <c r="M61" i="4" s="1"/>
  <c r="E17" i="4"/>
  <c r="E109" i="4"/>
  <c r="E107" i="4" s="1"/>
  <c r="E40" i="4"/>
  <c r="E63" i="4" s="1"/>
  <c r="E61" i="4" s="1"/>
  <c r="P109" i="9"/>
  <c r="Q109" i="9" s="1"/>
  <c r="N38" i="17"/>
  <c r="N38" i="18"/>
  <c r="F38" i="18"/>
  <c r="J38" i="15"/>
  <c r="J38" i="6"/>
  <c r="N38" i="5"/>
  <c r="F38" i="5"/>
  <c r="J38" i="14"/>
  <c r="N38" i="7"/>
  <c r="F38" i="7"/>
  <c r="J38" i="10"/>
  <c r="J38" i="13"/>
  <c r="M38" i="15"/>
  <c r="I38" i="6"/>
  <c r="M38" i="5"/>
  <c r="M38" i="14"/>
  <c r="I38" i="13"/>
  <c r="H38" i="9"/>
  <c r="L38" i="12"/>
  <c r="H107" i="12"/>
  <c r="L38" i="17"/>
  <c r="D107" i="18"/>
  <c r="P108" i="18"/>
  <c r="Q108" i="18" s="1"/>
  <c r="H38" i="15"/>
  <c r="P108" i="15"/>
  <c r="Q108" i="15" s="1"/>
  <c r="D107" i="15"/>
  <c r="D107" i="5"/>
  <c r="P108" i="5"/>
  <c r="Q108" i="5" s="1"/>
  <c r="H38" i="14"/>
  <c r="D107" i="14"/>
  <c r="P108" i="14"/>
  <c r="Q108" i="14" s="1"/>
  <c r="P108" i="10"/>
  <c r="Q108" i="10" s="1"/>
  <c r="O107" i="9"/>
  <c r="G107" i="9"/>
  <c r="K107" i="12"/>
  <c r="O107" i="17"/>
  <c r="K107" i="6"/>
  <c r="O107" i="5"/>
  <c r="G107" i="5"/>
  <c r="K107" i="14"/>
  <c r="O107" i="7"/>
  <c r="G107" i="7"/>
  <c r="K107" i="10"/>
  <c r="K107" i="13"/>
  <c r="G17" i="20"/>
  <c r="O12" i="28"/>
  <c r="O12" i="46" s="1"/>
  <c r="N12" i="28"/>
  <c r="N12" i="46" s="1"/>
  <c r="M12" i="28"/>
  <c r="M12" i="46" s="1"/>
  <c r="L12" i="28"/>
  <c r="L12" i="46" s="1"/>
  <c r="K12" i="28"/>
  <c r="K12" i="46" s="1"/>
  <c r="J12" i="28"/>
  <c r="J12" i="46" s="1"/>
  <c r="I12" i="28"/>
  <c r="I12" i="46" s="1"/>
  <c r="H12" i="28"/>
  <c r="H12" i="46" s="1"/>
  <c r="G12" i="28"/>
  <c r="G12" i="46" s="1"/>
  <c r="F12" i="28"/>
  <c r="F12" i="46" s="1"/>
  <c r="E12" i="28"/>
  <c r="E12" i="46" s="1"/>
  <c r="C12" i="28"/>
  <c r="C12" i="46" s="1"/>
  <c r="O11" i="28"/>
  <c r="O11" i="46" s="1"/>
  <c r="N11" i="28"/>
  <c r="N11" i="46" s="1"/>
  <c r="M11" i="28"/>
  <c r="M11" i="46" s="1"/>
  <c r="L11" i="28"/>
  <c r="L11" i="46" s="1"/>
  <c r="K11" i="28"/>
  <c r="K11" i="46" s="1"/>
  <c r="J11" i="28"/>
  <c r="J11" i="46" s="1"/>
  <c r="I11" i="28"/>
  <c r="I11" i="46" s="1"/>
  <c r="H11" i="28"/>
  <c r="H11" i="46" s="1"/>
  <c r="G11" i="28"/>
  <c r="G11" i="46" s="1"/>
  <c r="F11" i="28"/>
  <c r="F11" i="46" s="1"/>
  <c r="E11" i="28"/>
  <c r="E11" i="46" s="1"/>
  <c r="C11" i="28"/>
  <c r="C11" i="46" s="1"/>
  <c r="O10" i="28"/>
  <c r="O10" i="46" s="1"/>
  <c r="N10" i="28"/>
  <c r="N10" i="46" s="1"/>
  <c r="M10" i="28"/>
  <c r="M10" i="46" s="1"/>
  <c r="L10" i="28"/>
  <c r="L10" i="46" s="1"/>
  <c r="K10" i="28"/>
  <c r="K10" i="46" s="1"/>
  <c r="J10" i="28"/>
  <c r="J10" i="46" s="1"/>
  <c r="I10" i="28"/>
  <c r="I10" i="46" s="1"/>
  <c r="H10" i="28"/>
  <c r="H10" i="46" s="1"/>
  <c r="G10" i="28"/>
  <c r="G10" i="46" s="1"/>
  <c r="F10" i="28"/>
  <c r="F10" i="46" s="1"/>
  <c r="E10" i="28"/>
  <c r="E10" i="46" s="1"/>
  <c r="C10" i="28"/>
  <c r="C10" i="46" s="1"/>
  <c r="C9" i="28"/>
  <c r="C9" i="46" s="1"/>
  <c r="O8" i="28"/>
  <c r="O8" i="46" s="1"/>
  <c r="N8" i="28"/>
  <c r="N8" i="46" s="1"/>
  <c r="M8" i="28"/>
  <c r="M8" i="46" s="1"/>
  <c r="L8" i="28"/>
  <c r="L8" i="46" s="1"/>
  <c r="K8" i="28"/>
  <c r="K8" i="46" s="1"/>
  <c r="J8" i="28"/>
  <c r="J8" i="46" s="1"/>
  <c r="I8" i="28"/>
  <c r="I8" i="46" s="1"/>
  <c r="H8" i="28"/>
  <c r="H8" i="46" s="1"/>
  <c r="G8" i="28"/>
  <c r="G8" i="46" s="1"/>
  <c r="F8" i="28"/>
  <c r="F8" i="46" s="1"/>
  <c r="E8" i="28"/>
  <c r="E8" i="46" s="1"/>
  <c r="C8" i="28"/>
  <c r="C8" i="46" s="1"/>
  <c r="O6" i="28"/>
  <c r="O6" i="46" s="1"/>
  <c r="N6" i="28"/>
  <c r="N6" i="46" s="1"/>
  <c r="M6" i="28"/>
  <c r="M6" i="46" s="1"/>
  <c r="L6" i="28"/>
  <c r="L6" i="46" s="1"/>
  <c r="K6" i="28"/>
  <c r="K6" i="46" s="1"/>
  <c r="J6" i="28"/>
  <c r="J6" i="46" s="1"/>
  <c r="I6" i="28"/>
  <c r="I6" i="46" s="1"/>
  <c r="H6" i="28"/>
  <c r="H6" i="46" s="1"/>
  <c r="G6" i="28"/>
  <c r="G6" i="46" s="1"/>
  <c r="F6" i="28"/>
  <c r="F6" i="46" s="1"/>
  <c r="D6" i="28"/>
  <c r="C6" i="28"/>
  <c r="C6" i="46" s="1"/>
  <c r="P184" i="20"/>
  <c r="O184" i="20"/>
  <c r="N140" i="20"/>
  <c r="N184" i="20" s="1"/>
  <c r="M140" i="20"/>
  <c r="M184" i="20" s="1"/>
  <c r="L140" i="20"/>
  <c r="L184" i="20" s="1"/>
  <c r="K140" i="20"/>
  <c r="K184" i="20" s="1"/>
  <c r="J140" i="20"/>
  <c r="J184" i="20" s="1"/>
  <c r="I140" i="20"/>
  <c r="I184" i="20" s="1"/>
  <c r="H140" i="20"/>
  <c r="H184" i="20" s="1"/>
  <c r="G140" i="20"/>
  <c r="G184" i="20" s="1"/>
  <c r="F140" i="20"/>
  <c r="F184" i="20" s="1"/>
  <c r="E140" i="20"/>
  <c r="E184" i="20" s="1"/>
  <c r="P106" i="20"/>
  <c r="P105" i="20"/>
  <c r="O104" i="20"/>
  <c r="O104" i="28" s="1"/>
  <c r="N104" i="20"/>
  <c r="N104" i="28" s="1"/>
  <c r="M104" i="20"/>
  <c r="M104" i="28" s="1"/>
  <c r="L104" i="20"/>
  <c r="L104" i="28" s="1"/>
  <c r="K104" i="20"/>
  <c r="K104" i="28" s="1"/>
  <c r="J104" i="20"/>
  <c r="J104" i="28" s="1"/>
  <c r="I104" i="20"/>
  <c r="I104" i="28" s="1"/>
  <c r="H104" i="20"/>
  <c r="H104" i="28" s="1"/>
  <c r="G104" i="20"/>
  <c r="G104" i="28" s="1"/>
  <c r="F104" i="20"/>
  <c r="F104" i="28" s="1"/>
  <c r="E104" i="20"/>
  <c r="E104" i="28" s="1"/>
  <c r="O83" i="20"/>
  <c r="O129" i="20" s="1"/>
  <c r="N83" i="20"/>
  <c r="N129" i="20" s="1"/>
  <c r="M83" i="20"/>
  <c r="M129" i="20" s="1"/>
  <c r="L83" i="20"/>
  <c r="L129" i="20" s="1"/>
  <c r="K83" i="20"/>
  <c r="K129" i="20" s="1"/>
  <c r="J83" i="20"/>
  <c r="J129" i="20" s="1"/>
  <c r="I83" i="20"/>
  <c r="I129" i="20" s="1"/>
  <c r="H83" i="20"/>
  <c r="H129" i="20" s="1"/>
  <c r="G83" i="20"/>
  <c r="G129" i="20" s="1"/>
  <c r="F83" i="20"/>
  <c r="F129" i="20" s="1"/>
  <c r="E83" i="20"/>
  <c r="E129" i="20" s="1"/>
  <c r="O82" i="20"/>
  <c r="O128" i="20" s="1"/>
  <c r="N82" i="20"/>
  <c r="N128" i="20" s="1"/>
  <c r="M82" i="20"/>
  <c r="M128" i="20" s="1"/>
  <c r="L82" i="20"/>
  <c r="L128" i="20" s="1"/>
  <c r="K82" i="20"/>
  <c r="K128" i="20" s="1"/>
  <c r="J82" i="20"/>
  <c r="J128" i="20" s="1"/>
  <c r="I82" i="20"/>
  <c r="I128" i="20" s="1"/>
  <c r="H82" i="20"/>
  <c r="H128" i="20" s="1"/>
  <c r="G81" i="20"/>
  <c r="F82" i="20"/>
  <c r="F128" i="20" s="1"/>
  <c r="E82" i="20"/>
  <c r="E128" i="20" s="1"/>
  <c r="O81" i="20"/>
  <c r="M81" i="20"/>
  <c r="K81" i="20"/>
  <c r="I81" i="20"/>
  <c r="O79" i="20"/>
  <c r="O125" i="20" s="1"/>
  <c r="N79" i="20"/>
  <c r="N125" i="20" s="1"/>
  <c r="M79" i="20"/>
  <c r="M125" i="20" s="1"/>
  <c r="L79" i="20"/>
  <c r="L125" i="20" s="1"/>
  <c r="K79" i="20"/>
  <c r="K125" i="20" s="1"/>
  <c r="J79" i="20"/>
  <c r="J125" i="20" s="1"/>
  <c r="I79" i="20"/>
  <c r="I125" i="20" s="1"/>
  <c r="H79" i="20"/>
  <c r="H125" i="20" s="1"/>
  <c r="G79" i="20"/>
  <c r="G125" i="20" s="1"/>
  <c r="F79" i="20"/>
  <c r="F125" i="20" s="1"/>
  <c r="E79" i="20"/>
  <c r="E125" i="20" s="1"/>
  <c r="O78" i="20"/>
  <c r="O124" i="20" s="1"/>
  <c r="N78" i="20"/>
  <c r="N124" i="20" s="1"/>
  <c r="M78" i="20"/>
  <c r="M124" i="20" s="1"/>
  <c r="L78" i="20"/>
  <c r="L124" i="20" s="1"/>
  <c r="K78" i="20"/>
  <c r="K124" i="20" s="1"/>
  <c r="J78" i="20"/>
  <c r="J124" i="20" s="1"/>
  <c r="I78" i="20"/>
  <c r="I124" i="20" s="1"/>
  <c r="H78" i="20"/>
  <c r="H124" i="20" s="1"/>
  <c r="G78" i="20"/>
  <c r="G124" i="20" s="1"/>
  <c r="F78" i="20"/>
  <c r="F124" i="20" s="1"/>
  <c r="E78" i="20"/>
  <c r="E124" i="20" s="1"/>
  <c r="O77" i="20"/>
  <c r="O123" i="20" s="1"/>
  <c r="N77" i="20"/>
  <c r="N123" i="20" s="1"/>
  <c r="M77" i="20"/>
  <c r="M123" i="20" s="1"/>
  <c r="L77" i="20"/>
  <c r="L123" i="20" s="1"/>
  <c r="K77" i="20"/>
  <c r="K123" i="20" s="1"/>
  <c r="J77" i="20"/>
  <c r="J123" i="20" s="1"/>
  <c r="I77" i="20"/>
  <c r="I123" i="20" s="1"/>
  <c r="H77" i="20"/>
  <c r="H123" i="20" s="1"/>
  <c r="G77" i="20"/>
  <c r="G123" i="20" s="1"/>
  <c r="F77" i="20"/>
  <c r="F123" i="20" s="1"/>
  <c r="E77" i="20"/>
  <c r="E123" i="20" s="1"/>
  <c r="O75" i="20"/>
  <c r="O121" i="20" s="1"/>
  <c r="N75" i="20"/>
  <c r="N121" i="20" s="1"/>
  <c r="M75" i="20"/>
  <c r="M121" i="20" s="1"/>
  <c r="L75" i="20"/>
  <c r="L121" i="20" s="1"/>
  <c r="K75" i="20"/>
  <c r="K121" i="20" s="1"/>
  <c r="J75" i="20"/>
  <c r="J121" i="20" s="1"/>
  <c r="I75" i="20"/>
  <c r="I121" i="20" s="1"/>
  <c r="H75" i="20"/>
  <c r="H121" i="20" s="1"/>
  <c r="G75" i="20"/>
  <c r="G121" i="20" s="1"/>
  <c r="F75" i="20"/>
  <c r="F121" i="20" s="1"/>
  <c r="E75" i="20"/>
  <c r="E121" i="20" s="1"/>
  <c r="O73" i="20"/>
  <c r="O119" i="20" s="1"/>
  <c r="N73" i="20"/>
  <c r="N119" i="20" s="1"/>
  <c r="M73" i="20"/>
  <c r="M119" i="20" s="1"/>
  <c r="L73" i="20"/>
  <c r="L119" i="20" s="1"/>
  <c r="K73" i="20"/>
  <c r="K119" i="20" s="1"/>
  <c r="J73" i="20"/>
  <c r="J119" i="20" s="1"/>
  <c r="I73" i="20"/>
  <c r="I119" i="20" s="1"/>
  <c r="H73" i="20"/>
  <c r="H119" i="20" s="1"/>
  <c r="G73" i="20"/>
  <c r="G119" i="20" s="1"/>
  <c r="F73" i="20"/>
  <c r="F119" i="20" s="1"/>
  <c r="O14" i="20"/>
  <c r="N14" i="20"/>
  <c r="M14" i="20"/>
  <c r="L14" i="20"/>
  <c r="K14" i="20"/>
  <c r="J14" i="20"/>
  <c r="I14" i="20"/>
  <c r="H14" i="20"/>
  <c r="G14" i="20"/>
  <c r="F14" i="20"/>
  <c r="E14" i="20"/>
  <c r="D14" i="20"/>
  <c r="I61" i="18" l="1"/>
  <c r="Q184" i="20"/>
  <c r="Q18" i="20"/>
  <c r="R18" i="20"/>
  <c r="N183" i="19"/>
  <c r="Q85" i="46"/>
  <c r="C58" i="81"/>
  <c r="D26" i="81" s="1"/>
  <c r="C14" i="81"/>
  <c r="C13" i="81" s="1"/>
  <c r="S37" i="20"/>
  <c r="Q105" i="20"/>
  <c r="F187" i="19"/>
  <c r="N187" i="19"/>
  <c r="F183" i="19"/>
  <c r="M180" i="19"/>
  <c r="M185" i="19" s="1"/>
  <c r="G180" i="19"/>
  <c r="G185" i="19" s="1"/>
  <c r="K180" i="19"/>
  <c r="K185" i="19" s="1"/>
  <c r="H180" i="19"/>
  <c r="H185" i="19" s="1"/>
  <c r="I180" i="19"/>
  <c r="I185" i="19" s="1"/>
  <c r="O180" i="19"/>
  <c r="O185" i="19" s="1"/>
  <c r="L180" i="19"/>
  <c r="L183" i="19" s="1"/>
  <c r="J180" i="19"/>
  <c r="J185" i="19" s="1"/>
  <c r="R131" i="46"/>
  <c r="O85" i="18"/>
  <c r="O131" i="18" s="1"/>
  <c r="O130" i="18" s="1"/>
  <c r="L61" i="18"/>
  <c r="L84" i="18" s="1"/>
  <c r="I85" i="18"/>
  <c r="I131" i="18" s="1"/>
  <c r="I130" i="18" s="1"/>
  <c r="E61" i="18"/>
  <c r="E84" i="18" s="1"/>
  <c r="H61" i="18"/>
  <c r="H84" i="18" s="1"/>
  <c r="K61" i="18"/>
  <c r="K84" i="18" s="1"/>
  <c r="D61" i="18"/>
  <c r="D84" i="18" s="1"/>
  <c r="H85" i="18"/>
  <c r="H131" i="18" s="1"/>
  <c r="H130" i="18" s="1"/>
  <c r="F85" i="18"/>
  <c r="F131" i="18" s="1"/>
  <c r="F130" i="18" s="1"/>
  <c r="E109" i="20"/>
  <c r="E109" i="28" s="1"/>
  <c r="E119" i="46" s="1"/>
  <c r="O40" i="20"/>
  <c r="O63" i="20" s="1"/>
  <c r="J61" i="18"/>
  <c r="J84" i="18" s="1"/>
  <c r="F109" i="20"/>
  <c r="F109" i="28" s="1"/>
  <c r="F119" i="46" s="1"/>
  <c r="D40" i="20"/>
  <c r="D63" i="20" s="1"/>
  <c r="I40" i="20"/>
  <c r="I63" i="20" s="1"/>
  <c r="I63" i="28" s="1"/>
  <c r="H109" i="20"/>
  <c r="H109" i="28" s="1"/>
  <c r="H119" i="46" s="1"/>
  <c r="M109" i="20"/>
  <c r="M109" i="28" s="1"/>
  <c r="M119" i="46" s="1"/>
  <c r="M61" i="18"/>
  <c r="M84" i="18" s="1"/>
  <c r="G61" i="18"/>
  <c r="G84" i="18" s="1"/>
  <c r="N109" i="20"/>
  <c r="N109" i="28" s="1"/>
  <c r="N119" i="46" s="1"/>
  <c r="N40" i="20"/>
  <c r="F40" i="20"/>
  <c r="F63" i="20" s="1"/>
  <c r="F63" i="28" s="1"/>
  <c r="I109" i="28"/>
  <c r="I119" i="46" s="1"/>
  <c r="M40" i="20"/>
  <c r="M63" i="20" s="1"/>
  <c r="M63" i="28" s="1"/>
  <c r="G40" i="20"/>
  <c r="G63" i="20" s="1"/>
  <c r="G63" i="28" s="1"/>
  <c r="H40" i="20"/>
  <c r="D109" i="20"/>
  <c r="D109" i="28" s="1"/>
  <c r="D119" i="46" s="1"/>
  <c r="L40" i="20"/>
  <c r="G109" i="28"/>
  <c r="G119" i="46" s="1"/>
  <c r="O109" i="20"/>
  <c r="O109" i="28" s="1"/>
  <c r="O119" i="46" s="1"/>
  <c r="J109" i="20"/>
  <c r="J109" i="28" s="1"/>
  <c r="J119" i="46" s="1"/>
  <c r="J40" i="20"/>
  <c r="J63" i="20" s="1"/>
  <c r="J63" i="28" s="1"/>
  <c r="E40" i="20"/>
  <c r="E63" i="20" s="1"/>
  <c r="E63" i="28" s="1"/>
  <c r="K109" i="20"/>
  <c r="K109" i="28" s="1"/>
  <c r="K119" i="46" s="1"/>
  <c r="L109" i="20"/>
  <c r="L109" i="28" s="1"/>
  <c r="L119" i="46" s="1"/>
  <c r="K40" i="20"/>
  <c r="N61" i="18"/>
  <c r="N84" i="18" s="1"/>
  <c r="D104" i="28"/>
  <c r="D114" i="46" s="1"/>
  <c r="D137" i="46" s="1"/>
  <c r="L39" i="28"/>
  <c r="L62" i="20"/>
  <c r="L62" i="28" s="1"/>
  <c r="N39" i="28"/>
  <c r="N62" i="20"/>
  <c r="N62" i="28" s="1"/>
  <c r="M39" i="28"/>
  <c r="M62" i="20"/>
  <c r="Q133" i="46"/>
  <c r="R133" i="46"/>
  <c r="Q135" i="46"/>
  <c r="R135" i="46"/>
  <c r="I39" i="28"/>
  <c r="I62" i="20"/>
  <c r="I62" i="28" s="1"/>
  <c r="H39" i="28"/>
  <c r="H62" i="20"/>
  <c r="H62" i="28" s="1"/>
  <c r="G39" i="28"/>
  <c r="G62" i="20"/>
  <c r="G62" i="28" s="1"/>
  <c r="F39" i="28"/>
  <c r="F49" i="46" s="1"/>
  <c r="F62" i="20"/>
  <c r="F62" i="28" s="1"/>
  <c r="J39" i="28"/>
  <c r="J62" i="20"/>
  <c r="J62" i="28" s="1"/>
  <c r="K39" i="28"/>
  <c r="K62" i="20"/>
  <c r="E39" i="28"/>
  <c r="E49" i="46" s="1"/>
  <c r="E62" i="20"/>
  <c r="E62" i="28" s="1"/>
  <c r="Q83" i="46"/>
  <c r="R83" i="46"/>
  <c r="Q89" i="46"/>
  <c r="R89" i="46"/>
  <c r="F58" i="81"/>
  <c r="G26" i="81" s="1"/>
  <c r="F14" i="81"/>
  <c r="F61" i="81"/>
  <c r="F24" i="81" s="1"/>
  <c r="J58" i="81"/>
  <c r="K26" i="81" s="1"/>
  <c r="J14" i="81"/>
  <c r="J61" i="81"/>
  <c r="J24" i="81" s="1"/>
  <c r="C61" i="81"/>
  <c r="C24" i="81" s="1"/>
  <c r="G58" i="81"/>
  <c r="H26" i="81" s="1"/>
  <c r="G14" i="81"/>
  <c r="G61" i="81"/>
  <c r="G24" i="81" s="1"/>
  <c r="K58" i="81"/>
  <c r="L26" i="81" s="1"/>
  <c r="K14" i="81"/>
  <c r="K61" i="81"/>
  <c r="K24" i="81" s="1"/>
  <c r="D14" i="81"/>
  <c r="D58" i="81"/>
  <c r="E26" i="81" s="1"/>
  <c r="D61" i="81"/>
  <c r="D24" i="81" s="1"/>
  <c r="H58" i="81"/>
  <c r="I26" i="81" s="1"/>
  <c r="H14" i="81"/>
  <c r="H61" i="81"/>
  <c r="H24" i="81" s="1"/>
  <c r="L14" i="81"/>
  <c r="L58" i="81"/>
  <c r="M26" i="81" s="1"/>
  <c r="L61" i="81"/>
  <c r="L24" i="81" s="1"/>
  <c r="E14" i="81"/>
  <c r="E58" i="81"/>
  <c r="F26" i="81" s="1"/>
  <c r="E61" i="81"/>
  <c r="E24" i="81" s="1"/>
  <c r="I14" i="81"/>
  <c r="I58" i="81"/>
  <c r="J26" i="81" s="1"/>
  <c r="I61" i="81"/>
  <c r="I24" i="81" s="1"/>
  <c r="M14" i="81"/>
  <c r="M58" i="81"/>
  <c r="M61" i="81"/>
  <c r="M24" i="81" s="1"/>
  <c r="R91" i="46"/>
  <c r="P62" i="4"/>
  <c r="Q62" i="4" s="1"/>
  <c r="D38" i="4"/>
  <c r="O39" i="28"/>
  <c r="O85" i="20"/>
  <c r="O131" i="20" s="1"/>
  <c r="Q68" i="46"/>
  <c r="M84" i="10"/>
  <c r="M127" i="20"/>
  <c r="I127" i="20"/>
  <c r="K127" i="20"/>
  <c r="G127" i="20"/>
  <c r="O127" i="20"/>
  <c r="I107" i="4"/>
  <c r="P137" i="46"/>
  <c r="R137" i="46" s="1"/>
  <c r="Q138" i="46"/>
  <c r="D6" i="46"/>
  <c r="P129" i="46"/>
  <c r="D39" i="28"/>
  <c r="C39" i="28"/>
  <c r="C49" i="46" s="1"/>
  <c r="P131" i="19"/>
  <c r="Q131" i="19" s="1"/>
  <c r="P84" i="19"/>
  <c r="Q84" i="19" s="1"/>
  <c r="P17" i="4"/>
  <c r="Q17" i="4" s="1"/>
  <c r="O84" i="14"/>
  <c r="E84" i="14"/>
  <c r="G107" i="4"/>
  <c r="I84" i="15"/>
  <c r="J84" i="17"/>
  <c r="K84" i="15"/>
  <c r="F84" i="14"/>
  <c r="N84" i="11"/>
  <c r="G84" i="10"/>
  <c r="C17" i="28"/>
  <c r="C142" i="46"/>
  <c r="C117" i="46"/>
  <c r="I107" i="20"/>
  <c r="I107" i="28" s="1"/>
  <c r="I117" i="46" s="1"/>
  <c r="G22" i="81" s="1"/>
  <c r="G107" i="20"/>
  <c r="G107" i="28" s="1"/>
  <c r="G117" i="46" s="1"/>
  <c r="E22" i="81" s="1"/>
  <c r="P108" i="20"/>
  <c r="J108" i="28"/>
  <c r="J118" i="46" s="1"/>
  <c r="F114" i="46"/>
  <c r="F127" i="28"/>
  <c r="N114" i="46"/>
  <c r="N127" i="28"/>
  <c r="H19" i="46"/>
  <c r="H19" i="28"/>
  <c r="H17" i="28" s="1"/>
  <c r="G114" i="46"/>
  <c r="G127" i="28"/>
  <c r="O114" i="46"/>
  <c r="O127" i="28"/>
  <c r="G19" i="46"/>
  <c r="G19" i="28"/>
  <c r="G17" i="28" s="1"/>
  <c r="P14" i="20"/>
  <c r="H114" i="46"/>
  <c r="H127" i="28"/>
  <c r="L114" i="46"/>
  <c r="L127" i="28"/>
  <c r="M19" i="46"/>
  <c r="M19" i="28"/>
  <c r="M17" i="28" s="1"/>
  <c r="D19" i="46"/>
  <c r="P19" i="20"/>
  <c r="D19" i="28"/>
  <c r="D17" i="28" s="1"/>
  <c r="K19" i="46"/>
  <c r="K19" i="28"/>
  <c r="K17" i="28" s="1"/>
  <c r="O19" i="46"/>
  <c r="O19" i="28"/>
  <c r="O17" i="28" s="1"/>
  <c r="P18" i="28"/>
  <c r="Q18" i="28" s="1"/>
  <c r="D118" i="46"/>
  <c r="J114" i="46"/>
  <c r="J127" i="28"/>
  <c r="P10" i="20"/>
  <c r="D10" i="28"/>
  <c r="H17" i="20"/>
  <c r="L19" i="46"/>
  <c r="L19" i="28"/>
  <c r="L17" i="28" s="1"/>
  <c r="P18" i="46"/>
  <c r="Q18" i="46" s="1"/>
  <c r="K114" i="46"/>
  <c r="K127" i="28"/>
  <c r="F19" i="46"/>
  <c r="F19" i="28"/>
  <c r="F17" i="28" s="1"/>
  <c r="E114" i="46"/>
  <c r="E127" i="28"/>
  <c r="I114" i="46"/>
  <c r="I127" i="28"/>
  <c r="M114" i="46"/>
  <c r="M127" i="28"/>
  <c r="J19" i="46"/>
  <c r="J19" i="28"/>
  <c r="J17" i="28" s="1"/>
  <c r="N19" i="46"/>
  <c r="N19" i="28"/>
  <c r="N17" i="28" s="1"/>
  <c r="I19" i="46"/>
  <c r="I19" i="28"/>
  <c r="I17" i="28" s="1"/>
  <c r="E19" i="46"/>
  <c r="E19" i="28"/>
  <c r="E17" i="28" s="1"/>
  <c r="G21" i="28"/>
  <c r="G21" i="46" s="1"/>
  <c r="E21" i="28"/>
  <c r="E21" i="46" s="1"/>
  <c r="N21" i="28"/>
  <c r="N21" i="46" s="1"/>
  <c r="C21" i="28"/>
  <c r="C21" i="46" s="1"/>
  <c r="L21" i="28"/>
  <c r="L21" i="46" s="1"/>
  <c r="J21" i="28"/>
  <c r="J21" i="46" s="1"/>
  <c r="O21" i="28"/>
  <c r="O21" i="46" s="1"/>
  <c r="M21" i="28"/>
  <c r="M21" i="46" s="1"/>
  <c r="H21" i="28"/>
  <c r="H21" i="46" s="1"/>
  <c r="F21" i="28"/>
  <c r="F21" i="46" s="1"/>
  <c r="K21" i="28"/>
  <c r="K21" i="46" s="1"/>
  <c r="I21" i="28"/>
  <c r="I21" i="46" s="1"/>
  <c r="O84" i="11"/>
  <c r="F84" i="10"/>
  <c r="G84" i="11"/>
  <c r="H84" i="11"/>
  <c r="L84" i="13"/>
  <c r="N84" i="10"/>
  <c r="G84" i="9"/>
  <c r="K84" i="6"/>
  <c r="L84" i="9"/>
  <c r="E84" i="6"/>
  <c r="K84" i="5"/>
  <c r="O84" i="9"/>
  <c r="E84" i="9"/>
  <c r="H84" i="10"/>
  <c r="G84" i="14"/>
  <c r="O84" i="15"/>
  <c r="M84" i="6"/>
  <c r="J84" i="6"/>
  <c r="O84" i="10"/>
  <c r="F84" i="11"/>
  <c r="K84" i="13"/>
  <c r="J84" i="15"/>
  <c r="I84" i="14"/>
  <c r="N84" i="14"/>
  <c r="M84" i="14"/>
  <c r="I130" i="11"/>
  <c r="K85" i="5"/>
  <c r="K131" i="5" s="1"/>
  <c r="K130" i="5" s="1"/>
  <c r="N84" i="7"/>
  <c r="M84" i="9"/>
  <c r="O130" i="6"/>
  <c r="H130" i="5"/>
  <c r="L84" i="5"/>
  <c r="M85" i="9"/>
  <c r="M131" i="9" s="1"/>
  <c r="M130" i="9" s="1"/>
  <c r="I85" i="14"/>
  <c r="I131" i="14" s="1"/>
  <c r="I130" i="14" s="1"/>
  <c r="L130" i="12"/>
  <c r="F84" i="13"/>
  <c r="K85" i="15"/>
  <c r="K131" i="15" s="1"/>
  <c r="K130" i="15" s="1"/>
  <c r="F84" i="15"/>
  <c r="I84" i="10"/>
  <c r="N84" i="13"/>
  <c r="H130" i="15"/>
  <c r="N84" i="15"/>
  <c r="N84" i="17"/>
  <c r="E81" i="20"/>
  <c r="E127" i="20" s="1"/>
  <c r="K85" i="18"/>
  <c r="K131" i="18" s="1"/>
  <c r="K130" i="18" s="1"/>
  <c r="G130" i="17"/>
  <c r="L84" i="17"/>
  <c r="G84" i="15"/>
  <c r="L130" i="15"/>
  <c r="H130" i="14"/>
  <c r="K84" i="14"/>
  <c r="F85" i="13"/>
  <c r="F131" i="13" s="1"/>
  <c r="F130" i="13" s="1"/>
  <c r="L85" i="13"/>
  <c r="L131" i="13" s="1"/>
  <c r="L130" i="13" s="1"/>
  <c r="N85" i="13"/>
  <c r="N131" i="13" s="1"/>
  <c r="N130" i="13" s="1"/>
  <c r="I84" i="12"/>
  <c r="K84" i="11"/>
  <c r="N85" i="11"/>
  <c r="N131" i="11" s="1"/>
  <c r="N130" i="11" s="1"/>
  <c r="H85" i="10"/>
  <c r="H131" i="10" s="1"/>
  <c r="H130" i="10" s="1"/>
  <c r="K84" i="10"/>
  <c r="L84" i="10"/>
  <c r="F84" i="9"/>
  <c r="E85" i="9"/>
  <c r="E131" i="9" s="1"/>
  <c r="E130" i="9" s="1"/>
  <c r="M84" i="7"/>
  <c r="F84" i="7"/>
  <c r="J84" i="7"/>
  <c r="E84" i="7"/>
  <c r="F84" i="6"/>
  <c r="H84" i="6"/>
  <c r="N84" i="6"/>
  <c r="K85" i="6"/>
  <c r="K131" i="6" s="1"/>
  <c r="K130" i="6" s="1"/>
  <c r="J85" i="6"/>
  <c r="J131" i="6" s="1"/>
  <c r="J130" i="6" s="1"/>
  <c r="C42" i="28"/>
  <c r="C52" i="46" s="1"/>
  <c r="C98" i="46" s="1"/>
  <c r="C86" i="28"/>
  <c r="C132" i="28" s="1"/>
  <c r="O84" i="18"/>
  <c r="I84" i="18"/>
  <c r="L85" i="18"/>
  <c r="L131" i="18" s="1"/>
  <c r="L130" i="18" s="1"/>
  <c r="F84" i="18"/>
  <c r="M130" i="18"/>
  <c r="D132" i="18"/>
  <c r="P132" i="18" s="1"/>
  <c r="Q132" i="18" s="1"/>
  <c r="P86" i="18"/>
  <c r="Q86" i="18" s="1"/>
  <c r="D131" i="18"/>
  <c r="P38" i="18"/>
  <c r="Q38" i="18" s="1"/>
  <c r="P63" i="18"/>
  <c r="Q63" i="18" s="1"/>
  <c r="E85" i="18"/>
  <c r="E131" i="18" s="1"/>
  <c r="E130" i="18" s="1"/>
  <c r="P62" i="18"/>
  <c r="Q62" i="18" s="1"/>
  <c r="G130" i="18"/>
  <c r="J130" i="18"/>
  <c r="N130" i="18"/>
  <c r="P38" i="17"/>
  <c r="Q38" i="17" s="1"/>
  <c r="H84" i="17"/>
  <c r="P62" i="17"/>
  <c r="Q62" i="17" s="1"/>
  <c r="D84" i="17"/>
  <c r="P63" i="17"/>
  <c r="Q63" i="17" s="1"/>
  <c r="F130" i="17"/>
  <c r="O130" i="17"/>
  <c r="K130" i="17"/>
  <c r="L85" i="17"/>
  <c r="L131" i="17" s="1"/>
  <c r="L130" i="17" s="1"/>
  <c r="M84" i="17"/>
  <c r="F84" i="17"/>
  <c r="O84" i="17"/>
  <c r="I84" i="17"/>
  <c r="J85" i="17"/>
  <c r="J131" i="17" s="1"/>
  <c r="J130" i="17" s="1"/>
  <c r="K84" i="17"/>
  <c r="E84" i="17"/>
  <c r="N85" i="17"/>
  <c r="N131" i="17" s="1"/>
  <c r="N130" i="17" s="1"/>
  <c r="M130" i="17"/>
  <c r="H130" i="17"/>
  <c r="I130" i="17"/>
  <c r="D131" i="17"/>
  <c r="E130" i="17"/>
  <c r="D132" i="17"/>
  <c r="P132" i="17" s="1"/>
  <c r="Q132" i="17" s="1"/>
  <c r="P86" i="17"/>
  <c r="Q86" i="17" s="1"/>
  <c r="G84" i="17"/>
  <c r="D131" i="15"/>
  <c r="M84" i="15"/>
  <c r="N85" i="15"/>
  <c r="N131" i="15" s="1"/>
  <c r="N130" i="15" s="1"/>
  <c r="H84" i="15"/>
  <c r="M130" i="15"/>
  <c r="D132" i="15"/>
  <c r="P132" i="15" s="1"/>
  <c r="Q132" i="15" s="1"/>
  <c r="P86" i="15"/>
  <c r="Q86" i="15" s="1"/>
  <c r="P38" i="15"/>
  <c r="Q38" i="15" s="1"/>
  <c r="O85" i="15"/>
  <c r="O131" i="15" s="1"/>
  <c r="O130" i="15" s="1"/>
  <c r="J85" i="15"/>
  <c r="J131" i="15" s="1"/>
  <c r="J130" i="15" s="1"/>
  <c r="I85" i="15"/>
  <c r="I131" i="15" s="1"/>
  <c r="I130" i="15" s="1"/>
  <c r="P63" i="15"/>
  <c r="Q63" i="15" s="1"/>
  <c r="E84" i="15"/>
  <c r="F85" i="15"/>
  <c r="F131" i="15" s="1"/>
  <c r="F130" i="15" s="1"/>
  <c r="G85" i="15"/>
  <c r="G131" i="15" s="1"/>
  <c r="G130" i="15" s="1"/>
  <c r="P62" i="15"/>
  <c r="Q62" i="15" s="1"/>
  <c r="D84" i="15"/>
  <c r="E130" i="15"/>
  <c r="L84" i="15"/>
  <c r="D131" i="14"/>
  <c r="P63" i="14"/>
  <c r="Q63" i="14" s="1"/>
  <c r="O85" i="14"/>
  <c r="O131" i="14" s="1"/>
  <c r="O130" i="14" s="1"/>
  <c r="L84" i="14"/>
  <c r="N85" i="14"/>
  <c r="N131" i="14" s="1"/>
  <c r="N130" i="14" s="1"/>
  <c r="J84" i="14"/>
  <c r="P62" i="14"/>
  <c r="Q62" i="14" s="1"/>
  <c r="D84" i="14"/>
  <c r="J130" i="14"/>
  <c r="G85" i="14"/>
  <c r="G131" i="14" s="1"/>
  <c r="G130" i="14" s="1"/>
  <c r="E85" i="14"/>
  <c r="E131" i="14" s="1"/>
  <c r="E130" i="14" s="1"/>
  <c r="F85" i="14"/>
  <c r="F131" i="14" s="1"/>
  <c r="F130" i="14" s="1"/>
  <c r="H84" i="14"/>
  <c r="K85" i="14"/>
  <c r="K131" i="14" s="1"/>
  <c r="K130" i="14" s="1"/>
  <c r="M85" i="14"/>
  <c r="M131" i="14" s="1"/>
  <c r="M130" i="14" s="1"/>
  <c r="P38" i="14"/>
  <c r="Q38" i="14" s="1"/>
  <c r="D132" i="14"/>
  <c r="P132" i="14" s="1"/>
  <c r="Q132" i="14" s="1"/>
  <c r="P86" i="14"/>
  <c r="Q86" i="14" s="1"/>
  <c r="L130" i="14"/>
  <c r="G130" i="13"/>
  <c r="D132" i="13"/>
  <c r="P132" i="13" s="1"/>
  <c r="Q132" i="13" s="1"/>
  <c r="P86" i="13"/>
  <c r="Q86" i="13" s="1"/>
  <c r="D131" i="13"/>
  <c r="P38" i="13"/>
  <c r="Q38" i="13" s="1"/>
  <c r="K85" i="13"/>
  <c r="K131" i="13" s="1"/>
  <c r="K130" i="13" s="1"/>
  <c r="M85" i="13"/>
  <c r="M131" i="13" s="1"/>
  <c r="M130" i="13" s="1"/>
  <c r="H84" i="13"/>
  <c r="I84" i="13"/>
  <c r="H130" i="13"/>
  <c r="J130" i="13"/>
  <c r="O130" i="13"/>
  <c r="E85" i="13"/>
  <c r="E131" i="13" s="1"/>
  <c r="E130" i="13" s="1"/>
  <c r="J84" i="13"/>
  <c r="O84" i="13"/>
  <c r="G84" i="13"/>
  <c r="P63" i="13"/>
  <c r="Q63" i="13" s="1"/>
  <c r="I130" i="13"/>
  <c r="P62" i="13"/>
  <c r="Q62" i="13" s="1"/>
  <c r="D84" i="13"/>
  <c r="D132" i="12"/>
  <c r="P132" i="12" s="1"/>
  <c r="Q132" i="12" s="1"/>
  <c r="P86" i="12"/>
  <c r="Q86" i="12" s="1"/>
  <c r="D131" i="12"/>
  <c r="O85" i="12"/>
  <c r="O131" i="12" s="1"/>
  <c r="O130" i="12" s="1"/>
  <c r="L84" i="12"/>
  <c r="H84" i="12"/>
  <c r="P62" i="12"/>
  <c r="Q62" i="12" s="1"/>
  <c r="D84" i="12"/>
  <c r="N130" i="12"/>
  <c r="J130" i="12"/>
  <c r="H130" i="12"/>
  <c r="F130" i="12"/>
  <c r="I85" i="12"/>
  <c r="I131" i="12" s="1"/>
  <c r="I130" i="12" s="1"/>
  <c r="P63" i="12"/>
  <c r="Q63" i="12" s="1"/>
  <c r="G85" i="12"/>
  <c r="G131" i="12" s="1"/>
  <c r="G130" i="12" s="1"/>
  <c r="N84" i="12"/>
  <c r="E84" i="12"/>
  <c r="J84" i="12"/>
  <c r="K84" i="12"/>
  <c r="M84" i="12"/>
  <c r="F84" i="12"/>
  <c r="P38" i="12"/>
  <c r="Q38" i="12" s="1"/>
  <c r="E130" i="12"/>
  <c r="K130" i="12"/>
  <c r="M130" i="12"/>
  <c r="L130" i="11"/>
  <c r="M130" i="11"/>
  <c r="P38" i="11"/>
  <c r="Q38" i="11" s="1"/>
  <c r="O85" i="11"/>
  <c r="O131" i="11" s="1"/>
  <c r="O130" i="11" s="1"/>
  <c r="J84" i="11"/>
  <c r="K85" i="11"/>
  <c r="K131" i="11" s="1"/>
  <c r="K130" i="11" s="1"/>
  <c r="P63" i="11"/>
  <c r="Q63" i="11" s="1"/>
  <c r="I84" i="11"/>
  <c r="F85" i="11"/>
  <c r="F131" i="11" s="1"/>
  <c r="F130" i="11" s="1"/>
  <c r="J130" i="11"/>
  <c r="M84" i="11"/>
  <c r="P62" i="11"/>
  <c r="Q62" i="11" s="1"/>
  <c r="G85" i="11"/>
  <c r="G131" i="11" s="1"/>
  <c r="G130" i="11" s="1"/>
  <c r="H85" i="11"/>
  <c r="H131" i="11" s="1"/>
  <c r="H130" i="11" s="1"/>
  <c r="P132" i="11"/>
  <c r="Q132" i="11" s="1"/>
  <c r="P86" i="11"/>
  <c r="Q86" i="11" s="1"/>
  <c r="L84" i="11"/>
  <c r="P63" i="10"/>
  <c r="Q63" i="10" s="1"/>
  <c r="M85" i="10"/>
  <c r="M131" i="10" s="1"/>
  <c r="M130" i="10" s="1"/>
  <c r="O85" i="10"/>
  <c r="O131" i="10" s="1"/>
  <c r="O130" i="10" s="1"/>
  <c r="N85" i="10"/>
  <c r="N131" i="10" s="1"/>
  <c r="N130" i="10" s="1"/>
  <c r="P62" i="10"/>
  <c r="Q62" i="10" s="1"/>
  <c r="J84" i="10"/>
  <c r="J130" i="10"/>
  <c r="G85" i="10"/>
  <c r="G131" i="10" s="1"/>
  <c r="G130" i="10" s="1"/>
  <c r="I85" i="10"/>
  <c r="I131" i="10" s="1"/>
  <c r="I130" i="10" s="1"/>
  <c r="F85" i="10"/>
  <c r="F131" i="10" s="1"/>
  <c r="F130" i="10" s="1"/>
  <c r="K85" i="10"/>
  <c r="K131" i="10" s="1"/>
  <c r="K130" i="10" s="1"/>
  <c r="L85" i="10"/>
  <c r="L131" i="10" s="1"/>
  <c r="L130" i="10" s="1"/>
  <c r="P38" i="10"/>
  <c r="Q38" i="10" s="1"/>
  <c r="K130" i="9"/>
  <c r="H130" i="9"/>
  <c r="P63" i="9"/>
  <c r="Q63" i="9" s="1"/>
  <c r="G85" i="9"/>
  <c r="G131" i="9" s="1"/>
  <c r="G130" i="9" s="1"/>
  <c r="L85" i="9"/>
  <c r="L131" i="9" s="1"/>
  <c r="L130" i="9" s="1"/>
  <c r="N130" i="9"/>
  <c r="D131" i="9"/>
  <c r="J130" i="9"/>
  <c r="K84" i="9"/>
  <c r="P38" i="9"/>
  <c r="Q38" i="9" s="1"/>
  <c r="H84" i="9"/>
  <c r="I85" i="9"/>
  <c r="I131" i="9" s="1"/>
  <c r="I130" i="9" s="1"/>
  <c r="F85" i="9"/>
  <c r="F131" i="9" s="1"/>
  <c r="F130" i="9" s="1"/>
  <c r="N84" i="9"/>
  <c r="O85" i="9"/>
  <c r="O131" i="9" s="1"/>
  <c r="O130" i="9" s="1"/>
  <c r="P62" i="9"/>
  <c r="Q62" i="9" s="1"/>
  <c r="D84" i="9"/>
  <c r="J84" i="9"/>
  <c r="D86" i="9"/>
  <c r="D131" i="7"/>
  <c r="L130" i="7"/>
  <c r="P63" i="7"/>
  <c r="Q63" i="7" s="1"/>
  <c r="N85" i="7"/>
  <c r="N131" i="7" s="1"/>
  <c r="N130" i="7" s="1"/>
  <c r="O84" i="7"/>
  <c r="H84" i="7"/>
  <c r="E85" i="7"/>
  <c r="E131" i="7" s="1"/>
  <c r="E130" i="7" s="1"/>
  <c r="P38" i="7"/>
  <c r="Q38" i="7" s="1"/>
  <c r="G130" i="7"/>
  <c r="I130" i="7"/>
  <c r="K130" i="7"/>
  <c r="P62" i="7"/>
  <c r="Q62" i="7" s="1"/>
  <c r="D84" i="7"/>
  <c r="F85" i="7"/>
  <c r="F131" i="7" s="1"/>
  <c r="F130" i="7" s="1"/>
  <c r="G84" i="7"/>
  <c r="I84" i="7"/>
  <c r="J85" i="7"/>
  <c r="J131" i="7" s="1"/>
  <c r="J130" i="7" s="1"/>
  <c r="K84" i="7"/>
  <c r="M85" i="7"/>
  <c r="M131" i="7" s="1"/>
  <c r="M130" i="7" s="1"/>
  <c r="D132" i="7"/>
  <c r="P132" i="7" s="1"/>
  <c r="Q132" i="7" s="1"/>
  <c r="P86" i="7"/>
  <c r="Q86" i="7" s="1"/>
  <c r="O130" i="7"/>
  <c r="H130" i="7"/>
  <c r="L84" i="7"/>
  <c r="O130" i="5"/>
  <c r="P38" i="5"/>
  <c r="Q38" i="5" s="1"/>
  <c r="I84" i="5"/>
  <c r="J84" i="5"/>
  <c r="D132" i="5"/>
  <c r="P132" i="5" s="1"/>
  <c r="Q132" i="5" s="1"/>
  <c r="P86" i="5"/>
  <c r="Q86" i="5" s="1"/>
  <c r="P62" i="5"/>
  <c r="Q62" i="5" s="1"/>
  <c r="M84" i="5"/>
  <c r="F84" i="5"/>
  <c r="I130" i="5"/>
  <c r="H84" i="5"/>
  <c r="J130" i="5"/>
  <c r="G84" i="5"/>
  <c r="M130" i="5"/>
  <c r="F130" i="5"/>
  <c r="E84" i="5"/>
  <c r="P63" i="5"/>
  <c r="Q63" i="5" s="1"/>
  <c r="G85" i="5"/>
  <c r="G131" i="5" s="1"/>
  <c r="G130" i="5" s="1"/>
  <c r="L85" i="5"/>
  <c r="L131" i="5" s="1"/>
  <c r="L130" i="5" s="1"/>
  <c r="N84" i="5"/>
  <c r="E130" i="5"/>
  <c r="O84" i="5"/>
  <c r="D131" i="5"/>
  <c r="N130" i="5"/>
  <c r="L130" i="6"/>
  <c r="E85" i="6"/>
  <c r="E131" i="6" s="1"/>
  <c r="E130" i="6" s="1"/>
  <c r="N85" i="6"/>
  <c r="N131" i="6" s="1"/>
  <c r="N130" i="6" s="1"/>
  <c r="H85" i="6"/>
  <c r="H131" i="6" s="1"/>
  <c r="H130" i="6" s="1"/>
  <c r="I84" i="6"/>
  <c r="P62" i="6"/>
  <c r="Q62" i="6" s="1"/>
  <c r="G84" i="6"/>
  <c r="D77" i="20"/>
  <c r="P77" i="20" s="1"/>
  <c r="P54" i="20"/>
  <c r="P38" i="6"/>
  <c r="Q38" i="6" s="1"/>
  <c r="M85" i="6"/>
  <c r="M131" i="6" s="1"/>
  <c r="M130" i="6" s="1"/>
  <c r="F85" i="6"/>
  <c r="F131" i="6" s="1"/>
  <c r="F130" i="6" s="1"/>
  <c r="P63" i="6"/>
  <c r="Q63" i="6" s="1"/>
  <c r="G85" i="6"/>
  <c r="G131" i="6" s="1"/>
  <c r="G130" i="6" s="1"/>
  <c r="D132" i="6"/>
  <c r="P132" i="6" s="1"/>
  <c r="Q132" i="6" s="1"/>
  <c r="P86" i="6"/>
  <c r="Q86" i="6" s="1"/>
  <c r="I130" i="6"/>
  <c r="O84" i="6"/>
  <c r="D131" i="6"/>
  <c r="L84" i="6"/>
  <c r="D131" i="4"/>
  <c r="D82" i="20"/>
  <c r="P59" i="20"/>
  <c r="D83" i="20"/>
  <c r="P60" i="20"/>
  <c r="O38" i="4"/>
  <c r="O86" i="4"/>
  <c r="O132" i="4" s="1"/>
  <c r="O130" i="4" s="1"/>
  <c r="I38" i="4"/>
  <c r="I86" i="4"/>
  <c r="I132" i="4" s="1"/>
  <c r="F38" i="4"/>
  <c r="F86" i="4"/>
  <c r="F132" i="4" s="1"/>
  <c r="F130" i="4" s="1"/>
  <c r="M38" i="4"/>
  <c r="M86" i="4"/>
  <c r="M132" i="4" s="1"/>
  <c r="G38" i="4"/>
  <c r="D86" i="4"/>
  <c r="P40" i="4"/>
  <c r="Q40" i="4" s="1"/>
  <c r="E38" i="4"/>
  <c r="E86" i="4"/>
  <c r="E132" i="4" s="1"/>
  <c r="E130" i="4" s="1"/>
  <c r="J38" i="4"/>
  <c r="J86" i="4"/>
  <c r="J132" i="4" s="1"/>
  <c r="J130" i="4" s="1"/>
  <c r="K38" i="4"/>
  <c r="H38" i="4"/>
  <c r="H86" i="4"/>
  <c r="H132" i="4" s="1"/>
  <c r="H130" i="4" s="1"/>
  <c r="N38" i="4"/>
  <c r="N86" i="4"/>
  <c r="N132" i="4" s="1"/>
  <c r="N130" i="4" s="1"/>
  <c r="L38" i="4"/>
  <c r="D85" i="20"/>
  <c r="P39" i="20"/>
  <c r="I85" i="4"/>
  <c r="I131" i="4" s="1"/>
  <c r="M85" i="4"/>
  <c r="M131" i="4" s="1"/>
  <c r="D21" i="28"/>
  <c r="Q21" i="20"/>
  <c r="M88" i="17"/>
  <c r="M134" i="17" s="1"/>
  <c r="E88" i="15"/>
  <c r="E134" i="15" s="1"/>
  <c r="M88" i="13"/>
  <c r="M134" i="13" s="1"/>
  <c r="J88" i="12"/>
  <c r="J134" i="12" s="1"/>
  <c r="H88" i="11"/>
  <c r="H134" i="11" s="1"/>
  <c r="P42" i="9"/>
  <c r="Q42" i="9" s="1"/>
  <c r="D88" i="9"/>
  <c r="K88" i="7"/>
  <c r="K134" i="7" s="1"/>
  <c r="F88" i="5"/>
  <c r="F134" i="5" s="1"/>
  <c r="M88" i="4"/>
  <c r="M134" i="4" s="1"/>
  <c r="K88" i="4"/>
  <c r="K134" i="4" s="1"/>
  <c r="K88" i="18"/>
  <c r="K134" i="18" s="1"/>
  <c r="H88" i="17"/>
  <c r="H134" i="17" s="1"/>
  <c r="L88" i="15"/>
  <c r="L134" i="15" s="1"/>
  <c r="Q42" i="15"/>
  <c r="D88" i="15"/>
  <c r="J88" i="14"/>
  <c r="J134" i="14" s="1"/>
  <c r="H88" i="13"/>
  <c r="H134" i="13" s="1"/>
  <c r="M88" i="12"/>
  <c r="M134" i="12" s="1"/>
  <c r="E88" i="12"/>
  <c r="E134" i="12" s="1"/>
  <c r="K88" i="11"/>
  <c r="K134" i="11" s="1"/>
  <c r="H88" i="10"/>
  <c r="H134" i="10" s="1"/>
  <c r="O88" i="9"/>
  <c r="O134" i="9" s="1"/>
  <c r="G88" i="9"/>
  <c r="G134" i="9" s="1"/>
  <c r="J88" i="7"/>
  <c r="J134" i="7" s="1"/>
  <c r="I88" i="5"/>
  <c r="I134" i="5" s="1"/>
  <c r="O88" i="6"/>
  <c r="O134" i="6" s="1"/>
  <c r="G88" i="6"/>
  <c r="G134" i="6" s="1"/>
  <c r="L88" i="4"/>
  <c r="L134" i="4" s="1"/>
  <c r="P42" i="4"/>
  <c r="Q42" i="4" s="1"/>
  <c r="I88" i="18"/>
  <c r="I134" i="18" s="1"/>
  <c r="N88" i="17"/>
  <c r="N134" i="17" s="1"/>
  <c r="F88" i="17"/>
  <c r="F134" i="17" s="1"/>
  <c r="J88" i="15"/>
  <c r="J134" i="15" s="1"/>
  <c r="H88" i="14"/>
  <c r="H134" i="14" s="1"/>
  <c r="N88" i="13"/>
  <c r="N134" i="13" s="1"/>
  <c r="F88" i="13"/>
  <c r="F134" i="13" s="1"/>
  <c r="K88" i="12"/>
  <c r="K134" i="12" s="1"/>
  <c r="I88" i="11"/>
  <c r="I134" i="11" s="1"/>
  <c r="N88" i="10"/>
  <c r="N134" i="10" s="1"/>
  <c r="F88" i="10"/>
  <c r="F134" i="10" s="1"/>
  <c r="M88" i="9"/>
  <c r="M134" i="9" s="1"/>
  <c r="E88" i="9"/>
  <c r="E134" i="9" s="1"/>
  <c r="H88" i="7"/>
  <c r="H134" i="7" s="1"/>
  <c r="O88" i="5"/>
  <c r="O134" i="5" s="1"/>
  <c r="G88" i="5"/>
  <c r="G134" i="5" s="1"/>
  <c r="M88" i="6"/>
  <c r="M134" i="6" s="1"/>
  <c r="E88" i="6"/>
  <c r="E134" i="6" s="1"/>
  <c r="J88" i="4"/>
  <c r="J134" i="4" s="1"/>
  <c r="L88" i="18"/>
  <c r="L134" i="18" s="1"/>
  <c r="I88" i="17"/>
  <c r="I134" i="17" s="1"/>
  <c r="I88" i="15"/>
  <c r="I134" i="15" s="1"/>
  <c r="G88" i="14"/>
  <c r="G134" i="14" s="1"/>
  <c r="I88" i="13"/>
  <c r="I134" i="13" s="1"/>
  <c r="F88" i="12"/>
  <c r="F134" i="12" s="1"/>
  <c r="P42" i="11"/>
  <c r="Q42" i="11" s="1"/>
  <c r="O88" i="7"/>
  <c r="O134" i="7" s="1"/>
  <c r="P42" i="6"/>
  <c r="Q42" i="6" s="1"/>
  <c r="D88" i="6"/>
  <c r="J88" i="6"/>
  <c r="J134" i="6" s="1"/>
  <c r="N88" i="18"/>
  <c r="N134" i="18" s="1"/>
  <c r="K88" i="17"/>
  <c r="K134" i="17" s="1"/>
  <c r="K88" i="15"/>
  <c r="K134" i="15" s="1"/>
  <c r="I88" i="14"/>
  <c r="I134" i="14" s="1"/>
  <c r="G88" i="13"/>
  <c r="G134" i="13" s="1"/>
  <c r="P42" i="12"/>
  <c r="Q42" i="12" s="1"/>
  <c r="D88" i="12"/>
  <c r="O88" i="10"/>
  <c r="O134" i="10" s="1"/>
  <c r="N88" i="9"/>
  <c r="N134" i="9" s="1"/>
  <c r="M88" i="7"/>
  <c r="M134" i="7" s="1"/>
  <c r="L88" i="5"/>
  <c r="L134" i="5" s="1"/>
  <c r="F88" i="6"/>
  <c r="F134" i="6" s="1"/>
  <c r="J88" i="18"/>
  <c r="J134" i="18" s="1"/>
  <c r="G88" i="17"/>
  <c r="G134" i="17" s="1"/>
  <c r="O88" i="15"/>
  <c r="O134" i="15" s="1"/>
  <c r="M88" i="14"/>
  <c r="M134" i="14" s="1"/>
  <c r="K88" i="13"/>
  <c r="K134" i="13" s="1"/>
  <c r="H88" i="12"/>
  <c r="H134" i="12" s="1"/>
  <c r="F88" i="11"/>
  <c r="F134" i="11" s="1"/>
  <c r="I88" i="7"/>
  <c r="I134" i="7" s="1"/>
  <c r="H88" i="5"/>
  <c r="H134" i="5" s="1"/>
  <c r="O88" i="4"/>
  <c r="O134" i="4" s="1"/>
  <c r="H88" i="18"/>
  <c r="H134" i="18" s="1"/>
  <c r="M88" i="15"/>
  <c r="M134" i="15" s="1"/>
  <c r="K88" i="14"/>
  <c r="K134" i="14" s="1"/>
  <c r="E88" i="13"/>
  <c r="E134" i="13" s="1"/>
  <c r="M88" i="10"/>
  <c r="M134" i="10" s="1"/>
  <c r="L88" i="9"/>
  <c r="L134" i="9" s="1"/>
  <c r="N88" i="5"/>
  <c r="N134" i="5" s="1"/>
  <c r="L88" i="6"/>
  <c r="L134" i="6" s="1"/>
  <c r="E88" i="4"/>
  <c r="E134" i="4" s="1"/>
  <c r="O88" i="18"/>
  <c r="O134" i="18" s="1"/>
  <c r="G88" i="18"/>
  <c r="G134" i="18" s="1"/>
  <c r="L88" i="17"/>
  <c r="L134" i="17" s="1"/>
  <c r="P42" i="17"/>
  <c r="Q42" i="17" s="1"/>
  <c r="D88" i="17"/>
  <c r="H88" i="15"/>
  <c r="H134" i="15" s="1"/>
  <c r="N88" i="14"/>
  <c r="N134" i="14" s="1"/>
  <c r="F88" i="14"/>
  <c r="F134" i="14" s="1"/>
  <c r="L88" i="13"/>
  <c r="L134" i="13" s="1"/>
  <c r="P42" i="13"/>
  <c r="Q42" i="13" s="1"/>
  <c r="D88" i="13"/>
  <c r="I88" i="12"/>
  <c r="I134" i="12" s="1"/>
  <c r="O88" i="11"/>
  <c r="O134" i="11" s="1"/>
  <c r="G88" i="11"/>
  <c r="G134" i="11" s="1"/>
  <c r="L88" i="10"/>
  <c r="L134" i="10" s="1"/>
  <c r="P42" i="10"/>
  <c r="Q42" i="10" s="1"/>
  <c r="K88" i="9"/>
  <c r="K134" i="9" s="1"/>
  <c r="N88" i="7"/>
  <c r="N134" i="7" s="1"/>
  <c r="F88" i="7"/>
  <c r="F134" i="7" s="1"/>
  <c r="M88" i="5"/>
  <c r="M134" i="5" s="1"/>
  <c r="E88" i="5"/>
  <c r="E134" i="5" s="1"/>
  <c r="K88" i="6"/>
  <c r="K134" i="6" s="1"/>
  <c r="H88" i="4"/>
  <c r="H134" i="4" s="1"/>
  <c r="M88" i="18"/>
  <c r="M134" i="18" s="1"/>
  <c r="E88" i="18"/>
  <c r="E134" i="18" s="1"/>
  <c r="J88" i="17"/>
  <c r="J134" i="17" s="1"/>
  <c r="N88" i="15"/>
  <c r="N134" i="15" s="1"/>
  <c r="F88" i="15"/>
  <c r="F134" i="15" s="1"/>
  <c r="L88" i="14"/>
  <c r="L134" i="14" s="1"/>
  <c r="P42" i="14"/>
  <c r="Q42" i="14" s="1"/>
  <c r="D88" i="14"/>
  <c r="J88" i="13"/>
  <c r="J134" i="13" s="1"/>
  <c r="O88" i="12"/>
  <c r="O134" i="12" s="1"/>
  <c r="G88" i="12"/>
  <c r="G134" i="12" s="1"/>
  <c r="M88" i="11"/>
  <c r="M134" i="11" s="1"/>
  <c r="J88" i="10"/>
  <c r="J134" i="10" s="1"/>
  <c r="I88" i="9"/>
  <c r="I134" i="9" s="1"/>
  <c r="L88" i="7"/>
  <c r="L134" i="7" s="1"/>
  <c r="P42" i="7"/>
  <c r="Q42" i="7" s="1"/>
  <c r="D88" i="7"/>
  <c r="K88" i="5"/>
  <c r="K134" i="5" s="1"/>
  <c r="I88" i="6"/>
  <c r="I134" i="6" s="1"/>
  <c r="N88" i="4"/>
  <c r="N134" i="4" s="1"/>
  <c r="F88" i="4"/>
  <c r="F134" i="4" s="1"/>
  <c r="P42" i="18"/>
  <c r="Q42" i="18" s="1"/>
  <c r="E88" i="17"/>
  <c r="E134" i="17" s="1"/>
  <c r="O88" i="14"/>
  <c r="O134" i="14" s="1"/>
  <c r="N88" i="12"/>
  <c r="N134" i="12" s="1"/>
  <c r="L88" i="11"/>
  <c r="L134" i="11" s="1"/>
  <c r="I88" i="10"/>
  <c r="I134" i="10" s="1"/>
  <c r="H88" i="9"/>
  <c r="H134" i="9" s="1"/>
  <c r="G88" i="7"/>
  <c r="G134" i="7" s="1"/>
  <c r="J88" i="5"/>
  <c r="J134" i="5" s="1"/>
  <c r="H88" i="6"/>
  <c r="H134" i="6" s="1"/>
  <c r="I88" i="4"/>
  <c r="I134" i="4" s="1"/>
  <c r="G88" i="4"/>
  <c r="G134" i="4" s="1"/>
  <c r="F88" i="18"/>
  <c r="F134" i="18" s="1"/>
  <c r="O88" i="13"/>
  <c r="O134" i="13" s="1"/>
  <c r="L88" i="12"/>
  <c r="L134" i="12" s="1"/>
  <c r="J88" i="11"/>
  <c r="J134" i="11" s="1"/>
  <c r="G88" i="10"/>
  <c r="G134" i="10" s="1"/>
  <c r="J88" i="9"/>
  <c r="J134" i="9" s="1"/>
  <c r="E88" i="7"/>
  <c r="E134" i="7" s="1"/>
  <c r="P42" i="5"/>
  <c r="Q42" i="5" s="1"/>
  <c r="O88" i="17"/>
  <c r="O134" i="17" s="1"/>
  <c r="G88" i="15"/>
  <c r="G134" i="15" s="1"/>
  <c r="E88" i="14"/>
  <c r="E134" i="14" s="1"/>
  <c r="N88" i="11"/>
  <c r="N134" i="11" s="1"/>
  <c r="K88" i="10"/>
  <c r="K134" i="10" s="1"/>
  <c r="F88" i="9"/>
  <c r="F134" i="9" s="1"/>
  <c r="N88" i="6"/>
  <c r="N134" i="6" s="1"/>
  <c r="D75" i="20"/>
  <c r="P52" i="20"/>
  <c r="P8" i="20"/>
  <c r="D8" i="28"/>
  <c r="D8" i="46" s="1"/>
  <c r="D79" i="20"/>
  <c r="P56" i="20"/>
  <c r="P12" i="20"/>
  <c r="D12" i="28"/>
  <c r="E73" i="20"/>
  <c r="P50" i="20"/>
  <c r="P6" i="20"/>
  <c r="E6" i="28"/>
  <c r="C13" i="28"/>
  <c r="C13" i="46" s="1"/>
  <c r="H81" i="20"/>
  <c r="H127" i="20" s="1"/>
  <c r="L81" i="20"/>
  <c r="L127" i="20" s="1"/>
  <c r="F81" i="20"/>
  <c r="F127" i="20" s="1"/>
  <c r="C7" i="28"/>
  <c r="J17" i="20"/>
  <c r="K17" i="20"/>
  <c r="O17" i="20"/>
  <c r="E17" i="20"/>
  <c r="P107" i="14"/>
  <c r="Q107" i="14" s="1"/>
  <c r="P107" i="17"/>
  <c r="Q107" i="17" s="1"/>
  <c r="P107" i="9"/>
  <c r="Q107" i="9" s="1"/>
  <c r="P107" i="7"/>
  <c r="Q107" i="7" s="1"/>
  <c r="P107" i="11"/>
  <c r="Q107" i="11" s="1"/>
  <c r="P104" i="20"/>
  <c r="N17" i="20"/>
  <c r="L17" i="20"/>
  <c r="P107" i="15"/>
  <c r="Q107" i="15" s="1"/>
  <c r="P107" i="12"/>
  <c r="Q107" i="12" s="1"/>
  <c r="J81" i="20"/>
  <c r="J127" i="20" s="1"/>
  <c r="N81" i="20"/>
  <c r="N127" i="20" s="1"/>
  <c r="P107" i="10"/>
  <c r="Q107" i="10" s="1"/>
  <c r="P107" i="6"/>
  <c r="Q107" i="6" s="1"/>
  <c r="M17" i="20"/>
  <c r="F17" i="20"/>
  <c r="I17" i="20"/>
  <c r="P107" i="5"/>
  <c r="Q107" i="5" s="1"/>
  <c r="P107" i="18"/>
  <c r="Q107" i="18" s="1"/>
  <c r="P107" i="13"/>
  <c r="Q107" i="13" s="1"/>
  <c r="P109" i="4"/>
  <c r="Q109" i="4" s="1"/>
  <c r="D17" i="20"/>
  <c r="D73" i="20"/>
  <c r="D119" i="20" s="1"/>
  <c r="G82" i="20"/>
  <c r="G128" i="20" s="1"/>
  <c r="P173" i="18"/>
  <c r="Q173" i="18" s="1"/>
  <c r="P172" i="18"/>
  <c r="Q172" i="18" s="1"/>
  <c r="P171" i="18"/>
  <c r="Q171" i="18" s="1"/>
  <c r="P170" i="18"/>
  <c r="Q170" i="18" s="1"/>
  <c r="P169" i="18"/>
  <c r="Q169" i="18" s="1"/>
  <c r="P168" i="18"/>
  <c r="Q168" i="18" s="1"/>
  <c r="P167" i="18"/>
  <c r="Q167" i="18" s="1"/>
  <c r="P166" i="18"/>
  <c r="Q166" i="18" s="1"/>
  <c r="P165" i="18"/>
  <c r="Q165" i="18" s="1"/>
  <c r="P164" i="18"/>
  <c r="Q164" i="18" s="1"/>
  <c r="P163" i="18"/>
  <c r="Q163" i="18" s="1"/>
  <c r="P162" i="18"/>
  <c r="Q162" i="18" s="1"/>
  <c r="P161" i="18"/>
  <c r="Q161" i="18" s="1"/>
  <c r="P160" i="18"/>
  <c r="Q160" i="18" s="1"/>
  <c r="P159" i="18"/>
  <c r="Q159" i="18" s="1"/>
  <c r="P158" i="18"/>
  <c r="Q158" i="18" s="1"/>
  <c r="P157" i="18"/>
  <c r="Q157" i="18" s="1"/>
  <c r="P156" i="18"/>
  <c r="Q156" i="18" s="1"/>
  <c r="P155" i="18"/>
  <c r="Q155" i="18" s="1"/>
  <c r="P154" i="18"/>
  <c r="Q154" i="18" s="1"/>
  <c r="P153" i="18"/>
  <c r="Q153" i="18" s="1"/>
  <c r="P152" i="18"/>
  <c r="Q152" i="18" s="1"/>
  <c r="P151" i="18"/>
  <c r="Q151" i="18" s="1"/>
  <c r="P150" i="18"/>
  <c r="Q150" i="18" s="1"/>
  <c r="P149" i="18"/>
  <c r="Q149" i="18" s="1"/>
  <c r="P148" i="18"/>
  <c r="Q148" i="18" s="1"/>
  <c r="P147" i="18"/>
  <c r="Q147" i="18" s="1"/>
  <c r="P146" i="18"/>
  <c r="Q146" i="18" s="1"/>
  <c r="P145" i="18"/>
  <c r="Q145" i="18" s="1"/>
  <c r="P144" i="18"/>
  <c r="Q144" i="18" s="1"/>
  <c r="P143" i="18"/>
  <c r="Q143" i="18" s="1"/>
  <c r="P142" i="18"/>
  <c r="Q142" i="18" s="1"/>
  <c r="P141" i="18"/>
  <c r="Q141" i="18" s="1"/>
  <c r="O140" i="18"/>
  <c r="O184" i="18" s="1"/>
  <c r="N140" i="18"/>
  <c r="N184" i="18" s="1"/>
  <c r="M140" i="18"/>
  <c r="M184" i="18" s="1"/>
  <c r="L140" i="18"/>
  <c r="L184" i="18" s="1"/>
  <c r="K140" i="18"/>
  <c r="K184" i="18" s="1"/>
  <c r="J140" i="18"/>
  <c r="J184" i="18" s="1"/>
  <c r="I140" i="18"/>
  <c r="I184" i="18" s="1"/>
  <c r="H140" i="18"/>
  <c r="H184" i="18" s="1"/>
  <c r="G140" i="18"/>
  <c r="G184" i="18" s="1"/>
  <c r="F140" i="18"/>
  <c r="F184" i="18" s="1"/>
  <c r="E140" i="18"/>
  <c r="E184" i="18" s="1"/>
  <c r="D140" i="18"/>
  <c r="D184" i="18" s="1"/>
  <c r="P106" i="18"/>
  <c r="Q106" i="18" s="1"/>
  <c r="P105" i="18"/>
  <c r="Q105" i="18" s="1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P102" i="18"/>
  <c r="Q102" i="18" s="1"/>
  <c r="P101" i="18"/>
  <c r="Q101" i="18" s="1"/>
  <c r="P100" i="18"/>
  <c r="Q100" i="18" s="1"/>
  <c r="P98" i="18"/>
  <c r="Q98" i="18" s="1"/>
  <c r="O97" i="18"/>
  <c r="N97" i="18"/>
  <c r="N94" i="18" s="1"/>
  <c r="M97" i="18"/>
  <c r="M94" i="18" s="1"/>
  <c r="L97" i="18"/>
  <c r="K97" i="18"/>
  <c r="J97" i="18"/>
  <c r="I97" i="18"/>
  <c r="I94" i="18" s="1"/>
  <c r="H97" i="18"/>
  <c r="H94" i="18" s="1"/>
  <c r="G97" i="18"/>
  <c r="F97" i="18"/>
  <c r="F94" i="18" s="1"/>
  <c r="E97" i="18"/>
  <c r="E94" i="18" s="1"/>
  <c r="P96" i="18"/>
  <c r="Q96" i="18" s="1"/>
  <c r="O83" i="18"/>
  <c r="O129" i="18" s="1"/>
  <c r="N83" i="18"/>
  <c r="N129" i="18" s="1"/>
  <c r="M83" i="18"/>
  <c r="M129" i="18" s="1"/>
  <c r="L83" i="18"/>
  <c r="L129" i="18" s="1"/>
  <c r="K83" i="18"/>
  <c r="K129" i="18" s="1"/>
  <c r="J83" i="18"/>
  <c r="J129" i="18" s="1"/>
  <c r="I83" i="18"/>
  <c r="I129" i="18" s="1"/>
  <c r="H83" i="18"/>
  <c r="H129" i="18" s="1"/>
  <c r="G83" i="18"/>
  <c r="G129" i="18" s="1"/>
  <c r="F83" i="18"/>
  <c r="F129" i="18" s="1"/>
  <c r="E83" i="18"/>
  <c r="E129" i="18" s="1"/>
  <c r="O82" i="18"/>
  <c r="O128" i="18" s="1"/>
  <c r="N82" i="18"/>
  <c r="N128" i="18" s="1"/>
  <c r="L82" i="18"/>
  <c r="L128" i="18" s="1"/>
  <c r="K82" i="18"/>
  <c r="K128" i="18" s="1"/>
  <c r="J82" i="18"/>
  <c r="J128" i="18" s="1"/>
  <c r="H82" i="18"/>
  <c r="H128" i="18" s="1"/>
  <c r="G82" i="18"/>
  <c r="G128" i="18" s="1"/>
  <c r="F82" i="18"/>
  <c r="F128" i="18" s="1"/>
  <c r="O79" i="18"/>
  <c r="O125" i="18" s="1"/>
  <c r="N79" i="18"/>
  <c r="N125" i="18" s="1"/>
  <c r="M79" i="18"/>
  <c r="M125" i="18" s="1"/>
  <c r="L79" i="18"/>
  <c r="L125" i="18" s="1"/>
  <c r="K79" i="18"/>
  <c r="K125" i="18" s="1"/>
  <c r="J79" i="18"/>
  <c r="J125" i="18" s="1"/>
  <c r="I79" i="18"/>
  <c r="I125" i="18" s="1"/>
  <c r="H79" i="18"/>
  <c r="H125" i="18" s="1"/>
  <c r="G79" i="18"/>
  <c r="G125" i="18" s="1"/>
  <c r="F79" i="18"/>
  <c r="F125" i="18" s="1"/>
  <c r="E79" i="18"/>
  <c r="E125" i="18" s="1"/>
  <c r="O78" i="18"/>
  <c r="O124" i="18" s="1"/>
  <c r="N78" i="18"/>
  <c r="N124" i="18" s="1"/>
  <c r="M78" i="18"/>
  <c r="M124" i="18" s="1"/>
  <c r="L78" i="18"/>
  <c r="L124" i="18" s="1"/>
  <c r="K78" i="18"/>
  <c r="K124" i="18" s="1"/>
  <c r="J78" i="18"/>
  <c r="J124" i="18" s="1"/>
  <c r="I78" i="18"/>
  <c r="I124" i="18" s="1"/>
  <c r="H78" i="18"/>
  <c r="H124" i="18" s="1"/>
  <c r="G78" i="18"/>
  <c r="G124" i="18" s="1"/>
  <c r="F78" i="18"/>
  <c r="F124" i="18" s="1"/>
  <c r="E78" i="18"/>
  <c r="E124" i="18" s="1"/>
  <c r="O77" i="18"/>
  <c r="O123" i="18" s="1"/>
  <c r="N77" i="18"/>
  <c r="N123" i="18" s="1"/>
  <c r="M77" i="18"/>
  <c r="M123" i="18" s="1"/>
  <c r="L77" i="18"/>
  <c r="L123" i="18" s="1"/>
  <c r="K77" i="18"/>
  <c r="K123" i="18" s="1"/>
  <c r="J77" i="18"/>
  <c r="J123" i="18" s="1"/>
  <c r="I77" i="18"/>
  <c r="I123" i="18" s="1"/>
  <c r="H77" i="18"/>
  <c r="H123" i="18" s="1"/>
  <c r="G77" i="18"/>
  <c r="G123" i="18" s="1"/>
  <c r="F77" i="18"/>
  <c r="F123" i="18" s="1"/>
  <c r="E77" i="18"/>
  <c r="E123" i="18" s="1"/>
  <c r="O76" i="18"/>
  <c r="N76" i="18"/>
  <c r="L76" i="18"/>
  <c r="K76" i="18"/>
  <c r="J76" i="18"/>
  <c r="H76" i="18"/>
  <c r="G76" i="18"/>
  <c r="F76" i="18"/>
  <c r="O75" i="18"/>
  <c r="O121" i="18" s="1"/>
  <c r="N75" i="18"/>
  <c r="N121" i="18" s="1"/>
  <c r="M75" i="18"/>
  <c r="M121" i="18" s="1"/>
  <c r="L75" i="18"/>
  <c r="L121" i="18" s="1"/>
  <c r="K75" i="18"/>
  <c r="K121" i="18" s="1"/>
  <c r="J75" i="18"/>
  <c r="J121" i="18" s="1"/>
  <c r="I75" i="18"/>
  <c r="I121" i="18" s="1"/>
  <c r="H75" i="18"/>
  <c r="H121" i="18" s="1"/>
  <c r="G75" i="18"/>
  <c r="G121" i="18" s="1"/>
  <c r="F75" i="18"/>
  <c r="F121" i="18" s="1"/>
  <c r="E75" i="18"/>
  <c r="E121" i="18" s="1"/>
  <c r="O73" i="18"/>
  <c r="O119" i="18" s="1"/>
  <c r="N73" i="18"/>
  <c r="N119" i="18" s="1"/>
  <c r="M73" i="18"/>
  <c r="M119" i="18" s="1"/>
  <c r="L73" i="18"/>
  <c r="L119" i="18" s="1"/>
  <c r="K73" i="18"/>
  <c r="K119" i="18" s="1"/>
  <c r="J73" i="18"/>
  <c r="J119" i="18" s="1"/>
  <c r="I73" i="18"/>
  <c r="I119" i="18" s="1"/>
  <c r="H73" i="18"/>
  <c r="H119" i="18" s="1"/>
  <c r="G73" i="18"/>
  <c r="G119" i="18" s="1"/>
  <c r="F73" i="18"/>
  <c r="F119" i="18" s="1"/>
  <c r="E73" i="18"/>
  <c r="E119" i="18" s="1"/>
  <c r="N72" i="18"/>
  <c r="M72" i="18"/>
  <c r="J72" i="18"/>
  <c r="J74" i="18" s="1"/>
  <c r="I72" i="18"/>
  <c r="I74" i="18" s="1"/>
  <c r="F72" i="18"/>
  <c r="E72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O34" i="18"/>
  <c r="N34" i="18"/>
  <c r="M34" i="18"/>
  <c r="L34" i="18"/>
  <c r="K34" i="18"/>
  <c r="J34" i="18"/>
  <c r="I34" i="18"/>
  <c r="H34" i="18"/>
  <c r="G34" i="18"/>
  <c r="F34" i="18"/>
  <c r="E34" i="18"/>
  <c r="O28" i="18"/>
  <c r="N28" i="18"/>
  <c r="M28" i="18"/>
  <c r="L28" i="18"/>
  <c r="K28" i="18"/>
  <c r="J28" i="18"/>
  <c r="I28" i="18"/>
  <c r="H28" i="18"/>
  <c r="G28" i="18"/>
  <c r="F28" i="18"/>
  <c r="E28" i="18"/>
  <c r="P173" i="17"/>
  <c r="Q173" i="17" s="1"/>
  <c r="P172" i="17"/>
  <c r="Q172" i="17" s="1"/>
  <c r="P171" i="17"/>
  <c r="Q171" i="17" s="1"/>
  <c r="P170" i="17"/>
  <c r="Q170" i="17" s="1"/>
  <c r="P169" i="17"/>
  <c r="Q169" i="17" s="1"/>
  <c r="P168" i="17"/>
  <c r="Q168" i="17" s="1"/>
  <c r="P167" i="17"/>
  <c r="Q167" i="17" s="1"/>
  <c r="P166" i="17"/>
  <c r="Q166" i="17" s="1"/>
  <c r="P165" i="17"/>
  <c r="Q165" i="17" s="1"/>
  <c r="P164" i="17"/>
  <c r="Q164" i="17" s="1"/>
  <c r="P163" i="17"/>
  <c r="Q163" i="17" s="1"/>
  <c r="P162" i="17"/>
  <c r="Q162" i="17" s="1"/>
  <c r="P161" i="17"/>
  <c r="Q161" i="17" s="1"/>
  <c r="P160" i="17"/>
  <c r="Q160" i="17" s="1"/>
  <c r="P159" i="17"/>
  <c r="Q159" i="17" s="1"/>
  <c r="P158" i="17"/>
  <c r="Q158" i="17" s="1"/>
  <c r="P157" i="17"/>
  <c r="Q157" i="17" s="1"/>
  <c r="P156" i="17"/>
  <c r="Q156" i="17" s="1"/>
  <c r="P155" i="17"/>
  <c r="Q155" i="17" s="1"/>
  <c r="P154" i="17"/>
  <c r="Q154" i="17" s="1"/>
  <c r="P153" i="17"/>
  <c r="Q153" i="17" s="1"/>
  <c r="P152" i="17"/>
  <c r="Q152" i="17" s="1"/>
  <c r="P151" i="17"/>
  <c r="Q151" i="17" s="1"/>
  <c r="P150" i="17"/>
  <c r="Q150" i="17" s="1"/>
  <c r="P149" i="17"/>
  <c r="Q149" i="17" s="1"/>
  <c r="P148" i="17"/>
  <c r="Q148" i="17" s="1"/>
  <c r="P147" i="17"/>
  <c r="Q147" i="17" s="1"/>
  <c r="P146" i="17"/>
  <c r="Q146" i="17" s="1"/>
  <c r="P145" i="17"/>
  <c r="Q145" i="17" s="1"/>
  <c r="P144" i="17"/>
  <c r="Q144" i="17" s="1"/>
  <c r="P143" i="17"/>
  <c r="Q143" i="17" s="1"/>
  <c r="P142" i="17"/>
  <c r="Q142" i="17" s="1"/>
  <c r="P141" i="17"/>
  <c r="Q141" i="17" s="1"/>
  <c r="O140" i="17"/>
  <c r="O184" i="17" s="1"/>
  <c r="N140" i="17"/>
  <c r="N184" i="17" s="1"/>
  <c r="M140" i="17"/>
  <c r="M184" i="17" s="1"/>
  <c r="L140" i="17"/>
  <c r="L184" i="17" s="1"/>
  <c r="K140" i="17"/>
  <c r="K184" i="17" s="1"/>
  <c r="J140" i="17"/>
  <c r="J184" i="17" s="1"/>
  <c r="I140" i="17"/>
  <c r="I184" i="17" s="1"/>
  <c r="H140" i="17"/>
  <c r="H184" i="17" s="1"/>
  <c r="G140" i="17"/>
  <c r="G184" i="17" s="1"/>
  <c r="F140" i="17"/>
  <c r="F184" i="17" s="1"/>
  <c r="E140" i="17"/>
  <c r="E184" i="17" s="1"/>
  <c r="D140" i="17"/>
  <c r="D184" i="17" s="1"/>
  <c r="P111" i="17"/>
  <c r="Q111" i="17" s="1"/>
  <c r="P106" i="17"/>
  <c r="Q106" i="17" s="1"/>
  <c r="P105" i="17"/>
  <c r="Q105" i="17" s="1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P102" i="17"/>
  <c r="Q102" i="17" s="1"/>
  <c r="P100" i="17"/>
  <c r="Q100" i="17" s="1"/>
  <c r="P98" i="17"/>
  <c r="Q98" i="17" s="1"/>
  <c r="O97" i="17"/>
  <c r="N97" i="17"/>
  <c r="M97" i="17"/>
  <c r="L97" i="17"/>
  <c r="K97" i="17"/>
  <c r="J97" i="17"/>
  <c r="I97" i="17"/>
  <c r="H97" i="17"/>
  <c r="G97" i="17"/>
  <c r="F97" i="17"/>
  <c r="E97" i="17"/>
  <c r="D97" i="17"/>
  <c r="P96" i="17"/>
  <c r="Q96" i="17" s="1"/>
  <c r="P95" i="17"/>
  <c r="Q95" i="17" s="1"/>
  <c r="O83" i="17"/>
  <c r="O129" i="17" s="1"/>
  <c r="N83" i="17"/>
  <c r="N129" i="17" s="1"/>
  <c r="M83" i="17"/>
  <c r="M129" i="17" s="1"/>
  <c r="L83" i="17"/>
  <c r="L129" i="17" s="1"/>
  <c r="K83" i="17"/>
  <c r="K129" i="17" s="1"/>
  <c r="J83" i="17"/>
  <c r="J129" i="17" s="1"/>
  <c r="I83" i="17"/>
  <c r="I129" i="17" s="1"/>
  <c r="H83" i="17"/>
  <c r="H129" i="17" s="1"/>
  <c r="G83" i="17"/>
  <c r="G129" i="17" s="1"/>
  <c r="F83" i="17"/>
  <c r="F129" i="17" s="1"/>
  <c r="E83" i="17"/>
  <c r="E129" i="17" s="1"/>
  <c r="O82" i="17"/>
  <c r="O128" i="17" s="1"/>
  <c r="N82" i="17"/>
  <c r="N128" i="17" s="1"/>
  <c r="M82" i="17"/>
  <c r="M128" i="17" s="1"/>
  <c r="L82" i="17"/>
  <c r="L128" i="17" s="1"/>
  <c r="K82" i="17"/>
  <c r="K128" i="17" s="1"/>
  <c r="J82" i="17"/>
  <c r="J128" i="17" s="1"/>
  <c r="I82" i="17"/>
  <c r="I128" i="17" s="1"/>
  <c r="H82" i="17"/>
  <c r="H128" i="17" s="1"/>
  <c r="G82" i="17"/>
  <c r="G128" i="17" s="1"/>
  <c r="F82" i="17"/>
  <c r="F128" i="17" s="1"/>
  <c r="E82" i="17"/>
  <c r="E128" i="17" s="1"/>
  <c r="O79" i="17"/>
  <c r="O125" i="17" s="1"/>
  <c r="N79" i="17"/>
  <c r="N125" i="17" s="1"/>
  <c r="M79" i="17"/>
  <c r="M125" i="17" s="1"/>
  <c r="L79" i="17"/>
  <c r="L125" i="17" s="1"/>
  <c r="K79" i="17"/>
  <c r="K125" i="17" s="1"/>
  <c r="J79" i="17"/>
  <c r="J125" i="17" s="1"/>
  <c r="I79" i="17"/>
  <c r="I125" i="17" s="1"/>
  <c r="H79" i="17"/>
  <c r="H125" i="17" s="1"/>
  <c r="G79" i="17"/>
  <c r="G125" i="17" s="1"/>
  <c r="F79" i="17"/>
  <c r="F125" i="17" s="1"/>
  <c r="E79" i="17"/>
  <c r="E125" i="17" s="1"/>
  <c r="O78" i="17"/>
  <c r="O124" i="17" s="1"/>
  <c r="N78" i="17"/>
  <c r="N124" i="17" s="1"/>
  <c r="M78" i="17"/>
  <c r="M124" i="17" s="1"/>
  <c r="L78" i="17"/>
  <c r="L124" i="17" s="1"/>
  <c r="K78" i="17"/>
  <c r="K124" i="17" s="1"/>
  <c r="J78" i="17"/>
  <c r="J124" i="17" s="1"/>
  <c r="I78" i="17"/>
  <c r="I124" i="17" s="1"/>
  <c r="H78" i="17"/>
  <c r="H124" i="17" s="1"/>
  <c r="G78" i="17"/>
  <c r="G124" i="17" s="1"/>
  <c r="F78" i="17"/>
  <c r="F124" i="17" s="1"/>
  <c r="E78" i="17"/>
  <c r="E124" i="17" s="1"/>
  <c r="O77" i="17"/>
  <c r="O123" i="17" s="1"/>
  <c r="N77" i="17"/>
  <c r="N123" i="17" s="1"/>
  <c r="M77" i="17"/>
  <c r="M123" i="17" s="1"/>
  <c r="L77" i="17"/>
  <c r="L123" i="17" s="1"/>
  <c r="K77" i="17"/>
  <c r="K123" i="17" s="1"/>
  <c r="J77" i="17"/>
  <c r="J123" i="17" s="1"/>
  <c r="I77" i="17"/>
  <c r="I123" i="17" s="1"/>
  <c r="H77" i="17"/>
  <c r="H123" i="17" s="1"/>
  <c r="G77" i="17"/>
  <c r="G123" i="17" s="1"/>
  <c r="F77" i="17"/>
  <c r="F123" i="17" s="1"/>
  <c r="E77" i="17"/>
  <c r="E123" i="17" s="1"/>
  <c r="O75" i="17"/>
  <c r="O121" i="17" s="1"/>
  <c r="N75" i="17"/>
  <c r="N121" i="17" s="1"/>
  <c r="M75" i="17"/>
  <c r="M121" i="17" s="1"/>
  <c r="L75" i="17"/>
  <c r="L121" i="17" s="1"/>
  <c r="K75" i="17"/>
  <c r="K121" i="17" s="1"/>
  <c r="J75" i="17"/>
  <c r="J121" i="17" s="1"/>
  <c r="I75" i="17"/>
  <c r="I121" i="17" s="1"/>
  <c r="H75" i="17"/>
  <c r="H121" i="17" s="1"/>
  <c r="G75" i="17"/>
  <c r="G121" i="17" s="1"/>
  <c r="F75" i="17"/>
  <c r="F121" i="17" s="1"/>
  <c r="E75" i="17"/>
  <c r="E121" i="17" s="1"/>
  <c r="O73" i="17"/>
  <c r="O119" i="17" s="1"/>
  <c r="N73" i="17"/>
  <c r="N119" i="17" s="1"/>
  <c r="M73" i="17"/>
  <c r="M119" i="17" s="1"/>
  <c r="L73" i="17"/>
  <c r="L119" i="17" s="1"/>
  <c r="K73" i="17"/>
  <c r="K119" i="17" s="1"/>
  <c r="J73" i="17"/>
  <c r="J119" i="17" s="1"/>
  <c r="I73" i="17"/>
  <c r="I119" i="17" s="1"/>
  <c r="H73" i="17"/>
  <c r="H119" i="17" s="1"/>
  <c r="G73" i="17"/>
  <c r="G119" i="17" s="1"/>
  <c r="F73" i="17"/>
  <c r="F119" i="17" s="1"/>
  <c r="E73" i="17"/>
  <c r="E119" i="17" s="1"/>
  <c r="N72" i="17"/>
  <c r="M72" i="17"/>
  <c r="J72" i="17"/>
  <c r="J74" i="17" s="1"/>
  <c r="I72" i="17"/>
  <c r="I74" i="17" s="1"/>
  <c r="F72" i="17"/>
  <c r="E72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P173" i="15"/>
  <c r="Q173" i="15" s="1"/>
  <c r="P172" i="15"/>
  <c r="Q172" i="15" s="1"/>
  <c r="P171" i="15"/>
  <c r="Q171" i="15" s="1"/>
  <c r="P170" i="15"/>
  <c r="Q170" i="15" s="1"/>
  <c r="P169" i="15"/>
  <c r="Q169" i="15" s="1"/>
  <c r="P168" i="15"/>
  <c r="Q168" i="15" s="1"/>
  <c r="P167" i="15"/>
  <c r="Q167" i="15" s="1"/>
  <c r="P166" i="15"/>
  <c r="Q166" i="15" s="1"/>
  <c r="P165" i="15"/>
  <c r="Q165" i="15" s="1"/>
  <c r="P164" i="15"/>
  <c r="Q164" i="15" s="1"/>
  <c r="P163" i="15"/>
  <c r="Q163" i="15" s="1"/>
  <c r="P162" i="15"/>
  <c r="Q162" i="15" s="1"/>
  <c r="P161" i="15"/>
  <c r="Q161" i="15" s="1"/>
  <c r="P160" i="15"/>
  <c r="Q160" i="15" s="1"/>
  <c r="P159" i="15"/>
  <c r="Q159" i="15" s="1"/>
  <c r="P158" i="15"/>
  <c r="Q158" i="15" s="1"/>
  <c r="P157" i="15"/>
  <c r="Q157" i="15" s="1"/>
  <c r="P156" i="15"/>
  <c r="Q156" i="15" s="1"/>
  <c r="P155" i="15"/>
  <c r="Q155" i="15" s="1"/>
  <c r="P154" i="15"/>
  <c r="Q154" i="15" s="1"/>
  <c r="P153" i="15"/>
  <c r="Q153" i="15" s="1"/>
  <c r="P152" i="15"/>
  <c r="Q152" i="15" s="1"/>
  <c r="P151" i="15"/>
  <c r="Q151" i="15" s="1"/>
  <c r="P150" i="15"/>
  <c r="Q150" i="15" s="1"/>
  <c r="P149" i="15"/>
  <c r="Q149" i="15" s="1"/>
  <c r="P148" i="15"/>
  <c r="Q148" i="15" s="1"/>
  <c r="P147" i="15"/>
  <c r="Q147" i="15" s="1"/>
  <c r="P146" i="15"/>
  <c r="Q146" i="15" s="1"/>
  <c r="P145" i="15"/>
  <c r="Q145" i="15" s="1"/>
  <c r="P144" i="15"/>
  <c r="Q144" i="15" s="1"/>
  <c r="P143" i="15"/>
  <c r="Q143" i="15" s="1"/>
  <c r="P142" i="15"/>
  <c r="Q142" i="15" s="1"/>
  <c r="O140" i="15"/>
  <c r="O184" i="15" s="1"/>
  <c r="N140" i="15"/>
  <c r="N184" i="15" s="1"/>
  <c r="M140" i="15"/>
  <c r="M184" i="15" s="1"/>
  <c r="L140" i="15"/>
  <c r="L184" i="15" s="1"/>
  <c r="K140" i="15"/>
  <c r="K184" i="15" s="1"/>
  <c r="J140" i="15"/>
  <c r="J184" i="15" s="1"/>
  <c r="I140" i="15"/>
  <c r="I184" i="15" s="1"/>
  <c r="H140" i="15"/>
  <c r="H184" i="15" s="1"/>
  <c r="G140" i="15"/>
  <c r="G184" i="15" s="1"/>
  <c r="F140" i="15"/>
  <c r="F184" i="15" s="1"/>
  <c r="E140" i="15"/>
  <c r="E184" i="15" s="1"/>
  <c r="D140" i="15"/>
  <c r="D184" i="15" s="1"/>
  <c r="Q111" i="15"/>
  <c r="P106" i="15"/>
  <c r="Q106" i="15" s="1"/>
  <c r="P105" i="15"/>
  <c r="Q105" i="15" s="1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P102" i="15"/>
  <c r="Q102" i="15" s="1"/>
  <c r="P100" i="15"/>
  <c r="Q100" i="15" s="1"/>
  <c r="P98" i="15"/>
  <c r="Q98" i="15" s="1"/>
  <c r="O97" i="15"/>
  <c r="N97" i="15"/>
  <c r="M97" i="15"/>
  <c r="L97" i="15"/>
  <c r="K97" i="15"/>
  <c r="J97" i="15"/>
  <c r="I97" i="15"/>
  <c r="H97" i="15"/>
  <c r="G97" i="15"/>
  <c r="F97" i="15"/>
  <c r="E97" i="15"/>
  <c r="P96" i="15"/>
  <c r="Q96" i="15" s="1"/>
  <c r="O83" i="15"/>
  <c r="O129" i="15" s="1"/>
  <c r="N83" i="15"/>
  <c r="N129" i="15" s="1"/>
  <c r="M83" i="15"/>
  <c r="M129" i="15" s="1"/>
  <c r="L83" i="15"/>
  <c r="L129" i="15" s="1"/>
  <c r="K83" i="15"/>
  <c r="K129" i="15" s="1"/>
  <c r="J83" i="15"/>
  <c r="J129" i="15" s="1"/>
  <c r="I83" i="15"/>
  <c r="I129" i="15" s="1"/>
  <c r="H83" i="15"/>
  <c r="H129" i="15" s="1"/>
  <c r="G83" i="15"/>
  <c r="G129" i="15" s="1"/>
  <c r="F83" i="15"/>
  <c r="F129" i="15" s="1"/>
  <c r="E83" i="15"/>
  <c r="E129" i="15" s="1"/>
  <c r="O82" i="15"/>
  <c r="O128" i="15" s="1"/>
  <c r="N82" i="15"/>
  <c r="N128" i="15" s="1"/>
  <c r="M82" i="15"/>
  <c r="M128" i="15" s="1"/>
  <c r="L82" i="15"/>
  <c r="L128" i="15" s="1"/>
  <c r="K82" i="15"/>
  <c r="K128" i="15" s="1"/>
  <c r="J82" i="15"/>
  <c r="J128" i="15" s="1"/>
  <c r="I82" i="15"/>
  <c r="I128" i="15" s="1"/>
  <c r="H82" i="15"/>
  <c r="H128" i="15" s="1"/>
  <c r="G82" i="15"/>
  <c r="G128" i="15" s="1"/>
  <c r="F82" i="15"/>
  <c r="F128" i="15" s="1"/>
  <c r="E82" i="15"/>
  <c r="E128" i="15" s="1"/>
  <c r="O79" i="15"/>
  <c r="O125" i="15" s="1"/>
  <c r="N79" i="15"/>
  <c r="N125" i="15" s="1"/>
  <c r="M79" i="15"/>
  <c r="M125" i="15" s="1"/>
  <c r="L79" i="15"/>
  <c r="L125" i="15" s="1"/>
  <c r="K79" i="15"/>
  <c r="K125" i="15" s="1"/>
  <c r="J79" i="15"/>
  <c r="J125" i="15" s="1"/>
  <c r="I79" i="15"/>
  <c r="I125" i="15" s="1"/>
  <c r="H79" i="15"/>
  <c r="H125" i="15" s="1"/>
  <c r="G79" i="15"/>
  <c r="G125" i="15" s="1"/>
  <c r="F79" i="15"/>
  <c r="F125" i="15" s="1"/>
  <c r="E79" i="15"/>
  <c r="E125" i="15" s="1"/>
  <c r="O78" i="15"/>
  <c r="O124" i="15" s="1"/>
  <c r="N78" i="15"/>
  <c r="N124" i="15" s="1"/>
  <c r="M78" i="15"/>
  <c r="M124" i="15" s="1"/>
  <c r="L78" i="15"/>
  <c r="L124" i="15" s="1"/>
  <c r="K78" i="15"/>
  <c r="K124" i="15" s="1"/>
  <c r="J78" i="15"/>
  <c r="J124" i="15" s="1"/>
  <c r="I78" i="15"/>
  <c r="I124" i="15" s="1"/>
  <c r="H78" i="15"/>
  <c r="H124" i="15" s="1"/>
  <c r="G78" i="15"/>
  <c r="G124" i="15" s="1"/>
  <c r="F78" i="15"/>
  <c r="F124" i="15" s="1"/>
  <c r="E78" i="15"/>
  <c r="E124" i="15" s="1"/>
  <c r="O77" i="15"/>
  <c r="O123" i="15" s="1"/>
  <c r="N77" i="15"/>
  <c r="N123" i="15" s="1"/>
  <c r="M77" i="15"/>
  <c r="M123" i="15" s="1"/>
  <c r="L77" i="15"/>
  <c r="L123" i="15" s="1"/>
  <c r="K77" i="15"/>
  <c r="K123" i="15" s="1"/>
  <c r="J77" i="15"/>
  <c r="J123" i="15" s="1"/>
  <c r="I77" i="15"/>
  <c r="I123" i="15" s="1"/>
  <c r="H77" i="15"/>
  <c r="H123" i="15" s="1"/>
  <c r="G77" i="15"/>
  <c r="G123" i="15" s="1"/>
  <c r="F77" i="15"/>
  <c r="F123" i="15" s="1"/>
  <c r="E77" i="15"/>
  <c r="E123" i="15" s="1"/>
  <c r="O75" i="15"/>
  <c r="O121" i="15" s="1"/>
  <c r="N75" i="15"/>
  <c r="N121" i="15" s="1"/>
  <c r="M75" i="15"/>
  <c r="M121" i="15" s="1"/>
  <c r="L75" i="15"/>
  <c r="L121" i="15" s="1"/>
  <c r="K75" i="15"/>
  <c r="K121" i="15" s="1"/>
  <c r="J75" i="15"/>
  <c r="J121" i="15" s="1"/>
  <c r="I75" i="15"/>
  <c r="I121" i="15" s="1"/>
  <c r="H75" i="15"/>
  <c r="H121" i="15" s="1"/>
  <c r="G75" i="15"/>
  <c r="G121" i="15" s="1"/>
  <c r="F75" i="15"/>
  <c r="F121" i="15" s="1"/>
  <c r="E75" i="15"/>
  <c r="E121" i="15" s="1"/>
  <c r="O73" i="15"/>
  <c r="O119" i="15" s="1"/>
  <c r="N73" i="15"/>
  <c r="N119" i="15" s="1"/>
  <c r="M73" i="15"/>
  <c r="M119" i="15" s="1"/>
  <c r="L73" i="15"/>
  <c r="L119" i="15" s="1"/>
  <c r="K73" i="15"/>
  <c r="K119" i="15" s="1"/>
  <c r="J73" i="15"/>
  <c r="J119" i="15" s="1"/>
  <c r="I73" i="15"/>
  <c r="I119" i="15" s="1"/>
  <c r="H73" i="15"/>
  <c r="H119" i="15" s="1"/>
  <c r="G73" i="15"/>
  <c r="G119" i="15" s="1"/>
  <c r="F73" i="15"/>
  <c r="F119" i="15" s="1"/>
  <c r="E73" i="15"/>
  <c r="E119" i="15" s="1"/>
  <c r="O72" i="15"/>
  <c r="N72" i="15"/>
  <c r="K72" i="15"/>
  <c r="J72" i="15"/>
  <c r="G72" i="15"/>
  <c r="F72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O28" i="15"/>
  <c r="N28" i="15"/>
  <c r="M28" i="15"/>
  <c r="L28" i="15"/>
  <c r="K28" i="15"/>
  <c r="J28" i="15"/>
  <c r="I28" i="15"/>
  <c r="H28" i="15"/>
  <c r="G28" i="15"/>
  <c r="F28" i="15"/>
  <c r="E28" i="15"/>
  <c r="P173" i="14"/>
  <c r="Q173" i="14" s="1"/>
  <c r="P172" i="14"/>
  <c r="Q172" i="14" s="1"/>
  <c r="P171" i="14"/>
  <c r="Q171" i="14" s="1"/>
  <c r="P170" i="14"/>
  <c r="Q170" i="14" s="1"/>
  <c r="P169" i="14"/>
  <c r="Q169" i="14" s="1"/>
  <c r="P168" i="14"/>
  <c r="Q168" i="14" s="1"/>
  <c r="P167" i="14"/>
  <c r="Q167" i="14" s="1"/>
  <c r="P166" i="14"/>
  <c r="Q166" i="14" s="1"/>
  <c r="P165" i="14"/>
  <c r="Q165" i="14" s="1"/>
  <c r="P164" i="14"/>
  <c r="Q164" i="14" s="1"/>
  <c r="P163" i="14"/>
  <c r="Q163" i="14" s="1"/>
  <c r="P162" i="14"/>
  <c r="Q162" i="14" s="1"/>
  <c r="P161" i="14"/>
  <c r="Q161" i="14" s="1"/>
  <c r="P160" i="14"/>
  <c r="Q160" i="14" s="1"/>
  <c r="P159" i="14"/>
  <c r="Q159" i="14" s="1"/>
  <c r="P158" i="14"/>
  <c r="Q158" i="14" s="1"/>
  <c r="P157" i="14"/>
  <c r="Q157" i="14" s="1"/>
  <c r="P156" i="14"/>
  <c r="Q156" i="14" s="1"/>
  <c r="P155" i="14"/>
  <c r="Q155" i="14" s="1"/>
  <c r="P154" i="14"/>
  <c r="Q154" i="14" s="1"/>
  <c r="P153" i="14"/>
  <c r="Q153" i="14" s="1"/>
  <c r="P152" i="14"/>
  <c r="Q152" i="14" s="1"/>
  <c r="P151" i="14"/>
  <c r="Q151" i="14" s="1"/>
  <c r="P150" i="14"/>
  <c r="Q150" i="14" s="1"/>
  <c r="P149" i="14"/>
  <c r="Q149" i="14" s="1"/>
  <c r="P148" i="14"/>
  <c r="Q148" i="14" s="1"/>
  <c r="P147" i="14"/>
  <c r="Q147" i="14" s="1"/>
  <c r="P146" i="14"/>
  <c r="Q146" i="14" s="1"/>
  <c r="P145" i="14"/>
  <c r="Q145" i="14" s="1"/>
  <c r="P144" i="14"/>
  <c r="Q144" i="14" s="1"/>
  <c r="P143" i="14"/>
  <c r="Q143" i="14" s="1"/>
  <c r="P142" i="14"/>
  <c r="Q142" i="14" s="1"/>
  <c r="P141" i="14"/>
  <c r="Q141" i="14" s="1"/>
  <c r="O140" i="14"/>
  <c r="O184" i="14" s="1"/>
  <c r="N140" i="14"/>
  <c r="N184" i="14" s="1"/>
  <c r="M140" i="14"/>
  <c r="M184" i="14" s="1"/>
  <c r="L140" i="14"/>
  <c r="L184" i="14" s="1"/>
  <c r="K140" i="14"/>
  <c r="K184" i="14" s="1"/>
  <c r="J140" i="14"/>
  <c r="J184" i="14" s="1"/>
  <c r="I140" i="14"/>
  <c r="I184" i="14" s="1"/>
  <c r="H140" i="14"/>
  <c r="H184" i="14" s="1"/>
  <c r="G140" i="14"/>
  <c r="G184" i="14" s="1"/>
  <c r="F140" i="14"/>
  <c r="F184" i="14" s="1"/>
  <c r="E140" i="14"/>
  <c r="E184" i="14" s="1"/>
  <c r="D140" i="14"/>
  <c r="D184" i="14" s="1"/>
  <c r="P111" i="14"/>
  <c r="Q111" i="14" s="1"/>
  <c r="P106" i="14"/>
  <c r="Q106" i="14" s="1"/>
  <c r="P105" i="14"/>
  <c r="Q105" i="14" s="1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P102" i="14"/>
  <c r="Q102" i="14" s="1"/>
  <c r="P101" i="14"/>
  <c r="Q101" i="14" s="1"/>
  <c r="P100" i="14"/>
  <c r="Q100" i="14" s="1"/>
  <c r="P98" i="14"/>
  <c r="Q98" i="14" s="1"/>
  <c r="O97" i="14"/>
  <c r="O94" i="14" s="1"/>
  <c r="N97" i="14"/>
  <c r="N94" i="14" s="1"/>
  <c r="M97" i="14"/>
  <c r="M94" i="14" s="1"/>
  <c r="L97" i="14"/>
  <c r="L94" i="14" s="1"/>
  <c r="K97" i="14"/>
  <c r="K94" i="14" s="1"/>
  <c r="J97" i="14"/>
  <c r="J94" i="14" s="1"/>
  <c r="I97" i="14"/>
  <c r="I94" i="14" s="1"/>
  <c r="H97" i="14"/>
  <c r="H94" i="14" s="1"/>
  <c r="G97" i="14"/>
  <c r="G94" i="14" s="1"/>
  <c r="F97" i="14"/>
  <c r="F94" i="14" s="1"/>
  <c r="E97" i="14"/>
  <c r="E94" i="14" s="1"/>
  <c r="P96" i="14"/>
  <c r="Q96" i="14" s="1"/>
  <c r="O83" i="14"/>
  <c r="O129" i="14" s="1"/>
  <c r="N83" i="14"/>
  <c r="N129" i="14" s="1"/>
  <c r="M83" i="14"/>
  <c r="M129" i="14" s="1"/>
  <c r="L83" i="14"/>
  <c r="L129" i="14" s="1"/>
  <c r="K83" i="14"/>
  <c r="K129" i="14" s="1"/>
  <c r="J83" i="14"/>
  <c r="J129" i="14" s="1"/>
  <c r="I83" i="14"/>
  <c r="I129" i="14" s="1"/>
  <c r="H83" i="14"/>
  <c r="H129" i="14" s="1"/>
  <c r="G83" i="14"/>
  <c r="G129" i="14" s="1"/>
  <c r="F83" i="14"/>
  <c r="F129" i="14" s="1"/>
  <c r="E83" i="14"/>
  <c r="E129" i="14" s="1"/>
  <c r="O82" i="14"/>
  <c r="O128" i="14" s="1"/>
  <c r="N82" i="14"/>
  <c r="N128" i="14" s="1"/>
  <c r="M82" i="14"/>
  <c r="M128" i="14" s="1"/>
  <c r="L82" i="14"/>
  <c r="L128" i="14" s="1"/>
  <c r="K82" i="14"/>
  <c r="K128" i="14" s="1"/>
  <c r="J82" i="14"/>
  <c r="J128" i="14" s="1"/>
  <c r="I82" i="14"/>
  <c r="I128" i="14" s="1"/>
  <c r="H82" i="14"/>
  <c r="H128" i="14" s="1"/>
  <c r="G82" i="14"/>
  <c r="G128" i="14" s="1"/>
  <c r="F82" i="14"/>
  <c r="F128" i="14" s="1"/>
  <c r="E82" i="14"/>
  <c r="E128" i="14" s="1"/>
  <c r="O79" i="14"/>
  <c r="O125" i="14" s="1"/>
  <c r="N79" i="14"/>
  <c r="N125" i="14" s="1"/>
  <c r="M79" i="14"/>
  <c r="M125" i="14" s="1"/>
  <c r="L79" i="14"/>
  <c r="L125" i="14" s="1"/>
  <c r="K79" i="14"/>
  <c r="K125" i="14" s="1"/>
  <c r="J79" i="14"/>
  <c r="J125" i="14" s="1"/>
  <c r="I79" i="14"/>
  <c r="I125" i="14" s="1"/>
  <c r="H79" i="14"/>
  <c r="H125" i="14" s="1"/>
  <c r="G79" i="14"/>
  <c r="G125" i="14" s="1"/>
  <c r="F79" i="14"/>
  <c r="F125" i="14" s="1"/>
  <c r="E79" i="14"/>
  <c r="E125" i="14" s="1"/>
  <c r="O78" i="14"/>
  <c r="O124" i="14" s="1"/>
  <c r="N78" i="14"/>
  <c r="N124" i="14" s="1"/>
  <c r="M78" i="14"/>
  <c r="M124" i="14" s="1"/>
  <c r="L78" i="14"/>
  <c r="L124" i="14" s="1"/>
  <c r="K78" i="14"/>
  <c r="K124" i="14" s="1"/>
  <c r="J78" i="14"/>
  <c r="J124" i="14" s="1"/>
  <c r="I78" i="14"/>
  <c r="I124" i="14" s="1"/>
  <c r="H78" i="14"/>
  <c r="H124" i="14" s="1"/>
  <c r="G78" i="14"/>
  <c r="G124" i="14" s="1"/>
  <c r="F78" i="14"/>
  <c r="F124" i="14" s="1"/>
  <c r="E78" i="14"/>
  <c r="E124" i="14" s="1"/>
  <c r="O77" i="14"/>
  <c r="O123" i="14" s="1"/>
  <c r="N77" i="14"/>
  <c r="N123" i="14" s="1"/>
  <c r="M77" i="14"/>
  <c r="M123" i="14" s="1"/>
  <c r="L77" i="14"/>
  <c r="L123" i="14" s="1"/>
  <c r="K77" i="14"/>
  <c r="K123" i="14" s="1"/>
  <c r="J77" i="14"/>
  <c r="J123" i="14" s="1"/>
  <c r="I77" i="14"/>
  <c r="I123" i="14" s="1"/>
  <c r="H77" i="14"/>
  <c r="H123" i="14" s="1"/>
  <c r="G77" i="14"/>
  <c r="G123" i="14" s="1"/>
  <c r="F77" i="14"/>
  <c r="F123" i="14" s="1"/>
  <c r="E77" i="14"/>
  <c r="E123" i="14" s="1"/>
  <c r="O76" i="14"/>
  <c r="N76" i="14"/>
  <c r="M76" i="14"/>
  <c r="L76" i="14"/>
  <c r="K76" i="14"/>
  <c r="J76" i="14"/>
  <c r="I76" i="14"/>
  <c r="H76" i="14"/>
  <c r="G76" i="14"/>
  <c r="F76" i="14"/>
  <c r="E76" i="14"/>
  <c r="O75" i="14"/>
  <c r="O121" i="14" s="1"/>
  <c r="N75" i="14"/>
  <c r="N121" i="14" s="1"/>
  <c r="M75" i="14"/>
  <c r="M121" i="14" s="1"/>
  <c r="L75" i="14"/>
  <c r="L121" i="14" s="1"/>
  <c r="K75" i="14"/>
  <c r="K121" i="14" s="1"/>
  <c r="J75" i="14"/>
  <c r="J121" i="14" s="1"/>
  <c r="I75" i="14"/>
  <c r="I121" i="14" s="1"/>
  <c r="H75" i="14"/>
  <c r="H121" i="14" s="1"/>
  <c r="G75" i="14"/>
  <c r="G121" i="14" s="1"/>
  <c r="F75" i="14"/>
  <c r="F121" i="14" s="1"/>
  <c r="E75" i="14"/>
  <c r="E121" i="14" s="1"/>
  <c r="O73" i="14"/>
  <c r="O119" i="14" s="1"/>
  <c r="N73" i="14"/>
  <c r="N119" i="14" s="1"/>
  <c r="K73" i="14"/>
  <c r="K119" i="14" s="1"/>
  <c r="J73" i="14"/>
  <c r="J119" i="14" s="1"/>
  <c r="G73" i="14"/>
  <c r="G119" i="14" s="1"/>
  <c r="F73" i="14"/>
  <c r="F119" i="14" s="1"/>
  <c r="O72" i="14"/>
  <c r="N72" i="14"/>
  <c r="M72" i="14"/>
  <c r="L72" i="14"/>
  <c r="K72" i="14"/>
  <c r="K74" i="14" s="1"/>
  <c r="J72" i="14"/>
  <c r="J74" i="14" s="1"/>
  <c r="I72" i="14"/>
  <c r="H72" i="14"/>
  <c r="G72" i="14"/>
  <c r="F72" i="14"/>
  <c r="E72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O34" i="14"/>
  <c r="N34" i="14"/>
  <c r="M34" i="14"/>
  <c r="L34" i="14"/>
  <c r="K34" i="14"/>
  <c r="J34" i="14"/>
  <c r="I34" i="14"/>
  <c r="H34" i="14"/>
  <c r="G34" i="14"/>
  <c r="F34" i="14"/>
  <c r="E34" i="14"/>
  <c r="O28" i="14"/>
  <c r="N28" i="14"/>
  <c r="M28" i="14"/>
  <c r="L28" i="14"/>
  <c r="K28" i="14"/>
  <c r="J28" i="14"/>
  <c r="I28" i="14"/>
  <c r="H28" i="14"/>
  <c r="G28" i="14"/>
  <c r="F28" i="14"/>
  <c r="E28" i="14"/>
  <c r="P173" i="13"/>
  <c r="Q173" i="13" s="1"/>
  <c r="P172" i="13"/>
  <c r="Q172" i="13" s="1"/>
  <c r="P171" i="13"/>
  <c r="Q171" i="13" s="1"/>
  <c r="P170" i="13"/>
  <c r="Q170" i="13" s="1"/>
  <c r="P169" i="13"/>
  <c r="Q169" i="13" s="1"/>
  <c r="P168" i="13"/>
  <c r="Q168" i="13" s="1"/>
  <c r="P167" i="13"/>
  <c r="Q167" i="13" s="1"/>
  <c r="P166" i="13"/>
  <c r="Q166" i="13" s="1"/>
  <c r="P165" i="13"/>
  <c r="Q165" i="13" s="1"/>
  <c r="P164" i="13"/>
  <c r="Q164" i="13" s="1"/>
  <c r="P163" i="13"/>
  <c r="Q163" i="13" s="1"/>
  <c r="P162" i="13"/>
  <c r="Q162" i="13" s="1"/>
  <c r="P161" i="13"/>
  <c r="Q161" i="13" s="1"/>
  <c r="P160" i="13"/>
  <c r="Q160" i="13" s="1"/>
  <c r="P159" i="13"/>
  <c r="Q159" i="13" s="1"/>
  <c r="P158" i="13"/>
  <c r="Q158" i="13" s="1"/>
  <c r="P157" i="13"/>
  <c r="Q157" i="13" s="1"/>
  <c r="P156" i="13"/>
  <c r="Q156" i="13" s="1"/>
  <c r="P155" i="13"/>
  <c r="Q155" i="13" s="1"/>
  <c r="P154" i="13"/>
  <c r="Q154" i="13" s="1"/>
  <c r="P153" i="13"/>
  <c r="Q153" i="13" s="1"/>
  <c r="P152" i="13"/>
  <c r="Q152" i="13" s="1"/>
  <c r="P151" i="13"/>
  <c r="Q151" i="13" s="1"/>
  <c r="P150" i="13"/>
  <c r="Q150" i="13" s="1"/>
  <c r="P149" i="13"/>
  <c r="Q149" i="13" s="1"/>
  <c r="P148" i="13"/>
  <c r="Q148" i="13" s="1"/>
  <c r="P147" i="13"/>
  <c r="Q147" i="13" s="1"/>
  <c r="P146" i="13"/>
  <c r="Q146" i="13" s="1"/>
  <c r="P145" i="13"/>
  <c r="Q145" i="13" s="1"/>
  <c r="P144" i="13"/>
  <c r="Q144" i="13" s="1"/>
  <c r="P143" i="13"/>
  <c r="Q143" i="13" s="1"/>
  <c r="P142" i="13"/>
  <c r="Q142" i="13" s="1"/>
  <c r="P141" i="13"/>
  <c r="Q141" i="13" s="1"/>
  <c r="O140" i="13"/>
  <c r="O184" i="13" s="1"/>
  <c r="N140" i="13"/>
  <c r="N184" i="13" s="1"/>
  <c r="M140" i="13"/>
  <c r="M184" i="13" s="1"/>
  <c r="L140" i="13"/>
  <c r="L184" i="13" s="1"/>
  <c r="K140" i="13"/>
  <c r="K184" i="13" s="1"/>
  <c r="J140" i="13"/>
  <c r="J184" i="13" s="1"/>
  <c r="I140" i="13"/>
  <c r="I184" i="13" s="1"/>
  <c r="H140" i="13"/>
  <c r="H184" i="13" s="1"/>
  <c r="G140" i="13"/>
  <c r="G184" i="13" s="1"/>
  <c r="F140" i="13"/>
  <c r="F184" i="13" s="1"/>
  <c r="E140" i="13"/>
  <c r="E184" i="13" s="1"/>
  <c r="D140" i="13"/>
  <c r="D184" i="13" s="1"/>
  <c r="P111" i="13"/>
  <c r="Q111" i="13" s="1"/>
  <c r="P106" i="13"/>
  <c r="Q106" i="13" s="1"/>
  <c r="P105" i="13"/>
  <c r="Q105" i="13" s="1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P102" i="13"/>
  <c r="Q102" i="13" s="1"/>
  <c r="P101" i="13"/>
  <c r="Q101" i="13" s="1"/>
  <c r="P100" i="13"/>
  <c r="Q100" i="13" s="1"/>
  <c r="P98" i="13"/>
  <c r="Q98" i="13" s="1"/>
  <c r="O97" i="13"/>
  <c r="N97" i="13"/>
  <c r="M97" i="13"/>
  <c r="M94" i="13" s="1"/>
  <c r="L97" i="13"/>
  <c r="K97" i="13"/>
  <c r="J97" i="13"/>
  <c r="J94" i="13" s="1"/>
  <c r="I97" i="13"/>
  <c r="I94" i="13" s="1"/>
  <c r="H97" i="13"/>
  <c r="G97" i="13"/>
  <c r="F97" i="13"/>
  <c r="F94" i="13" s="1"/>
  <c r="E97" i="13"/>
  <c r="E94" i="13" s="1"/>
  <c r="P96" i="13"/>
  <c r="Q96" i="13" s="1"/>
  <c r="M84" i="13"/>
  <c r="E84" i="13"/>
  <c r="O83" i="13"/>
  <c r="O129" i="13" s="1"/>
  <c r="N83" i="13"/>
  <c r="N129" i="13" s="1"/>
  <c r="M83" i="13"/>
  <c r="M129" i="13" s="1"/>
  <c r="L83" i="13"/>
  <c r="L129" i="13" s="1"/>
  <c r="K83" i="13"/>
  <c r="K129" i="13" s="1"/>
  <c r="J83" i="13"/>
  <c r="J129" i="13" s="1"/>
  <c r="I83" i="13"/>
  <c r="I129" i="13" s="1"/>
  <c r="H83" i="13"/>
  <c r="H129" i="13" s="1"/>
  <c r="G83" i="13"/>
  <c r="G129" i="13" s="1"/>
  <c r="F83" i="13"/>
  <c r="F129" i="13" s="1"/>
  <c r="E83" i="13"/>
  <c r="E129" i="13" s="1"/>
  <c r="O82" i="13"/>
  <c r="O128" i="13" s="1"/>
  <c r="N82" i="13"/>
  <c r="N128" i="13" s="1"/>
  <c r="M82" i="13"/>
  <c r="M128" i="13" s="1"/>
  <c r="K82" i="13"/>
  <c r="K128" i="13" s="1"/>
  <c r="J82" i="13"/>
  <c r="J128" i="13" s="1"/>
  <c r="I82" i="13"/>
  <c r="I128" i="13" s="1"/>
  <c r="G82" i="13"/>
  <c r="G128" i="13" s="1"/>
  <c r="F82" i="13"/>
  <c r="F128" i="13" s="1"/>
  <c r="E82" i="13"/>
  <c r="E128" i="13" s="1"/>
  <c r="O79" i="13"/>
  <c r="O125" i="13" s="1"/>
  <c r="N79" i="13"/>
  <c r="N125" i="13" s="1"/>
  <c r="M79" i="13"/>
  <c r="M125" i="13" s="1"/>
  <c r="L79" i="13"/>
  <c r="L125" i="13" s="1"/>
  <c r="K79" i="13"/>
  <c r="K125" i="13" s="1"/>
  <c r="J79" i="13"/>
  <c r="J125" i="13" s="1"/>
  <c r="I79" i="13"/>
  <c r="I125" i="13" s="1"/>
  <c r="H79" i="13"/>
  <c r="H125" i="13" s="1"/>
  <c r="G79" i="13"/>
  <c r="G125" i="13" s="1"/>
  <c r="F79" i="13"/>
  <c r="F125" i="13" s="1"/>
  <c r="E79" i="13"/>
  <c r="E125" i="13" s="1"/>
  <c r="O78" i="13"/>
  <c r="O124" i="13" s="1"/>
  <c r="N78" i="13"/>
  <c r="N124" i="13" s="1"/>
  <c r="M78" i="13"/>
  <c r="M124" i="13" s="1"/>
  <c r="L78" i="13"/>
  <c r="L124" i="13" s="1"/>
  <c r="K78" i="13"/>
  <c r="K124" i="13" s="1"/>
  <c r="J78" i="13"/>
  <c r="J124" i="13" s="1"/>
  <c r="I78" i="13"/>
  <c r="I124" i="13" s="1"/>
  <c r="H78" i="13"/>
  <c r="H124" i="13" s="1"/>
  <c r="G78" i="13"/>
  <c r="G124" i="13" s="1"/>
  <c r="F78" i="13"/>
  <c r="F124" i="13" s="1"/>
  <c r="E78" i="13"/>
  <c r="E124" i="13" s="1"/>
  <c r="O77" i="13"/>
  <c r="O123" i="13" s="1"/>
  <c r="N77" i="13"/>
  <c r="N123" i="13" s="1"/>
  <c r="M77" i="13"/>
  <c r="M123" i="13" s="1"/>
  <c r="L77" i="13"/>
  <c r="L123" i="13" s="1"/>
  <c r="K77" i="13"/>
  <c r="K123" i="13" s="1"/>
  <c r="J77" i="13"/>
  <c r="J123" i="13" s="1"/>
  <c r="I77" i="13"/>
  <c r="I123" i="13" s="1"/>
  <c r="H77" i="13"/>
  <c r="H123" i="13" s="1"/>
  <c r="G77" i="13"/>
  <c r="G123" i="13" s="1"/>
  <c r="E77" i="13"/>
  <c r="E123" i="13" s="1"/>
  <c r="O76" i="13"/>
  <c r="N76" i="13"/>
  <c r="M76" i="13"/>
  <c r="K76" i="13"/>
  <c r="J76" i="13"/>
  <c r="I76" i="13"/>
  <c r="G76" i="13"/>
  <c r="F76" i="13"/>
  <c r="E76" i="13"/>
  <c r="O75" i="13"/>
  <c r="O121" i="13" s="1"/>
  <c r="N75" i="13"/>
  <c r="N121" i="13" s="1"/>
  <c r="M75" i="13"/>
  <c r="M121" i="13" s="1"/>
  <c r="L75" i="13"/>
  <c r="L121" i="13" s="1"/>
  <c r="K75" i="13"/>
  <c r="K121" i="13" s="1"/>
  <c r="J75" i="13"/>
  <c r="J121" i="13" s="1"/>
  <c r="I75" i="13"/>
  <c r="I121" i="13" s="1"/>
  <c r="H75" i="13"/>
  <c r="H121" i="13" s="1"/>
  <c r="G75" i="13"/>
  <c r="G121" i="13" s="1"/>
  <c r="F75" i="13"/>
  <c r="F121" i="13" s="1"/>
  <c r="E75" i="13"/>
  <c r="E121" i="13" s="1"/>
  <c r="O73" i="13"/>
  <c r="O119" i="13" s="1"/>
  <c r="N73" i="13"/>
  <c r="N119" i="13" s="1"/>
  <c r="M73" i="13"/>
  <c r="M119" i="13" s="1"/>
  <c r="L73" i="13"/>
  <c r="L119" i="13" s="1"/>
  <c r="K73" i="13"/>
  <c r="K119" i="13" s="1"/>
  <c r="J73" i="13"/>
  <c r="J119" i="13" s="1"/>
  <c r="I73" i="13"/>
  <c r="I119" i="13" s="1"/>
  <c r="H73" i="13"/>
  <c r="H119" i="13" s="1"/>
  <c r="G73" i="13"/>
  <c r="G119" i="13" s="1"/>
  <c r="F73" i="13"/>
  <c r="F119" i="13" s="1"/>
  <c r="E73" i="13"/>
  <c r="E119" i="13" s="1"/>
  <c r="M72" i="13"/>
  <c r="L72" i="13"/>
  <c r="I72" i="13"/>
  <c r="H72" i="13"/>
  <c r="E72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O34" i="13"/>
  <c r="N34" i="13"/>
  <c r="M34" i="13"/>
  <c r="L34" i="13"/>
  <c r="K34" i="13"/>
  <c r="J34" i="13"/>
  <c r="I34" i="13"/>
  <c r="H34" i="13"/>
  <c r="G34" i="13"/>
  <c r="F34" i="13"/>
  <c r="E34" i="13"/>
  <c r="O28" i="13"/>
  <c r="N28" i="13"/>
  <c r="M28" i="13"/>
  <c r="L28" i="13"/>
  <c r="K28" i="13"/>
  <c r="J28" i="13"/>
  <c r="I28" i="13"/>
  <c r="H28" i="13"/>
  <c r="G28" i="13"/>
  <c r="F28" i="13"/>
  <c r="E28" i="13"/>
  <c r="P173" i="12"/>
  <c r="Q173" i="12" s="1"/>
  <c r="P172" i="12"/>
  <c r="Q172" i="12" s="1"/>
  <c r="P171" i="12"/>
  <c r="Q171" i="12" s="1"/>
  <c r="P170" i="12"/>
  <c r="Q170" i="12" s="1"/>
  <c r="P169" i="12"/>
  <c r="Q169" i="12" s="1"/>
  <c r="P168" i="12"/>
  <c r="Q168" i="12" s="1"/>
  <c r="P167" i="12"/>
  <c r="Q167" i="12" s="1"/>
  <c r="P166" i="12"/>
  <c r="Q166" i="12" s="1"/>
  <c r="P165" i="12"/>
  <c r="Q165" i="12" s="1"/>
  <c r="P164" i="12"/>
  <c r="Q164" i="12" s="1"/>
  <c r="P163" i="12"/>
  <c r="Q163" i="12" s="1"/>
  <c r="P162" i="12"/>
  <c r="Q162" i="12" s="1"/>
  <c r="P161" i="12"/>
  <c r="Q161" i="12" s="1"/>
  <c r="P160" i="12"/>
  <c r="Q160" i="12" s="1"/>
  <c r="P159" i="12"/>
  <c r="Q159" i="12" s="1"/>
  <c r="P158" i="12"/>
  <c r="Q158" i="12" s="1"/>
  <c r="P157" i="12"/>
  <c r="Q157" i="12" s="1"/>
  <c r="P156" i="12"/>
  <c r="Q156" i="12" s="1"/>
  <c r="P155" i="12"/>
  <c r="Q155" i="12" s="1"/>
  <c r="P154" i="12"/>
  <c r="Q154" i="12" s="1"/>
  <c r="P153" i="12"/>
  <c r="Q153" i="12" s="1"/>
  <c r="P152" i="12"/>
  <c r="Q152" i="12" s="1"/>
  <c r="P151" i="12"/>
  <c r="Q151" i="12" s="1"/>
  <c r="P150" i="12"/>
  <c r="Q150" i="12" s="1"/>
  <c r="P149" i="12"/>
  <c r="Q149" i="12" s="1"/>
  <c r="P148" i="12"/>
  <c r="Q148" i="12" s="1"/>
  <c r="P147" i="12"/>
  <c r="Q147" i="12" s="1"/>
  <c r="P146" i="12"/>
  <c r="Q146" i="12" s="1"/>
  <c r="P145" i="12"/>
  <c r="Q145" i="12" s="1"/>
  <c r="P144" i="12"/>
  <c r="Q144" i="12" s="1"/>
  <c r="P143" i="12"/>
  <c r="Q143" i="12" s="1"/>
  <c r="P142" i="12"/>
  <c r="Q142" i="12" s="1"/>
  <c r="P141" i="12"/>
  <c r="Q141" i="12" s="1"/>
  <c r="O140" i="12"/>
  <c r="O184" i="12" s="1"/>
  <c r="N140" i="12"/>
  <c r="N184" i="12" s="1"/>
  <c r="M140" i="12"/>
  <c r="M184" i="12" s="1"/>
  <c r="L140" i="12"/>
  <c r="L184" i="12" s="1"/>
  <c r="K140" i="12"/>
  <c r="K184" i="12" s="1"/>
  <c r="J140" i="12"/>
  <c r="J184" i="12" s="1"/>
  <c r="I140" i="12"/>
  <c r="I184" i="12" s="1"/>
  <c r="H140" i="12"/>
  <c r="H184" i="12" s="1"/>
  <c r="G140" i="12"/>
  <c r="G184" i="12" s="1"/>
  <c r="F140" i="12"/>
  <c r="F184" i="12" s="1"/>
  <c r="E140" i="12"/>
  <c r="E184" i="12" s="1"/>
  <c r="D140" i="12"/>
  <c r="D184" i="12" s="1"/>
  <c r="P111" i="12"/>
  <c r="Q111" i="12" s="1"/>
  <c r="P106" i="12"/>
  <c r="Q106" i="12" s="1"/>
  <c r="P105" i="12"/>
  <c r="Q105" i="12" s="1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P102" i="12"/>
  <c r="Q102" i="12" s="1"/>
  <c r="P101" i="12"/>
  <c r="Q101" i="12" s="1"/>
  <c r="P100" i="12"/>
  <c r="Q100" i="12" s="1"/>
  <c r="P98" i="12"/>
  <c r="Q98" i="12" s="1"/>
  <c r="O97" i="12"/>
  <c r="N97" i="12"/>
  <c r="M97" i="12"/>
  <c r="L97" i="12"/>
  <c r="K97" i="12"/>
  <c r="J97" i="12"/>
  <c r="I97" i="12"/>
  <c r="H97" i="12"/>
  <c r="G97" i="12"/>
  <c r="F97" i="12"/>
  <c r="E97" i="12"/>
  <c r="D97" i="12"/>
  <c r="P96" i="12"/>
  <c r="Q96" i="12" s="1"/>
  <c r="P95" i="12"/>
  <c r="Q95" i="12" s="1"/>
  <c r="O84" i="12"/>
  <c r="G84" i="12"/>
  <c r="O83" i="12"/>
  <c r="O129" i="12" s="1"/>
  <c r="N83" i="12"/>
  <c r="N129" i="12" s="1"/>
  <c r="M83" i="12"/>
  <c r="M129" i="12" s="1"/>
  <c r="L83" i="12"/>
  <c r="L129" i="12" s="1"/>
  <c r="K83" i="12"/>
  <c r="K129" i="12" s="1"/>
  <c r="J83" i="12"/>
  <c r="J129" i="12" s="1"/>
  <c r="I83" i="12"/>
  <c r="I129" i="12" s="1"/>
  <c r="H83" i="12"/>
  <c r="H129" i="12" s="1"/>
  <c r="G83" i="12"/>
  <c r="G129" i="12" s="1"/>
  <c r="F83" i="12"/>
  <c r="F129" i="12" s="1"/>
  <c r="E83" i="12"/>
  <c r="E129" i="12" s="1"/>
  <c r="O82" i="12"/>
  <c r="O128" i="12" s="1"/>
  <c r="N82" i="12"/>
  <c r="N128" i="12" s="1"/>
  <c r="M82" i="12"/>
  <c r="M128" i="12" s="1"/>
  <c r="L82" i="12"/>
  <c r="L128" i="12" s="1"/>
  <c r="K82" i="12"/>
  <c r="K128" i="12" s="1"/>
  <c r="J82" i="12"/>
  <c r="J128" i="12" s="1"/>
  <c r="I82" i="12"/>
  <c r="I128" i="12" s="1"/>
  <c r="H82" i="12"/>
  <c r="H128" i="12" s="1"/>
  <c r="G82" i="12"/>
  <c r="G128" i="12" s="1"/>
  <c r="F82" i="12"/>
  <c r="F128" i="12" s="1"/>
  <c r="E82" i="12"/>
  <c r="E128" i="12" s="1"/>
  <c r="O79" i="12"/>
  <c r="O125" i="12" s="1"/>
  <c r="N79" i="12"/>
  <c r="N125" i="12" s="1"/>
  <c r="M79" i="12"/>
  <c r="M125" i="12" s="1"/>
  <c r="L79" i="12"/>
  <c r="L125" i="12" s="1"/>
  <c r="K79" i="12"/>
  <c r="K125" i="12" s="1"/>
  <c r="J79" i="12"/>
  <c r="J125" i="12" s="1"/>
  <c r="I79" i="12"/>
  <c r="I125" i="12" s="1"/>
  <c r="H79" i="12"/>
  <c r="H125" i="12" s="1"/>
  <c r="G79" i="12"/>
  <c r="G125" i="12" s="1"/>
  <c r="F79" i="12"/>
  <c r="F125" i="12" s="1"/>
  <c r="E79" i="12"/>
  <c r="E125" i="12" s="1"/>
  <c r="O78" i="12"/>
  <c r="O124" i="12" s="1"/>
  <c r="N78" i="12"/>
  <c r="N124" i="12" s="1"/>
  <c r="M78" i="12"/>
  <c r="M124" i="12" s="1"/>
  <c r="L78" i="12"/>
  <c r="L124" i="12" s="1"/>
  <c r="K78" i="12"/>
  <c r="K124" i="12" s="1"/>
  <c r="J78" i="12"/>
  <c r="J124" i="12" s="1"/>
  <c r="I78" i="12"/>
  <c r="I124" i="12" s="1"/>
  <c r="H78" i="12"/>
  <c r="H124" i="12" s="1"/>
  <c r="G78" i="12"/>
  <c r="G124" i="12" s="1"/>
  <c r="F78" i="12"/>
  <c r="F124" i="12" s="1"/>
  <c r="E78" i="12"/>
  <c r="E124" i="12" s="1"/>
  <c r="O77" i="12"/>
  <c r="O123" i="12" s="1"/>
  <c r="N77" i="12"/>
  <c r="N123" i="12" s="1"/>
  <c r="M77" i="12"/>
  <c r="M123" i="12" s="1"/>
  <c r="L77" i="12"/>
  <c r="L123" i="12" s="1"/>
  <c r="K77" i="12"/>
  <c r="K123" i="12" s="1"/>
  <c r="J77" i="12"/>
  <c r="J123" i="12" s="1"/>
  <c r="I77" i="12"/>
  <c r="I123" i="12" s="1"/>
  <c r="H77" i="12"/>
  <c r="H123" i="12" s="1"/>
  <c r="G77" i="12"/>
  <c r="G123" i="12" s="1"/>
  <c r="F77" i="12"/>
  <c r="F123" i="12" s="1"/>
  <c r="O75" i="12"/>
  <c r="O121" i="12" s="1"/>
  <c r="N75" i="12"/>
  <c r="N121" i="12" s="1"/>
  <c r="M75" i="12"/>
  <c r="M121" i="12" s="1"/>
  <c r="L75" i="12"/>
  <c r="L121" i="12" s="1"/>
  <c r="K75" i="12"/>
  <c r="K121" i="12" s="1"/>
  <c r="J75" i="12"/>
  <c r="J121" i="12" s="1"/>
  <c r="I75" i="12"/>
  <c r="I121" i="12" s="1"/>
  <c r="H75" i="12"/>
  <c r="H121" i="12" s="1"/>
  <c r="G75" i="12"/>
  <c r="G121" i="12" s="1"/>
  <c r="F75" i="12"/>
  <c r="F121" i="12" s="1"/>
  <c r="E75" i="12"/>
  <c r="E121" i="12" s="1"/>
  <c r="N73" i="12"/>
  <c r="N119" i="12" s="1"/>
  <c r="M73" i="12"/>
  <c r="M119" i="12" s="1"/>
  <c r="L73" i="12"/>
  <c r="L119" i="12" s="1"/>
  <c r="J73" i="12"/>
  <c r="J119" i="12" s="1"/>
  <c r="I73" i="12"/>
  <c r="I119" i="12" s="1"/>
  <c r="H73" i="12"/>
  <c r="H119" i="12" s="1"/>
  <c r="F73" i="12"/>
  <c r="F119" i="12" s="1"/>
  <c r="E73" i="12"/>
  <c r="E119" i="12" s="1"/>
  <c r="O72" i="12"/>
  <c r="L72" i="12"/>
  <c r="K72" i="12"/>
  <c r="H72" i="12"/>
  <c r="G72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P173" i="11"/>
  <c r="Q173" i="11" s="1"/>
  <c r="P172" i="11"/>
  <c r="Q172" i="11" s="1"/>
  <c r="P171" i="11"/>
  <c r="Q171" i="11" s="1"/>
  <c r="P170" i="11"/>
  <c r="Q170" i="11" s="1"/>
  <c r="P169" i="11"/>
  <c r="Q169" i="11" s="1"/>
  <c r="P168" i="11"/>
  <c r="Q168" i="11" s="1"/>
  <c r="P167" i="11"/>
  <c r="Q167" i="11" s="1"/>
  <c r="P166" i="11"/>
  <c r="Q166" i="11" s="1"/>
  <c r="P165" i="11"/>
  <c r="Q165" i="11" s="1"/>
  <c r="P164" i="11"/>
  <c r="Q164" i="11" s="1"/>
  <c r="P163" i="11"/>
  <c r="Q163" i="11" s="1"/>
  <c r="P162" i="11"/>
  <c r="Q162" i="11" s="1"/>
  <c r="P161" i="11"/>
  <c r="Q161" i="11" s="1"/>
  <c r="P160" i="11"/>
  <c r="Q160" i="11" s="1"/>
  <c r="P159" i="11"/>
  <c r="Q159" i="11" s="1"/>
  <c r="P158" i="11"/>
  <c r="Q158" i="11" s="1"/>
  <c r="P157" i="11"/>
  <c r="Q157" i="11" s="1"/>
  <c r="P156" i="11"/>
  <c r="Q156" i="11" s="1"/>
  <c r="P155" i="11"/>
  <c r="Q155" i="11" s="1"/>
  <c r="P154" i="11"/>
  <c r="Q154" i="11" s="1"/>
  <c r="P153" i="11"/>
  <c r="Q153" i="11" s="1"/>
  <c r="P152" i="11"/>
  <c r="Q152" i="11" s="1"/>
  <c r="P151" i="11"/>
  <c r="Q151" i="11" s="1"/>
  <c r="P150" i="11"/>
  <c r="Q150" i="11" s="1"/>
  <c r="P149" i="11"/>
  <c r="Q149" i="11" s="1"/>
  <c r="P148" i="11"/>
  <c r="Q148" i="11" s="1"/>
  <c r="P147" i="11"/>
  <c r="Q147" i="11" s="1"/>
  <c r="P146" i="11"/>
  <c r="Q146" i="11" s="1"/>
  <c r="P145" i="11"/>
  <c r="Q145" i="11" s="1"/>
  <c r="P144" i="11"/>
  <c r="Q144" i="11" s="1"/>
  <c r="P143" i="11"/>
  <c r="Q143" i="11" s="1"/>
  <c r="P142" i="11"/>
  <c r="Q142" i="11" s="1"/>
  <c r="P141" i="11"/>
  <c r="Q141" i="11" s="1"/>
  <c r="O140" i="11"/>
  <c r="O184" i="11" s="1"/>
  <c r="N140" i="11"/>
  <c r="N184" i="11" s="1"/>
  <c r="M140" i="11"/>
  <c r="M184" i="11" s="1"/>
  <c r="L140" i="11"/>
  <c r="L184" i="11" s="1"/>
  <c r="K140" i="11"/>
  <c r="K184" i="11" s="1"/>
  <c r="J140" i="11"/>
  <c r="J184" i="11" s="1"/>
  <c r="I140" i="11"/>
  <c r="I184" i="11" s="1"/>
  <c r="H140" i="11"/>
  <c r="H184" i="11" s="1"/>
  <c r="G140" i="11"/>
  <c r="G184" i="11" s="1"/>
  <c r="F140" i="11"/>
  <c r="F184" i="11" s="1"/>
  <c r="P111" i="11"/>
  <c r="Q111" i="11" s="1"/>
  <c r="P106" i="11"/>
  <c r="Q106" i="11" s="1"/>
  <c r="P105" i="11"/>
  <c r="Q105" i="11" s="1"/>
  <c r="O104" i="11"/>
  <c r="N104" i="11"/>
  <c r="M104" i="11"/>
  <c r="L104" i="11"/>
  <c r="K104" i="11"/>
  <c r="J104" i="11"/>
  <c r="I104" i="11"/>
  <c r="H104" i="11"/>
  <c r="G104" i="11"/>
  <c r="F104" i="11"/>
  <c r="P102" i="11"/>
  <c r="Q102" i="11" s="1"/>
  <c r="P101" i="11"/>
  <c r="Q101" i="11" s="1"/>
  <c r="P100" i="11"/>
  <c r="Q100" i="11" s="1"/>
  <c r="P98" i="11"/>
  <c r="Q98" i="11" s="1"/>
  <c r="O97" i="11"/>
  <c r="N97" i="11"/>
  <c r="N94" i="11" s="1"/>
  <c r="M97" i="11"/>
  <c r="M94" i="11" s="1"/>
  <c r="L97" i="11"/>
  <c r="L94" i="11" s="1"/>
  <c r="K97" i="11"/>
  <c r="J97" i="11"/>
  <c r="J94" i="11" s="1"/>
  <c r="I97" i="11"/>
  <c r="I94" i="11" s="1"/>
  <c r="H97" i="11"/>
  <c r="H94" i="11" s="1"/>
  <c r="G97" i="11"/>
  <c r="F97" i="11"/>
  <c r="F94" i="11" s="1"/>
  <c r="P96" i="11"/>
  <c r="Q96" i="11" s="1"/>
  <c r="O83" i="11"/>
  <c r="O129" i="11" s="1"/>
  <c r="N83" i="11"/>
  <c r="N129" i="11" s="1"/>
  <c r="M83" i="11"/>
  <c r="M129" i="11" s="1"/>
  <c r="L83" i="11"/>
  <c r="L129" i="11" s="1"/>
  <c r="K83" i="11"/>
  <c r="K129" i="11" s="1"/>
  <c r="J83" i="11"/>
  <c r="J129" i="11" s="1"/>
  <c r="I83" i="11"/>
  <c r="I129" i="11" s="1"/>
  <c r="H83" i="11"/>
  <c r="H129" i="11" s="1"/>
  <c r="G83" i="11"/>
  <c r="G129" i="11" s="1"/>
  <c r="F83" i="11"/>
  <c r="F129" i="11" s="1"/>
  <c r="O82" i="11"/>
  <c r="O128" i="11" s="1"/>
  <c r="N82" i="11"/>
  <c r="N128" i="11" s="1"/>
  <c r="M82" i="11"/>
  <c r="M128" i="11" s="1"/>
  <c r="L82" i="11"/>
  <c r="L128" i="11" s="1"/>
  <c r="K82" i="11"/>
  <c r="K128" i="11" s="1"/>
  <c r="J82" i="11"/>
  <c r="J128" i="11" s="1"/>
  <c r="I82" i="11"/>
  <c r="I128" i="11" s="1"/>
  <c r="H82" i="11"/>
  <c r="H128" i="11" s="1"/>
  <c r="G82" i="11"/>
  <c r="G128" i="11" s="1"/>
  <c r="F82" i="11"/>
  <c r="F128" i="11" s="1"/>
  <c r="O79" i="11"/>
  <c r="O125" i="11" s="1"/>
  <c r="N79" i="11"/>
  <c r="N125" i="11" s="1"/>
  <c r="M79" i="11"/>
  <c r="M125" i="11" s="1"/>
  <c r="L79" i="11"/>
  <c r="L125" i="11" s="1"/>
  <c r="K79" i="11"/>
  <c r="K125" i="11" s="1"/>
  <c r="J79" i="11"/>
  <c r="J125" i="11" s="1"/>
  <c r="I79" i="11"/>
  <c r="I125" i="11" s="1"/>
  <c r="H79" i="11"/>
  <c r="H125" i="11" s="1"/>
  <c r="G79" i="11"/>
  <c r="G125" i="11" s="1"/>
  <c r="F79" i="11"/>
  <c r="F125" i="11" s="1"/>
  <c r="O78" i="11"/>
  <c r="O124" i="11" s="1"/>
  <c r="N78" i="11"/>
  <c r="N124" i="11" s="1"/>
  <c r="M78" i="11"/>
  <c r="M124" i="11" s="1"/>
  <c r="L78" i="11"/>
  <c r="L124" i="11" s="1"/>
  <c r="K78" i="11"/>
  <c r="K124" i="11" s="1"/>
  <c r="J78" i="11"/>
  <c r="J124" i="11" s="1"/>
  <c r="I78" i="11"/>
  <c r="I124" i="11" s="1"/>
  <c r="H78" i="11"/>
  <c r="H124" i="11" s="1"/>
  <c r="G78" i="11"/>
  <c r="G124" i="11" s="1"/>
  <c r="F78" i="11"/>
  <c r="F124" i="11" s="1"/>
  <c r="O77" i="11"/>
  <c r="O123" i="11" s="1"/>
  <c r="N77" i="11"/>
  <c r="N123" i="11" s="1"/>
  <c r="K77" i="11"/>
  <c r="K123" i="11" s="1"/>
  <c r="J77" i="11"/>
  <c r="J123" i="11" s="1"/>
  <c r="G77" i="11"/>
  <c r="G123" i="11" s="1"/>
  <c r="F77" i="11"/>
  <c r="F123" i="11" s="1"/>
  <c r="M76" i="11"/>
  <c r="L76" i="11"/>
  <c r="I76" i="11"/>
  <c r="H76" i="11"/>
  <c r="O75" i="11"/>
  <c r="O121" i="11" s="1"/>
  <c r="N75" i="11"/>
  <c r="N121" i="11" s="1"/>
  <c r="M75" i="11"/>
  <c r="M121" i="11" s="1"/>
  <c r="L75" i="11"/>
  <c r="L121" i="11" s="1"/>
  <c r="K75" i="11"/>
  <c r="K121" i="11" s="1"/>
  <c r="J75" i="11"/>
  <c r="J121" i="11" s="1"/>
  <c r="I75" i="11"/>
  <c r="I121" i="11" s="1"/>
  <c r="H75" i="11"/>
  <c r="H121" i="11" s="1"/>
  <c r="G75" i="11"/>
  <c r="G121" i="11" s="1"/>
  <c r="F75" i="11"/>
  <c r="F121" i="11" s="1"/>
  <c r="O73" i="11"/>
  <c r="O119" i="11" s="1"/>
  <c r="N73" i="11"/>
  <c r="N119" i="11" s="1"/>
  <c r="M73" i="11"/>
  <c r="M119" i="11" s="1"/>
  <c r="L73" i="11"/>
  <c r="L119" i="11" s="1"/>
  <c r="K73" i="11"/>
  <c r="K119" i="11" s="1"/>
  <c r="J73" i="11"/>
  <c r="J119" i="11" s="1"/>
  <c r="I73" i="11"/>
  <c r="I119" i="11" s="1"/>
  <c r="H73" i="11"/>
  <c r="H119" i="11" s="1"/>
  <c r="G73" i="11"/>
  <c r="G119" i="11" s="1"/>
  <c r="F73" i="11"/>
  <c r="F119" i="11" s="1"/>
  <c r="O72" i="11"/>
  <c r="N72" i="11"/>
  <c r="K72" i="11"/>
  <c r="J72" i="11"/>
  <c r="G72" i="11"/>
  <c r="F72" i="11"/>
  <c r="O35" i="11"/>
  <c r="N35" i="11"/>
  <c r="M35" i="11"/>
  <c r="L35" i="11"/>
  <c r="K35" i="11"/>
  <c r="J35" i="11"/>
  <c r="I35" i="11"/>
  <c r="H35" i="11"/>
  <c r="G35" i="11"/>
  <c r="F35" i="11"/>
  <c r="O34" i="11"/>
  <c r="N34" i="11"/>
  <c r="M34" i="11"/>
  <c r="L34" i="11"/>
  <c r="K34" i="11"/>
  <c r="J34" i="11"/>
  <c r="I34" i="11"/>
  <c r="H34" i="11"/>
  <c r="G34" i="11"/>
  <c r="F34" i="11"/>
  <c r="O28" i="11"/>
  <c r="N28" i="11"/>
  <c r="M28" i="11"/>
  <c r="L28" i="11"/>
  <c r="K28" i="11"/>
  <c r="J28" i="11"/>
  <c r="I28" i="11"/>
  <c r="H28" i="11"/>
  <c r="G28" i="11"/>
  <c r="F28" i="11"/>
  <c r="O140" i="10"/>
  <c r="O184" i="10" s="1"/>
  <c r="N140" i="10"/>
  <c r="N184" i="10" s="1"/>
  <c r="M140" i="10"/>
  <c r="M184" i="10" s="1"/>
  <c r="L140" i="10"/>
  <c r="L184" i="10" s="1"/>
  <c r="K140" i="10"/>
  <c r="K184" i="10" s="1"/>
  <c r="J140" i="10"/>
  <c r="J184" i="10" s="1"/>
  <c r="I140" i="10"/>
  <c r="I184" i="10" s="1"/>
  <c r="H140" i="10"/>
  <c r="H184" i="10" s="1"/>
  <c r="G140" i="10"/>
  <c r="G184" i="10" s="1"/>
  <c r="F140" i="10"/>
  <c r="F184" i="10" s="1"/>
  <c r="P111" i="10"/>
  <c r="Q111" i="10" s="1"/>
  <c r="P106" i="10"/>
  <c r="Q106" i="10" s="1"/>
  <c r="P105" i="10"/>
  <c r="Q105" i="10" s="1"/>
  <c r="O104" i="10"/>
  <c r="N104" i="10"/>
  <c r="M104" i="10"/>
  <c r="L104" i="10"/>
  <c r="K104" i="10"/>
  <c r="J104" i="10"/>
  <c r="I104" i="10"/>
  <c r="H104" i="10"/>
  <c r="G104" i="10"/>
  <c r="F104" i="10"/>
  <c r="P102" i="10"/>
  <c r="Q102" i="10" s="1"/>
  <c r="P100" i="10"/>
  <c r="Q100" i="10" s="1"/>
  <c r="P99" i="10"/>
  <c r="Q99" i="10" s="1"/>
  <c r="P98" i="10"/>
  <c r="Q98" i="10" s="1"/>
  <c r="O97" i="10"/>
  <c r="O94" i="10" s="1"/>
  <c r="N97" i="10"/>
  <c r="N94" i="10" s="1"/>
  <c r="M97" i="10"/>
  <c r="L97" i="10"/>
  <c r="L94" i="10" s="1"/>
  <c r="K97" i="10"/>
  <c r="K94" i="10" s="1"/>
  <c r="J97" i="10"/>
  <c r="J94" i="10" s="1"/>
  <c r="I97" i="10"/>
  <c r="H97" i="10"/>
  <c r="H94" i="10" s="1"/>
  <c r="G97" i="10"/>
  <c r="F97" i="10"/>
  <c r="F94" i="10" s="1"/>
  <c r="P96" i="10"/>
  <c r="Q96" i="10" s="1"/>
  <c r="O83" i="10"/>
  <c r="O129" i="10" s="1"/>
  <c r="N83" i="10"/>
  <c r="N129" i="10" s="1"/>
  <c r="M83" i="10"/>
  <c r="M129" i="10" s="1"/>
  <c r="L83" i="10"/>
  <c r="L129" i="10" s="1"/>
  <c r="K83" i="10"/>
  <c r="K129" i="10" s="1"/>
  <c r="J83" i="10"/>
  <c r="J129" i="10" s="1"/>
  <c r="I83" i="10"/>
  <c r="I129" i="10" s="1"/>
  <c r="H83" i="10"/>
  <c r="H129" i="10" s="1"/>
  <c r="G83" i="10"/>
  <c r="G129" i="10" s="1"/>
  <c r="F83" i="10"/>
  <c r="F129" i="10" s="1"/>
  <c r="O82" i="10"/>
  <c r="O128" i="10" s="1"/>
  <c r="N82" i="10"/>
  <c r="N128" i="10" s="1"/>
  <c r="M82" i="10"/>
  <c r="M128" i="10" s="1"/>
  <c r="L82" i="10"/>
  <c r="L128" i="10" s="1"/>
  <c r="K82" i="10"/>
  <c r="K128" i="10" s="1"/>
  <c r="J82" i="10"/>
  <c r="J128" i="10" s="1"/>
  <c r="I82" i="10"/>
  <c r="I128" i="10" s="1"/>
  <c r="H82" i="10"/>
  <c r="H128" i="10" s="1"/>
  <c r="G82" i="10"/>
  <c r="G128" i="10" s="1"/>
  <c r="F82" i="10"/>
  <c r="F128" i="10" s="1"/>
  <c r="O79" i="10"/>
  <c r="O125" i="10" s="1"/>
  <c r="N79" i="10"/>
  <c r="N125" i="10" s="1"/>
  <c r="M79" i="10"/>
  <c r="M125" i="10" s="1"/>
  <c r="L79" i="10"/>
  <c r="L125" i="10" s="1"/>
  <c r="K79" i="10"/>
  <c r="K125" i="10" s="1"/>
  <c r="J79" i="10"/>
  <c r="J125" i="10" s="1"/>
  <c r="I79" i="10"/>
  <c r="I125" i="10" s="1"/>
  <c r="H79" i="10"/>
  <c r="H125" i="10" s="1"/>
  <c r="G79" i="10"/>
  <c r="G125" i="10" s="1"/>
  <c r="F79" i="10"/>
  <c r="F125" i="10" s="1"/>
  <c r="O78" i="10"/>
  <c r="O124" i="10" s="1"/>
  <c r="N78" i="10"/>
  <c r="N124" i="10" s="1"/>
  <c r="M78" i="10"/>
  <c r="M124" i="10" s="1"/>
  <c r="L78" i="10"/>
  <c r="L124" i="10" s="1"/>
  <c r="K78" i="10"/>
  <c r="K124" i="10" s="1"/>
  <c r="J78" i="10"/>
  <c r="J124" i="10" s="1"/>
  <c r="I78" i="10"/>
  <c r="I124" i="10" s="1"/>
  <c r="H78" i="10"/>
  <c r="H124" i="10" s="1"/>
  <c r="G78" i="10"/>
  <c r="G124" i="10" s="1"/>
  <c r="F78" i="10"/>
  <c r="F124" i="10" s="1"/>
  <c r="O77" i="10"/>
  <c r="O123" i="10" s="1"/>
  <c r="N77" i="10"/>
  <c r="N123" i="10" s="1"/>
  <c r="M77" i="10"/>
  <c r="M123" i="10" s="1"/>
  <c r="L77" i="10"/>
  <c r="L123" i="10" s="1"/>
  <c r="K77" i="10"/>
  <c r="K123" i="10" s="1"/>
  <c r="J77" i="10"/>
  <c r="J123" i="10" s="1"/>
  <c r="I77" i="10"/>
  <c r="I123" i="10" s="1"/>
  <c r="H77" i="10"/>
  <c r="H123" i="10" s="1"/>
  <c r="G77" i="10"/>
  <c r="G123" i="10" s="1"/>
  <c r="F77" i="10"/>
  <c r="F123" i="10" s="1"/>
  <c r="O76" i="10"/>
  <c r="N76" i="10"/>
  <c r="M76" i="10"/>
  <c r="L76" i="10"/>
  <c r="K76" i="10"/>
  <c r="J76" i="10"/>
  <c r="I76" i="10"/>
  <c r="H76" i="10"/>
  <c r="G76" i="10"/>
  <c r="F76" i="10"/>
  <c r="O75" i="10"/>
  <c r="O121" i="10" s="1"/>
  <c r="N75" i="10"/>
  <c r="N121" i="10" s="1"/>
  <c r="M75" i="10"/>
  <c r="M121" i="10" s="1"/>
  <c r="L75" i="10"/>
  <c r="L121" i="10" s="1"/>
  <c r="K75" i="10"/>
  <c r="K121" i="10" s="1"/>
  <c r="J75" i="10"/>
  <c r="J121" i="10" s="1"/>
  <c r="I75" i="10"/>
  <c r="I121" i="10" s="1"/>
  <c r="H75" i="10"/>
  <c r="H121" i="10" s="1"/>
  <c r="G75" i="10"/>
  <c r="G121" i="10" s="1"/>
  <c r="F75" i="10"/>
  <c r="F121" i="10" s="1"/>
  <c r="N73" i="10"/>
  <c r="N119" i="10" s="1"/>
  <c r="M73" i="10"/>
  <c r="M119" i="10" s="1"/>
  <c r="L73" i="10"/>
  <c r="L119" i="10" s="1"/>
  <c r="J73" i="10"/>
  <c r="J119" i="10" s="1"/>
  <c r="I73" i="10"/>
  <c r="I119" i="10" s="1"/>
  <c r="H73" i="10"/>
  <c r="H119" i="10" s="1"/>
  <c r="F73" i="10"/>
  <c r="F119" i="10" s="1"/>
  <c r="O72" i="10"/>
  <c r="N72" i="10"/>
  <c r="M72" i="10"/>
  <c r="K72" i="10"/>
  <c r="J72" i="10"/>
  <c r="I72" i="10"/>
  <c r="G72" i="10"/>
  <c r="F72" i="10"/>
  <c r="O35" i="10"/>
  <c r="N35" i="10"/>
  <c r="M35" i="10"/>
  <c r="L35" i="10"/>
  <c r="K35" i="10"/>
  <c r="J35" i="10"/>
  <c r="I35" i="10"/>
  <c r="H35" i="10"/>
  <c r="G35" i="10"/>
  <c r="F35" i="10"/>
  <c r="O34" i="10"/>
  <c r="N34" i="10"/>
  <c r="M34" i="10"/>
  <c r="L34" i="10"/>
  <c r="K34" i="10"/>
  <c r="J34" i="10"/>
  <c r="I34" i="10"/>
  <c r="H34" i="10"/>
  <c r="G34" i="10"/>
  <c r="F34" i="10"/>
  <c r="O28" i="10"/>
  <c r="N28" i="10"/>
  <c r="M28" i="10"/>
  <c r="L28" i="10"/>
  <c r="K28" i="10"/>
  <c r="J28" i="10"/>
  <c r="I28" i="10"/>
  <c r="H28" i="10"/>
  <c r="G28" i="10"/>
  <c r="F28" i="10"/>
  <c r="P173" i="9"/>
  <c r="Q173" i="9" s="1"/>
  <c r="P172" i="9"/>
  <c r="Q172" i="9" s="1"/>
  <c r="P171" i="9"/>
  <c r="Q171" i="9" s="1"/>
  <c r="P170" i="9"/>
  <c r="Q170" i="9" s="1"/>
  <c r="P169" i="9"/>
  <c r="Q169" i="9" s="1"/>
  <c r="P168" i="9"/>
  <c r="Q168" i="9" s="1"/>
  <c r="P167" i="9"/>
  <c r="Q167" i="9" s="1"/>
  <c r="P166" i="9"/>
  <c r="Q166" i="9" s="1"/>
  <c r="P165" i="9"/>
  <c r="Q165" i="9" s="1"/>
  <c r="P164" i="9"/>
  <c r="Q164" i="9" s="1"/>
  <c r="P163" i="9"/>
  <c r="Q163" i="9" s="1"/>
  <c r="P162" i="9"/>
  <c r="Q162" i="9" s="1"/>
  <c r="P161" i="9"/>
  <c r="Q161" i="9" s="1"/>
  <c r="P160" i="9"/>
  <c r="Q160" i="9" s="1"/>
  <c r="P159" i="9"/>
  <c r="Q159" i="9" s="1"/>
  <c r="P158" i="9"/>
  <c r="Q158" i="9" s="1"/>
  <c r="P157" i="9"/>
  <c r="Q157" i="9" s="1"/>
  <c r="P156" i="9"/>
  <c r="Q156" i="9" s="1"/>
  <c r="P155" i="9"/>
  <c r="Q155" i="9" s="1"/>
  <c r="P154" i="9"/>
  <c r="Q154" i="9" s="1"/>
  <c r="P153" i="9"/>
  <c r="Q153" i="9" s="1"/>
  <c r="P152" i="9"/>
  <c r="Q152" i="9" s="1"/>
  <c r="P151" i="9"/>
  <c r="Q151" i="9" s="1"/>
  <c r="P150" i="9"/>
  <c r="Q150" i="9" s="1"/>
  <c r="P149" i="9"/>
  <c r="Q149" i="9" s="1"/>
  <c r="P148" i="9"/>
  <c r="Q148" i="9" s="1"/>
  <c r="P147" i="9"/>
  <c r="Q147" i="9" s="1"/>
  <c r="P146" i="9"/>
  <c r="Q146" i="9" s="1"/>
  <c r="P145" i="9"/>
  <c r="Q145" i="9" s="1"/>
  <c r="P144" i="9"/>
  <c r="Q144" i="9" s="1"/>
  <c r="P143" i="9"/>
  <c r="Q143" i="9" s="1"/>
  <c r="P142" i="9"/>
  <c r="Q142" i="9" s="1"/>
  <c r="P141" i="9"/>
  <c r="Q141" i="9" s="1"/>
  <c r="O140" i="9"/>
  <c r="O184" i="9" s="1"/>
  <c r="N140" i="9"/>
  <c r="N184" i="9" s="1"/>
  <c r="M140" i="9"/>
  <c r="M184" i="9" s="1"/>
  <c r="L140" i="9"/>
  <c r="L184" i="9" s="1"/>
  <c r="K140" i="9"/>
  <c r="K184" i="9" s="1"/>
  <c r="J140" i="9"/>
  <c r="J184" i="9" s="1"/>
  <c r="I140" i="9"/>
  <c r="I184" i="9" s="1"/>
  <c r="H140" i="9"/>
  <c r="H184" i="9" s="1"/>
  <c r="G140" i="9"/>
  <c r="G184" i="9" s="1"/>
  <c r="F140" i="9"/>
  <c r="F184" i="9" s="1"/>
  <c r="E140" i="9"/>
  <c r="E184" i="9" s="1"/>
  <c r="D140" i="9"/>
  <c r="D184" i="9" s="1"/>
  <c r="P111" i="9"/>
  <c r="Q111" i="9" s="1"/>
  <c r="P106" i="9"/>
  <c r="Q106" i="9" s="1"/>
  <c r="P105" i="9"/>
  <c r="Q105" i="9" s="1"/>
  <c r="O104" i="9"/>
  <c r="N104" i="9"/>
  <c r="M104" i="9"/>
  <c r="L104" i="9"/>
  <c r="K104" i="9"/>
  <c r="J104" i="9"/>
  <c r="I104" i="9"/>
  <c r="H104" i="9"/>
  <c r="G104" i="9"/>
  <c r="F104" i="9"/>
  <c r="E104" i="9"/>
  <c r="D104" i="9"/>
  <c r="P102" i="9"/>
  <c r="Q102" i="9" s="1"/>
  <c r="P100" i="9"/>
  <c r="Q100" i="9" s="1"/>
  <c r="P98" i="9"/>
  <c r="Q98" i="9" s="1"/>
  <c r="O97" i="9"/>
  <c r="O94" i="9" s="1"/>
  <c r="N97" i="9"/>
  <c r="N94" i="9" s="1"/>
  <c r="M97" i="9"/>
  <c r="M94" i="9" s="1"/>
  <c r="L97" i="9"/>
  <c r="L94" i="9" s="1"/>
  <c r="K97" i="9"/>
  <c r="K94" i="9" s="1"/>
  <c r="J97" i="9"/>
  <c r="J94" i="9" s="1"/>
  <c r="I97" i="9"/>
  <c r="I94" i="9" s="1"/>
  <c r="H97" i="9"/>
  <c r="H94" i="9" s="1"/>
  <c r="G97" i="9"/>
  <c r="G94" i="9" s="1"/>
  <c r="F97" i="9"/>
  <c r="E97" i="9"/>
  <c r="E94" i="9" s="1"/>
  <c r="P96" i="9"/>
  <c r="Q96" i="9" s="1"/>
  <c r="I84" i="9"/>
  <c r="O83" i="9"/>
  <c r="O129" i="9" s="1"/>
  <c r="N83" i="9"/>
  <c r="N129" i="9" s="1"/>
  <c r="M83" i="9"/>
  <c r="M129" i="9" s="1"/>
  <c r="L83" i="9"/>
  <c r="L129" i="9" s="1"/>
  <c r="K83" i="9"/>
  <c r="K129" i="9" s="1"/>
  <c r="J83" i="9"/>
  <c r="J129" i="9" s="1"/>
  <c r="I83" i="9"/>
  <c r="I129" i="9" s="1"/>
  <c r="H83" i="9"/>
  <c r="H129" i="9" s="1"/>
  <c r="G83" i="9"/>
  <c r="G129" i="9" s="1"/>
  <c r="F83" i="9"/>
  <c r="F129" i="9" s="1"/>
  <c r="E83" i="9"/>
  <c r="E129" i="9" s="1"/>
  <c r="M82" i="9"/>
  <c r="M128" i="9" s="1"/>
  <c r="L82" i="9"/>
  <c r="L128" i="9" s="1"/>
  <c r="I82" i="9"/>
  <c r="I128" i="9" s="1"/>
  <c r="H82" i="9"/>
  <c r="H128" i="9" s="1"/>
  <c r="E82" i="9"/>
  <c r="E128" i="9" s="1"/>
  <c r="O79" i="9"/>
  <c r="O125" i="9" s="1"/>
  <c r="N79" i="9"/>
  <c r="N125" i="9" s="1"/>
  <c r="M79" i="9"/>
  <c r="M125" i="9" s="1"/>
  <c r="L79" i="9"/>
  <c r="L125" i="9" s="1"/>
  <c r="K79" i="9"/>
  <c r="K125" i="9" s="1"/>
  <c r="J79" i="9"/>
  <c r="J125" i="9" s="1"/>
  <c r="I79" i="9"/>
  <c r="I125" i="9" s="1"/>
  <c r="H79" i="9"/>
  <c r="H125" i="9" s="1"/>
  <c r="G79" i="9"/>
  <c r="G125" i="9" s="1"/>
  <c r="F79" i="9"/>
  <c r="F125" i="9" s="1"/>
  <c r="E79" i="9"/>
  <c r="E125" i="9" s="1"/>
  <c r="O78" i="9"/>
  <c r="O124" i="9" s="1"/>
  <c r="N78" i="9"/>
  <c r="N124" i="9" s="1"/>
  <c r="M78" i="9"/>
  <c r="M124" i="9" s="1"/>
  <c r="L78" i="9"/>
  <c r="L124" i="9" s="1"/>
  <c r="K78" i="9"/>
  <c r="K124" i="9" s="1"/>
  <c r="J78" i="9"/>
  <c r="J124" i="9" s="1"/>
  <c r="I78" i="9"/>
  <c r="I124" i="9" s="1"/>
  <c r="H78" i="9"/>
  <c r="H124" i="9" s="1"/>
  <c r="G78" i="9"/>
  <c r="G124" i="9" s="1"/>
  <c r="F78" i="9"/>
  <c r="F124" i="9" s="1"/>
  <c r="E78" i="9"/>
  <c r="E124" i="9" s="1"/>
  <c r="O77" i="9"/>
  <c r="O123" i="9" s="1"/>
  <c r="N77" i="9"/>
  <c r="N123" i="9" s="1"/>
  <c r="M77" i="9"/>
  <c r="M123" i="9" s="1"/>
  <c r="L77" i="9"/>
  <c r="L123" i="9" s="1"/>
  <c r="K77" i="9"/>
  <c r="K123" i="9" s="1"/>
  <c r="J77" i="9"/>
  <c r="J123" i="9" s="1"/>
  <c r="I77" i="9"/>
  <c r="I123" i="9" s="1"/>
  <c r="H77" i="9"/>
  <c r="H123" i="9" s="1"/>
  <c r="G77" i="9"/>
  <c r="G123" i="9" s="1"/>
  <c r="F77" i="9"/>
  <c r="F123" i="9" s="1"/>
  <c r="E77" i="9"/>
  <c r="E123" i="9" s="1"/>
  <c r="M76" i="9"/>
  <c r="L76" i="9"/>
  <c r="I76" i="9"/>
  <c r="H76" i="9"/>
  <c r="E76" i="9"/>
  <c r="O75" i="9"/>
  <c r="O121" i="9" s="1"/>
  <c r="N75" i="9"/>
  <c r="N121" i="9" s="1"/>
  <c r="M75" i="9"/>
  <c r="M121" i="9" s="1"/>
  <c r="L75" i="9"/>
  <c r="L121" i="9" s="1"/>
  <c r="K75" i="9"/>
  <c r="K121" i="9" s="1"/>
  <c r="J75" i="9"/>
  <c r="J121" i="9" s="1"/>
  <c r="I75" i="9"/>
  <c r="I121" i="9" s="1"/>
  <c r="H75" i="9"/>
  <c r="H121" i="9" s="1"/>
  <c r="G75" i="9"/>
  <c r="G121" i="9" s="1"/>
  <c r="F75" i="9"/>
  <c r="F121" i="9" s="1"/>
  <c r="E75" i="9"/>
  <c r="E121" i="9" s="1"/>
  <c r="O73" i="9"/>
  <c r="O119" i="9" s="1"/>
  <c r="N73" i="9"/>
  <c r="N119" i="9" s="1"/>
  <c r="M73" i="9"/>
  <c r="M119" i="9" s="1"/>
  <c r="L73" i="9"/>
  <c r="L119" i="9" s="1"/>
  <c r="K73" i="9"/>
  <c r="K119" i="9" s="1"/>
  <c r="J73" i="9"/>
  <c r="J119" i="9" s="1"/>
  <c r="I73" i="9"/>
  <c r="I119" i="9" s="1"/>
  <c r="H73" i="9"/>
  <c r="H119" i="9" s="1"/>
  <c r="G73" i="9"/>
  <c r="G119" i="9" s="1"/>
  <c r="F73" i="9"/>
  <c r="F119" i="9" s="1"/>
  <c r="E73" i="9"/>
  <c r="E119" i="9" s="1"/>
  <c r="O72" i="9"/>
  <c r="N72" i="9"/>
  <c r="K72" i="9"/>
  <c r="J72" i="9"/>
  <c r="G72" i="9"/>
  <c r="F72" i="9"/>
  <c r="O35" i="9"/>
  <c r="N35" i="9"/>
  <c r="M35" i="9"/>
  <c r="L35" i="9"/>
  <c r="K35" i="9"/>
  <c r="J35" i="9"/>
  <c r="I35" i="9"/>
  <c r="H35" i="9"/>
  <c r="G35" i="9"/>
  <c r="F35" i="9"/>
  <c r="E35" i="9"/>
  <c r="D35" i="9"/>
  <c r="O34" i="9"/>
  <c r="N34" i="9"/>
  <c r="M34" i="9"/>
  <c r="L34" i="9"/>
  <c r="K34" i="9"/>
  <c r="J34" i="9"/>
  <c r="I34" i="9"/>
  <c r="H34" i="9"/>
  <c r="G34" i="9"/>
  <c r="F34" i="9"/>
  <c r="E34" i="9"/>
  <c r="O28" i="9"/>
  <c r="N28" i="9"/>
  <c r="L28" i="9"/>
  <c r="K28" i="9"/>
  <c r="J28" i="9"/>
  <c r="I28" i="9"/>
  <c r="H28" i="9"/>
  <c r="G28" i="9"/>
  <c r="F28" i="9"/>
  <c r="E28" i="9"/>
  <c r="O140" i="7"/>
  <c r="O184" i="7" s="1"/>
  <c r="N140" i="7"/>
  <c r="N184" i="7" s="1"/>
  <c r="M140" i="7"/>
  <c r="M184" i="7" s="1"/>
  <c r="L140" i="7"/>
  <c r="L184" i="7" s="1"/>
  <c r="K140" i="7"/>
  <c r="K184" i="7" s="1"/>
  <c r="J140" i="7"/>
  <c r="J184" i="7" s="1"/>
  <c r="I140" i="7"/>
  <c r="I184" i="7" s="1"/>
  <c r="H140" i="7"/>
  <c r="H184" i="7" s="1"/>
  <c r="G140" i="7"/>
  <c r="G184" i="7" s="1"/>
  <c r="F140" i="7"/>
  <c r="F184" i="7" s="1"/>
  <c r="E140" i="7"/>
  <c r="E184" i="7" s="1"/>
  <c r="D140" i="7"/>
  <c r="D184" i="7" s="1"/>
  <c r="P111" i="7"/>
  <c r="Q111" i="7" s="1"/>
  <c r="P106" i="7"/>
  <c r="Q106" i="7" s="1"/>
  <c r="P105" i="7"/>
  <c r="Q105" i="7" s="1"/>
  <c r="O104" i="7"/>
  <c r="N104" i="7"/>
  <c r="M104" i="7"/>
  <c r="L104" i="7"/>
  <c r="K104" i="7"/>
  <c r="J104" i="7"/>
  <c r="I104" i="7"/>
  <c r="H104" i="7"/>
  <c r="G104" i="7"/>
  <c r="F104" i="7"/>
  <c r="E104" i="7"/>
  <c r="D104" i="7"/>
  <c r="P102" i="7"/>
  <c r="Q102" i="7" s="1"/>
  <c r="P101" i="7"/>
  <c r="Q101" i="7" s="1"/>
  <c r="P100" i="7"/>
  <c r="Q100" i="7" s="1"/>
  <c r="P98" i="7"/>
  <c r="Q98" i="7" s="1"/>
  <c r="P96" i="7"/>
  <c r="Q96" i="7" s="1"/>
  <c r="O83" i="7"/>
  <c r="O129" i="7" s="1"/>
  <c r="N83" i="7"/>
  <c r="N129" i="7" s="1"/>
  <c r="M83" i="7"/>
  <c r="M129" i="7" s="1"/>
  <c r="L83" i="7"/>
  <c r="L129" i="7" s="1"/>
  <c r="K83" i="7"/>
  <c r="K129" i="7" s="1"/>
  <c r="J83" i="7"/>
  <c r="J129" i="7" s="1"/>
  <c r="I83" i="7"/>
  <c r="I129" i="7" s="1"/>
  <c r="H83" i="7"/>
  <c r="H129" i="7" s="1"/>
  <c r="G83" i="7"/>
  <c r="G129" i="7" s="1"/>
  <c r="F83" i="7"/>
  <c r="F129" i="7" s="1"/>
  <c r="E83" i="7"/>
  <c r="E129" i="7" s="1"/>
  <c r="O82" i="7"/>
  <c r="O128" i="7" s="1"/>
  <c r="N82" i="7"/>
  <c r="N128" i="7" s="1"/>
  <c r="M82" i="7"/>
  <c r="M128" i="7" s="1"/>
  <c r="L82" i="7"/>
  <c r="L128" i="7" s="1"/>
  <c r="K82" i="7"/>
  <c r="K128" i="7" s="1"/>
  <c r="J82" i="7"/>
  <c r="J128" i="7" s="1"/>
  <c r="I82" i="7"/>
  <c r="I128" i="7" s="1"/>
  <c r="H82" i="7"/>
  <c r="H128" i="7" s="1"/>
  <c r="G82" i="7"/>
  <c r="G128" i="7" s="1"/>
  <c r="F82" i="7"/>
  <c r="F128" i="7" s="1"/>
  <c r="E82" i="7"/>
  <c r="E128" i="7" s="1"/>
  <c r="O79" i="7"/>
  <c r="O125" i="7" s="1"/>
  <c r="N79" i="7"/>
  <c r="N125" i="7" s="1"/>
  <c r="M79" i="7"/>
  <c r="M125" i="7" s="1"/>
  <c r="L79" i="7"/>
  <c r="L125" i="7" s="1"/>
  <c r="K79" i="7"/>
  <c r="K125" i="7" s="1"/>
  <c r="J79" i="7"/>
  <c r="J125" i="7" s="1"/>
  <c r="I79" i="7"/>
  <c r="I125" i="7" s="1"/>
  <c r="H79" i="7"/>
  <c r="H125" i="7" s="1"/>
  <c r="G79" i="7"/>
  <c r="G125" i="7" s="1"/>
  <c r="F79" i="7"/>
  <c r="F125" i="7" s="1"/>
  <c r="E79" i="7"/>
  <c r="E125" i="7" s="1"/>
  <c r="O78" i="7"/>
  <c r="O124" i="7" s="1"/>
  <c r="N78" i="7"/>
  <c r="N124" i="7" s="1"/>
  <c r="M78" i="7"/>
  <c r="M124" i="7" s="1"/>
  <c r="L78" i="7"/>
  <c r="L124" i="7" s="1"/>
  <c r="K78" i="7"/>
  <c r="K124" i="7" s="1"/>
  <c r="J78" i="7"/>
  <c r="J124" i="7" s="1"/>
  <c r="I78" i="7"/>
  <c r="I124" i="7" s="1"/>
  <c r="H78" i="7"/>
  <c r="H124" i="7" s="1"/>
  <c r="G78" i="7"/>
  <c r="G124" i="7" s="1"/>
  <c r="F78" i="7"/>
  <c r="F124" i="7" s="1"/>
  <c r="E78" i="7"/>
  <c r="E124" i="7" s="1"/>
  <c r="O77" i="7"/>
  <c r="O123" i="7" s="1"/>
  <c r="N77" i="7"/>
  <c r="N123" i="7" s="1"/>
  <c r="M77" i="7"/>
  <c r="M123" i="7" s="1"/>
  <c r="L77" i="7"/>
  <c r="L123" i="7" s="1"/>
  <c r="K77" i="7"/>
  <c r="K123" i="7" s="1"/>
  <c r="J77" i="7"/>
  <c r="J123" i="7" s="1"/>
  <c r="I77" i="7"/>
  <c r="I123" i="7" s="1"/>
  <c r="H77" i="7"/>
  <c r="H123" i="7" s="1"/>
  <c r="G77" i="7"/>
  <c r="G123" i="7" s="1"/>
  <c r="F77" i="7"/>
  <c r="F123" i="7" s="1"/>
  <c r="E77" i="7"/>
  <c r="E123" i="7" s="1"/>
  <c r="O75" i="7"/>
  <c r="O121" i="7" s="1"/>
  <c r="N75" i="7"/>
  <c r="N121" i="7" s="1"/>
  <c r="M75" i="7"/>
  <c r="M121" i="7" s="1"/>
  <c r="L75" i="7"/>
  <c r="L121" i="7" s="1"/>
  <c r="K75" i="7"/>
  <c r="K121" i="7" s="1"/>
  <c r="J75" i="7"/>
  <c r="J121" i="7" s="1"/>
  <c r="I75" i="7"/>
  <c r="I121" i="7" s="1"/>
  <c r="H75" i="7"/>
  <c r="H121" i="7" s="1"/>
  <c r="G75" i="7"/>
  <c r="G121" i="7" s="1"/>
  <c r="F75" i="7"/>
  <c r="F121" i="7" s="1"/>
  <c r="E75" i="7"/>
  <c r="E121" i="7" s="1"/>
  <c r="O73" i="7"/>
  <c r="O119" i="7" s="1"/>
  <c r="N73" i="7"/>
  <c r="N119" i="7" s="1"/>
  <c r="M73" i="7"/>
  <c r="M119" i="7" s="1"/>
  <c r="L73" i="7"/>
  <c r="L119" i="7" s="1"/>
  <c r="K73" i="7"/>
  <c r="K119" i="7" s="1"/>
  <c r="J73" i="7"/>
  <c r="J119" i="7" s="1"/>
  <c r="I73" i="7"/>
  <c r="I119" i="7" s="1"/>
  <c r="H73" i="7"/>
  <c r="H119" i="7" s="1"/>
  <c r="G73" i="7"/>
  <c r="G119" i="7" s="1"/>
  <c r="F73" i="7"/>
  <c r="F119" i="7" s="1"/>
  <c r="E73" i="7"/>
  <c r="E119" i="7" s="1"/>
  <c r="O35" i="7"/>
  <c r="N35" i="7"/>
  <c r="M35" i="7"/>
  <c r="L35" i="7"/>
  <c r="K35" i="7"/>
  <c r="J35" i="7"/>
  <c r="I35" i="7"/>
  <c r="H35" i="7"/>
  <c r="G35" i="7"/>
  <c r="F35" i="7"/>
  <c r="E35" i="7"/>
  <c r="D35" i="7"/>
  <c r="P173" i="6"/>
  <c r="Q173" i="6" s="1"/>
  <c r="P172" i="6"/>
  <c r="Q172" i="6" s="1"/>
  <c r="P171" i="6"/>
  <c r="Q171" i="6" s="1"/>
  <c r="P170" i="6"/>
  <c r="Q170" i="6" s="1"/>
  <c r="P169" i="6"/>
  <c r="Q169" i="6" s="1"/>
  <c r="P168" i="6"/>
  <c r="Q168" i="6" s="1"/>
  <c r="P167" i="6"/>
  <c r="Q167" i="6" s="1"/>
  <c r="P166" i="6"/>
  <c r="Q166" i="6" s="1"/>
  <c r="P165" i="6"/>
  <c r="Q165" i="6" s="1"/>
  <c r="P164" i="6"/>
  <c r="Q164" i="6" s="1"/>
  <c r="P163" i="6"/>
  <c r="Q163" i="6" s="1"/>
  <c r="P162" i="6"/>
  <c r="Q162" i="6" s="1"/>
  <c r="P161" i="6"/>
  <c r="Q161" i="6" s="1"/>
  <c r="P160" i="6"/>
  <c r="Q160" i="6" s="1"/>
  <c r="P159" i="6"/>
  <c r="Q159" i="6" s="1"/>
  <c r="P158" i="6"/>
  <c r="Q158" i="6" s="1"/>
  <c r="P157" i="6"/>
  <c r="Q157" i="6" s="1"/>
  <c r="P156" i="6"/>
  <c r="Q156" i="6" s="1"/>
  <c r="P155" i="6"/>
  <c r="Q155" i="6" s="1"/>
  <c r="P154" i="6"/>
  <c r="Q154" i="6" s="1"/>
  <c r="P153" i="6"/>
  <c r="Q153" i="6" s="1"/>
  <c r="P152" i="6"/>
  <c r="Q152" i="6" s="1"/>
  <c r="P151" i="6"/>
  <c r="Q151" i="6" s="1"/>
  <c r="O140" i="6"/>
  <c r="O184" i="6" s="1"/>
  <c r="N140" i="6"/>
  <c r="N184" i="6" s="1"/>
  <c r="M140" i="6"/>
  <c r="M184" i="6" s="1"/>
  <c r="L140" i="6"/>
  <c r="L184" i="6" s="1"/>
  <c r="K140" i="6"/>
  <c r="K184" i="6" s="1"/>
  <c r="J140" i="6"/>
  <c r="J184" i="6" s="1"/>
  <c r="I140" i="6"/>
  <c r="I184" i="6" s="1"/>
  <c r="H140" i="6"/>
  <c r="H184" i="6" s="1"/>
  <c r="G140" i="6"/>
  <c r="G184" i="6" s="1"/>
  <c r="F140" i="6"/>
  <c r="F184" i="6" s="1"/>
  <c r="E140" i="6"/>
  <c r="E184" i="6" s="1"/>
  <c r="D140" i="6"/>
  <c r="D184" i="6" s="1"/>
  <c r="P111" i="6"/>
  <c r="Q111" i="6" s="1"/>
  <c r="P106" i="6"/>
  <c r="Q106" i="6" s="1"/>
  <c r="P105" i="6"/>
  <c r="Q105" i="6" s="1"/>
  <c r="O104" i="6"/>
  <c r="N104" i="6"/>
  <c r="M104" i="6"/>
  <c r="L104" i="6"/>
  <c r="K104" i="6"/>
  <c r="J104" i="6"/>
  <c r="I104" i="6"/>
  <c r="H104" i="6"/>
  <c r="G104" i="6"/>
  <c r="F104" i="6"/>
  <c r="E104" i="6"/>
  <c r="D104" i="6"/>
  <c r="P102" i="6"/>
  <c r="Q102" i="6" s="1"/>
  <c r="P101" i="6"/>
  <c r="Q101" i="6" s="1"/>
  <c r="P100" i="6"/>
  <c r="Q100" i="6" s="1"/>
  <c r="P98" i="6"/>
  <c r="Q98" i="6" s="1"/>
  <c r="O97" i="6"/>
  <c r="O94" i="6" s="1"/>
  <c r="N97" i="6"/>
  <c r="N94" i="6" s="1"/>
  <c r="M97" i="6"/>
  <c r="L97" i="6"/>
  <c r="L94" i="6" s="1"/>
  <c r="K97" i="6"/>
  <c r="K94" i="6" s="1"/>
  <c r="J97" i="6"/>
  <c r="J94" i="6" s="1"/>
  <c r="I97" i="6"/>
  <c r="H97" i="6"/>
  <c r="H94" i="6" s="1"/>
  <c r="G97" i="6"/>
  <c r="G94" i="6" s="1"/>
  <c r="F97" i="6"/>
  <c r="F94" i="6" s="1"/>
  <c r="E97" i="6"/>
  <c r="P96" i="6"/>
  <c r="Q96" i="6" s="1"/>
  <c r="O83" i="6"/>
  <c r="O129" i="6" s="1"/>
  <c r="N83" i="6"/>
  <c r="N129" i="6" s="1"/>
  <c r="M83" i="6"/>
  <c r="M129" i="6" s="1"/>
  <c r="L83" i="6"/>
  <c r="L129" i="6" s="1"/>
  <c r="K83" i="6"/>
  <c r="K129" i="6" s="1"/>
  <c r="J83" i="6"/>
  <c r="J129" i="6" s="1"/>
  <c r="I83" i="6"/>
  <c r="I129" i="6" s="1"/>
  <c r="H83" i="6"/>
  <c r="H129" i="6" s="1"/>
  <c r="G83" i="6"/>
  <c r="G129" i="6" s="1"/>
  <c r="F83" i="6"/>
  <c r="F129" i="6" s="1"/>
  <c r="E83" i="6"/>
  <c r="E129" i="6" s="1"/>
  <c r="O82" i="6"/>
  <c r="O128" i="6" s="1"/>
  <c r="N82" i="6"/>
  <c r="N128" i="6" s="1"/>
  <c r="M82" i="6"/>
  <c r="M128" i="6" s="1"/>
  <c r="L82" i="6"/>
  <c r="L128" i="6" s="1"/>
  <c r="K82" i="6"/>
  <c r="K128" i="6" s="1"/>
  <c r="J82" i="6"/>
  <c r="J128" i="6" s="1"/>
  <c r="I82" i="6"/>
  <c r="I128" i="6" s="1"/>
  <c r="H82" i="6"/>
  <c r="H128" i="6" s="1"/>
  <c r="G82" i="6"/>
  <c r="G128" i="6" s="1"/>
  <c r="F82" i="6"/>
  <c r="F128" i="6" s="1"/>
  <c r="E82" i="6"/>
  <c r="E128" i="6" s="1"/>
  <c r="O79" i="6"/>
  <c r="O125" i="6" s="1"/>
  <c r="N79" i="6"/>
  <c r="N125" i="6" s="1"/>
  <c r="M79" i="6"/>
  <c r="M125" i="6" s="1"/>
  <c r="L79" i="6"/>
  <c r="L125" i="6" s="1"/>
  <c r="K79" i="6"/>
  <c r="K125" i="6" s="1"/>
  <c r="J79" i="6"/>
  <c r="J125" i="6" s="1"/>
  <c r="I79" i="6"/>
  <c r="I125" i="6" s="1"/>
  <c r="H79" i="6"/>
  <c r="H125" i="6" s="1"/>
  <c r="G79" i="6"/>
  <c r="G125" i="6" s="1"/>
  <c r="F79" i="6"/>
  <c r="F125" i="6" s="1"/>
  <c r="E79" i="6"/>
  <c r="E125" i="6" s="1"/>
  <c r="O78" i="6"/>
  <c r="O124" i="6" s="1"/>
  <c r="N78" i="6"/>
  <c r="N124" i="6" s="1"/>
  <c r="M78" i="6"/>
  <c r="M124" i="6" s="1"/>
  <c r="L78" i="6"/>
  <c r="L124" i="6" s="1"/>
  <c r="K78" i="6"/>
  <c r="K124" i="6" s="1"/>
  <c r="J78" i="6"/>
  <c r="J124" i="6" s="1"/>
  <c r="I78" i="6"/>
  <c r="I124" i="6" s="1"/>
  <c r="H78" i="6"/>
  <c r="H124" i="6" s="1"/>
  <c r="G78" i="6"/>
  <c r="G124" i="6" s="1"/>
  <c r="F78" i="6"/>
  <c r="F124" i="6" s="1"/>
  <c r="E78" i="6"/>
  <c r="E124" i="6" s="1"/>
  <c r="O77" i="6"/>
  <c r="O123" i="6" s="1"/>
  <c r="N77" i="6"/>
  <c r="N123" i="6" s="1"/>
  <c r="M77" i="6"/>
  <c r="M123" i="6" s="1"/>
  <c r="L77" i="6"/>
  <c r="L123" i="6" s="1"/>
  <c r="K77" i="6"/>
  <c r="K123" i="6" s="1"/>
  <c r="J77" i="6"/>
  <c r="J123" i="6" s="1"/>
  <c r="I77" i="6"/>
  <c r="I123" i="6" s="1"/>
  <c r="H77" i="6"/>
  <c r="H123" i="6" s="1"/>
  <c r="G77" i="6"/>
  <c r="G123" i="6" s="1"/>
  <c r="F77" i="6"/>
  <c r="F123" i="6" s="1"/>
  <c r="E77" i="6"/>
  <c r="E123" i="6" s="1"/>
  <c r="O76" i="6"/>
  <c r="N76" i="6"/>
  <c r="M76" i="6"/>
  <c r="L76" i="6"/>
  <c r="K76" i="6"/>
  <c r="J76" i="6"/>
  <c r="I76" i="6"/>
  <c r="H76" i="6"/>
  <c r="G76" i="6"/>
  <c r="F76" i="6"/>
  <c r="E76" i="6"/>
  <c r="O75" i="6"/>
  <c r="O121" i="6" s="1"/>
  <c r="N75" i="6"/>
  <c r="N121" i="6" s="1"/>
  <c r="M75" i="6"/>
  <c r="M121" i="6" s="1"/>
  <c r="L75" i="6"/>
  <c r="L121" i="6" s="1"/>
  <c r="K75" i="6"/>
  <c r="K121" i="6" s="1"/>
  <c r="J75" i="6"/>
  <c r="J121" i="6" s="1"/>
  <c r="I75" i="6"/>
  <c r="I121" i="6" s="1"/>
  <c r="H75" i="6"/>
  <c r="H121" i="6" s="1"/>
  <c r="G75" i="6"/>
  <c r="G121" i="6" s="1"/>
  <c r="F75" i="6"/>
  <c r="F121" i="6" s="1"/>
  <c r="E75" i="6"/>
  <c r="E121" i="6" s="1"/>
  <c r="O73" i="6"/>
  <c r="O119" i="6" s="1"/>
  <c r="L73" i="6"/>
  <c r="L119" i="6" s="1"/>
  <c r="K73" i="6"/>
  <c r="K119" i="6" s="1"/>
  <c r="H73" i="6"/>
  <c r="H119" i="6" s="1"/>
  <c r="G73" i="6"/>
  <c r="G119" i="6" s="1"/>
  <c r="O72" i="6"/>
  <c r="N72" i="6"/>
  <c r="M72" i="6"/>
  <c r="L72" i="6"/>
  <c r="K72" i="6"/>
  <c r="J72" i="6"/>
  <c r="I72" i="6"/>
  <c r="H72" i="6"/>
  <c r="G72" i="6"/>
  <c r="F72" i="6"/>
  <c r="E72" i="6"/>
  <c r="O35" i="6"/>
  <c r="N35" i="6"/>
  <c r="M35" i="6"/>
  <c r="L35" i="6"/>
  <c r="K35" i="6"/>
  <c r="J35" i="6"/>
  <c r="I35" i="6"/>
  <c r="H35" i="6"/>
  <c r="G35" i="6"/>
  <c r="F35" i="6"/>
  <c r="E35" i="6"/>
  <c r="D35" i="6"/>
  <c r="O34" i="6"/>
  <c r="N34" i="6"/>
  <c r="M34" i="6"/>
  <c r="L34" i="6"/>
  <c r="K34" i="6"/>
  <c r="J34" i="6"/>
  <c r="I34" i="6"/>
  <c r="H34" i="6"/>
  <c r="G34" i="6"/>
  <c r="F34" i="6"/>
  <c r="E34" i="6"/>
  <c r="O28" i="6"/>
  <c r="N28" i="6"/>
  <c r="M28" i="6"/>
  <c r="L28" i="6"/>
  <c r="K28" i="6"/>
  <c r="J28" i="6"/>
  <c r="I28" i="6"/>
  <c r="H28" i="6"/>
  <c r="G28" i="6"/>
  <c r="F28" i="6"/>
  <c r="E28" i="6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O140" i="5"/>
  <c r="O184" i="5" s="1"/>
  <c r="N140" i="5"/>
  <c r="N184" i="5" s="1"/>
  <c r="M140" i="5"/>
  <c r="M184" i="5" s="1"/>
  <c r="L140" i="5"/>
  <c r="L184" i="5" s="1"/>
  <c r="K140" i="5"/>
  <c r="K184" i="5" s="1"/>
  <c r="J140" i="5"/>
  <c r="J184" i="5" s="1"/>
  <c r="I140" i="5"/>
  <c r="I184" i="5" s="1"/>
  <c r="H140" i="5"/>
  <c r="H184" i="5" s="1"/>
  <c r="G140" i="5"/>
  <c r="G184" i="5" s="1"/>
  <c r="F140" i="5"/>
  <c r="F184" i="5" s="1"/>
  <c r="E140" i="5"/>
  <c r="E184" i="5" s="1"/>
  <c r="D140" i="5"/>
  <c r="D184" i="5" s="1"/>
  <c r="P111" i="5"/>
  <c r="Q111" i="5" s="1"/>
  <c r="P106" i="5"/>
  <c r="Q106" i="5" s="1"/>
  <c r="P105" i="5"/>
  <c r="Q105" i="5" s="1"/>
  <c r="O104" i="5"/>
  <c r="N104" i="5"/>
  <c r="M104" i="5"/>
  <c r="L104" i="5"/>
  <c r="K104" i="5"/>
  <c r="J104" i="5"/>
  <c r="I104" i="5"/>
  <c r="H104" i="5"/>
  <c r="G104" i="5"/>
  <c r="F104" i="5"/>
  <c r="E104" i="5"/>
  <c r="D104" i="5"/>
  <c r="P102" i="5"/>
  <c r="Q102" i="5" s="1"/>
  <c r="P101" i="5"/>
  <c r="Q101" i="5" s="1"/>
  <c r="P100" i="5"/>
  <c r="Q100" i="5" s="1"/>
  <c r="P98" i="5"/>
  <c r="Q98" i="5" s="1"/>
  <c r="P96" i="5"/>
  <c r="Q96" i="5" s="1"/>
  <c r="O83" i="5"/>
  <c r="O129" i="5" s="1"/>
  <c r="N83" i="5"/>
  <c r="N129" i="5" s="1"/>
  <c r="M83" i="5"/>
  <c r="M129" i="5" s="1"/>
  <c r="L83" i="5"/>
  <c r="L129" i="5" s="1"/>
  <c r="K83" i="5"/>
  <c r="K129" i="5" s="1"/>
  <c r="J83" i="5"/>
  <c r="J129" i="5" s="1"/>
  <c r="I83" i="5"/>
  <c r="I129" i="5" s="1"/>
  <c r="H83" i="5"/>
  <c r="H129" i="5" s="1"/>
  <c r="G83" i="5"/>
  <c r="G129" i="5" s="1"/>
  <c r="F83" i="5"/>
  <c r="F129" i="5" s="1"/>
  <c r="E83" i="5"/>
  <c r="E129" i="5" s="1"/>
  <c r="O82" i="5"/>
  <c r="O128" i="5" s="1"/>
  <c r="N82" i="5"/>
  <c r="N128" i="5" s="1"/>
  <c r="M82" i="5"/>
  <c r="M128" i="5" s="1"/>
  <c r="L82" i="5"/>
  <c r="L128" i="5" s="1"/>
  <c r="J82" i="5"/>
  <c r="J128" i="5" s="1"/>
  <c r="I82" i="5"/>
  <c r="I128" i="5" s="1"/>
  <c r="H82" i="5"/>
  <c r="H128" i="5" s="1"/>
  <c r="G82" i="5"/>
  <c r="G128" i="5" s="1"/>
  <c r="F82" i="5"/>
  <c r="F128" i="5" s="1"/>
  <c r="E82" i="5"/>
  <c r="E128" i="5" s="1"/>
  <c r="O79" i="5"/>
  <c r="O125" i="5" s="1"/>
  <c r="N79" i="5"/>
  <c r="N125" i="5" s="1"/>
  <c r="M79" i="5"/>
  <c r="M125" i="5" s="1"/>
  <c r="L79" i="5"/>
  <c r="L125" i="5" s="1"/>
  <c r="K79" i="5"/>
  <c r="K125" i="5" s="1"/>
  <c r="J79" i="5"/>
  <c r="J125" i="5" s="1"/>
  <c r="I79" i="5"/>
  <c r="I125" i="5" s="1"/>
  <c r="H79" i="5"/>
  <c r="H125" i="5" s="1"/>
  <c r="G79" i="5"/>
  <c r="G125" i="5" s="1"/>
  <c r="F79" i="5"/>
  <c r="F125" i="5" s="1"/>
  <c r="E79" i="5"/>
  <c r="E125" i="5" s="1"/>
  <c r="O78" i="5"/>
  <c r="O124" i="5" s="1"/>
  <c r="N78" i="5"/>
  <c r="N124" i="5" s="1"/>
  <c r="M78" i="5"/>
  <c r="M124" i="5" s="1"/>
  <c r="L78" i="5"/>
  <c r="L124" i="5" s="1"/>
  <c r="K78" i="5"/>
  <c r="K124" i="5" s="1"/>
  <c r="J78" i="5"/>
  <c r="J124" i="5" s="1"/>
  <c r="I78" i="5"/>
  <c r="I124" i="5" s="1"/>
  <c r="H78" i="5"/>
  <c r="H124" i="5" s="1"/>
  <c r="G78" i="5"/>
  <c r="G124" i="5" s="1"/>
  <c r="F78" i="5"/>
  <c r="F124" i="5" s="1"/>
  <c r="E78" i="5"/>
  <c r="E124" i="5" s="1"/>
  <c r="O77" i="5"/>
  <c r="O123" i="5" s="1"/>
  <c r="N77" i="5"/>
  <c r="N123" i="5" s="1"/>
  <c r="M77" i="5"/>
  <c r="M123" i="5" s="1"/>
  <c r="K77" i="5"/>
  <c r="K123" i="5" s="1"/>
  <c r="J77" i="5"/>
  <c r="J123" i="5" s="1"/>
  <c r="I77" i="5"/>
  <c r="I123" i="5" s="1"/>
  <c r="G77" i="5"/>
  <c r="G123" i="5" s="1"/>
  <c r="F77" i="5"/>
  <c r="F123" i="5" s="1"/>
  <c r="E77" i="5"/>
  <c r="E123" i="5" s="1"/>
  <c r="O75" i="5"/>
  <c r="O121" i="5" s="1"/>
  <c r="N75" i="5"/>
  <c r="N121" i="5" s="1"/>
  <c r="M75" i="5"/>
  <c r="M121" i="5" s="1"/>
  <c r="L75" i="5"/>
  <c r="L121" i="5" s="1"/>
  <c r="K75" i="5"/>
  <c r="K121" i="5" s="1"/>
  <c r="J75" i="5"/>
  <c r="J121" i="5" s="1"/>
  <c r="I75" i="5"/>
  <c r="I121" i="5" s="1"/>
  <c r="H75" i="5"/>
  <c r="H121" i="5" s="1"/>
  <c r="G75" i="5"/>
  <c r="G121" i="5" s="1"/>
  <c r="F75" i="5"/>
  <c r="F121" i="5" s="1"/>
  <c r="E75" i="5"/>
  <c r="E121" i="5" s="1"/>
  <c r="N73" i="5"/>
  <c r="N119" i="5" s="1"/>
  <c r="M73" i="5"/>
  <c r="M119" i="5" s="1"/>
  <c r="L73" i="5"/>
  <c r="L119" i="5" s="1"/>
  <c r="J73" i="5"/>
  <c r="J119" i="5" s="1"/>
  <c r="I73" i="5"/>
  <c r="I119" i="5" s="1"/>
  <c r="H73" i="5"/>
  <c r="H119" i="5" s="1"/>
  <c r="F73" i="5"/>
  <c r="F119" i="5" s="1"/>
  <c r="E73" i="5"/>
  <c r="E119" i="5" s="1"/>
  <c r="O35" i="5"/>
  <c r="N35" i="5"/>
  <c r="M35" i="5"/>
  <c r="L35" i="5"/>
  <c r="K35" i="5"/>
  <c r="J35" i="5"/>
  <c r="I35" i="5"/>
  <c r="H35" i="5"/>
  <c r="G35" i="5"/>
  <c r="F35" i="5"/>
  <c r="E35" i="5"/>
  <c r="D35" i="5"/>
  <c r="O184" i="4"/>
  <c r="N184" i="4"/>
  <c r="M184" i="4"/>
  <c r="L184" i="4"/>
  <c r="K184" i="4"/>
  <c r="J184" i="4"/>
  <c r="I184" i="4"/>
  <c r="H184" i="4"/>
  <c r="G184" i="4"/>
  <c r="F184" i="4"/>
  <c r="E184" i="4"/>
  <c r="D184" i="4"/>
  <c r="P111" i="4"/>
  <c r="Q111" i="4" s="1"/>
  <c r="P106" i="4"/>
  <c r="Q106" i="4" s="1"/>
  <c r="P105" i="4"/>
  <c r="Q105" i="4" s="1"/>
  <c r="O104" i="4"/>
  <c r="N104" i="4"/>
  <c r="M104" i="4"/>
  <c r="L104" i="4"/>
  <c r="K104" i="4"/>
  <c r="J104" i="4"/>
  <c r="I104" i="4"/>
  <c r="H104" i="4"/>
  <c r="G104" i="4"/>
  <c r="F104" i="4"/>
  <c r="E104" i="4"/>
  <c r="D104" i="4"/>
  <c r="P102" i="4"/>
  <c r="P100" i="4"/>
  <c r="P99" i="4"/>
  <c r="Q99" i="4" s="1"/>
  <c r="P98" i="4"/>
  <c r="P96" i="4"/>
  <c r="O83" i="4"/>
  <c r="O129" i="4" s="1"/>
  <c r="N83" i="4"/>
  <c r="N129" i="4" s="1"/>
  <c r="M83" i="4"/>
  <c r="M129" i="4" s="1"/>
  <c r="L83" i="4"/>
  <c r="L129" i="4" s="1"/>
  <c r="K83" i="4"/>
  <c r="K129" i="4" s="1"/>
  <c r="J83" i="4"/>
  <c r="J129" i="4" s="1"/>
  <c r="I83" i="4"/>
  <c r="I129" i="4" s="1"/>
  <c r="H83" i="4"/>
  <c r="H129" i="4" s="1"/>
  <c r="G83" i="4"/>
  <c r="G129" i="4" s="1"/>
  <c r="F83" i="4"/>
  <c r="F129" i="4" s="1"/>
  <c r="E83" i="4"/>
  <c r="E129" i="4" s="1"/>
  <c r="O82" i="4"/>
  <c r="O128" i="4" s="1"/>
  <c r="N82" i="4"/>
  <c r="N128" i="4" s="1"/>
  <c r="K82" i="4"/>
  <c r="K128" i="4" s="1"/>
  <c r="J82" i="4"/>
  <c r="J128" i="4" s="1"/>
  <c r="G82" i="4"/>
  <c r="G128" i="4" s="1"/>
  <c r="F82" i="4"/>
  <c r="F128" i="4" s="1"/>
  <c r="O78" i="4"/>
  <c r="O124" i="4" s="1"/>
  <c r="N78" i="4"/>
  <c r="N124" i="4" s="1"/>
  <c r="M78" i="4"/>
  <c r="M124" i="4" s="1"/>
  <c r="L78" i="4"/>
  <c r="L124" i="4" s="1"/>
  <c r="K78" i="4"/>
  <c r="K124" i="4" s="1"/>
  <c r="J78" i="4"/>
  <c r="J124" i="4" s="1"/>
  <c r="I78" i="4"/>
  <c r="I124" i="4" s="1"/>
  <c r="H78" i="4"/>
  <c r="H124" i="4" s="1"/>
  <c r="G78" i="4"/>
  <c r="G124" i="4" s="1"/>
  <c r="F78" i="4"/>
  <c r="F124" i="4" s="1"/>
  <c r="N76" i="4"/>
  <c r="K76" i="4"/>
  <c r="J76" i="4"/>
  <c r="G76" i="4"/>
  <c r="F76" i="4"/>
  <c r="P53" i="4"/>
  <c r="O75" i="4"/>
  <c r="O121" i="4" s="1"/>
  <c r="N75" i="4"/>
  <c r="N121" i="4" s="1"/>
  <c r="M75" i="4"/>
  <c r="M121" i="4" s="1"/>
  <c r="L75" i="4"/>
  <c r="L121" i="4" s="1"/>
  <c r="K75" i="4"/>
  <c r="K121" i="4" s="1"/>
  <c r="J75" i="4"/>
  <c r="J121" i="4" s="1"/>
  <c r="I75" i="4"/>
  <c r="I121" i="4" s="1"/>
  <c r="H75" i="4"/>
  <c r="H121" i="4" s="1"/>
  <c r="G75" i="4"/>
  <c r="G121" i="4" s="1"/>
  <c r="F75" i="4"/>
  <c r="F121" i="4" s="1"/>
  <c r="O35" i="4"/>
  <c r="N35" i="4"/>
  <c r="M35" i="4"/>
  <c r="L35" i="4"/>
  <c r="K35" i="4"/>
  <c r="J35" i="4"/>
  <c r="I35" i="4"/>
  <c r="H35" i="4"/>
  <c r="G35" i="4"/>
  <c r="F35" i="4"/>
  <c r="E35" i="4"/>
  <c r="D35" i="4"/>
  <c r="O34" i="4"/>
  <c r="N34" i="4"/>
  <c r="M34" i="4"/>
  <c r="L34" i="4"/>
  <c r="K34" i="4"/>
  <c r="J34" i="4"/>
  <c r="I34" i="4"/>
  <c r="H34" i="4"/>
  <c r="G34" i="4"/>
  <c r="F34" i="4"/>
  <c r="E34" i="4"/>
  <c r="O14" i="4"/>
  <c r="N14" i="4"/>
  <c r="M14" i="4"/>
  <c r="L14" i="4"/>
  <c r="K14" i="4"/>
  <c r="J14" i="4"/>
  <c r="I14" i="4"/>
  <c r="H14" i="4"/>
  <c r="G14" i="4"/>
  <c r="F14" i="4"/>
  <c r="E14" i="4"/>
  <c r="J187" i="19" l="1"/>
  <c r="Q6" i="20"/>
  <c r="R6" i="20"/>
  <c r="Q12" i="20"/>
  <c r="R12" i="20"/>
  <c r="Q10" i="20"/>
  <c r="R10" i="20"/>
  <c r="Q148" i="5"/>
  <c r="R148" i="20"/>
  <c r="Q141" i="5"/>
  <c r="R141" i="20"/>
  <c r="Q145" i="5"/>
  <c r="R145" i="20"/>
  <c r="Q149" i="5"/>
  <c r="R149" i="20"/>
  <c r="Q142" i="5"/>
  <c r="R142" i="20"/>
  <c r="Q146" i="5"/>
  <c r="R146" i="20"/>
  <c r="Q150" i="5"/>
  <c r="R150" i="20"/>
  <c r="Q143" i="5"/>
  <c r="R143" i="20"/>
  <c r="Q147" i="5"/>
  <c r="R147" i="20"/>
  <c r="Q144" i="5"/>
  <c r="R144" i="20"/>
  <c r="R151" i="20"/>
  <c r="R155" i="20"/>
  <c r="R159" i="20"/>
  <c r="R163" i="20"/>
  <c r="R167" i="20"/>
  <c r="R171" i="20"/>
  <c r="R152" i="20"/>
  <c r="R156" i="20"/>
  <c r="R160" i="20"/>
  <c r="R164" i="20"/>
  <c r="R168" i="20"/>
  <c r="R172" i="20"/>
  <c r="R153" i="20"/>
  <c r="R157" i="20"/>
  <c r="R161" i="20"/>
  <c r="R165" i="20"/>
  <c r="R169" i="20"/>
  <c r="R173" i="20"/>
  <c r="R154" i="20"/>
  <c r="R158" i="20"/>
  <c r="R162" i="20"/>
  <c r="R166" i="20"/>
  <c r="R170" i="20"/>
  <c r="Q19" i="20"/>
  <c r="R19" i="20"/>
  <c r="Q8" i="20"/>
  <c r="R8" i="20"/>
  <c r="Q98" i="4"/>
  <c r="R98" i="20"/>
  <c r="Q102" i="4"/>
  <c r="R102" i="20"/>
  <c r="Q100" i="4"/>
  <c r="R100" i="20"/>
  <c r="Q96" i="4"/>
  <c r="R96" i="20"/>
  <c r="Q108" i="20"/>
  <c r="R108" i="20"/>
  <c r="R106" i="20"/>
  <c r="D61" i="20"/>
  <c r="D63" i="28"/>
  <c r="Q39" i="20"/>
  <c r="R39" i="20"/>
  <c r="S39" i="20"/>
  <c r="K85" i="20"/>
  <c r="K131" i="20" s="1"/>
  <c r="K62" i="28"/>
  <c r="M85" i="20"/>
  <c r="M131" i="20" s="1"/>
  <c r="M62" i="28"/>
  <c r="M72" i="46" s="1"/>
  <c r="O61" i="20"/>
  <c r="O63" i="28"/>
  <c r="R105" i="20"/>
  <c r="Q77" i="20"/>
  <c r="S77" i="20"/>
  <c r="M183" i="19"/>
  <c r="H183" i="19"/>
  <c r="M187" i="19"/>
  <c r="H187" i="19"/>
  <c r="F74" i="15"/>
  <c r="N74" i="15"/>
  <c r="G74" i="14"/>
  <c r="O74" i="14"/>
  <c r="F74" i="17"/>
  <c r="N74" i="17"/>
  <c r="J74" i="15"/>
  <c r="L74" i="13"/>
  <c r="O183" i="19"/>
  <c r="O187" i="19"/>
  <c r="J183" i="19"/>
  <c r="G187" i="19"/>
  <c r="K183" i="19"/>
  <c r="I183" i="19"/>
  <c r="G183" i="19"/>
  <c r="I187" i="19"/>
  <c r="L185" i="19"/>
  <c r="K187" i="19"/>
  <c r="L187" i="19"/>
  <c r="L74" i="12"/>
  <c r="E74" i="18"/>
  <c r="M74" i="18"/>
  <c r="C4" i="28"/>
  <c r="F74" i="18"/>
  <c r="N74" i="18"/>
  <c r="H74" i="13"/>
  <c r="G74" i="6"/>
  <c r="L74" i="6"/>
  <c r="F74" i="14"/>
  <c r="N74" i="14"/>
  <c r="E74" i="17"/>
  <c r="M74" i="17"/>
  <c r="I74" i="13"/>
  <c r="O74" i="15"/>
  <c r="K74" i="6"/>
  <c r="H74" i="12"/>
  <c r="G74" i="15"/>
  <c r="E74" i="13"/>
  <c r="K74" i="15"/>
  <c r="D127" i="28"/>
  <c r="F61" i="20"/>
  <c r="M61" i="20"/>
  <c r="H85" i="20"/>
  <c r="H131" i="20" s="1"/>
  <c r="E61" i="20"/>
  <c r="J61" i="20"/>
  <c r="G61" i="20"/>
  <c r="I61" i="20"/>
  <c r="F85" i="20"/>
  <c r="F131" i="20" s="1"/>
  <c r="N85" i="20"/>
  <c r="N131" i="20" s="1"/>
  <c r="G85" i="20"/>
  <c r="G131" i="20" s="1"/>
  <c r="E85" i="20"/>
  <c r="E131" i="20" s="1"/>
  <c r="I85" i="20"/>
  <c r="I131" i="20" s="1"/>
  <c r="J85" i="20"/>
  <c r="J131" i="20" s="1"/>
  <c r="M42" i="28"/>
  <c r="M65" i="20"/>
  <c r="M65" i="28" s="1"/>
  <c r="O42" i="28"/>
  <c r="O65" i="20"/>
  <c r="I42" i="28"/>
  <c r="I65" i="20"/>
  <c r="J42" i="28"/>
  <c r="J65" i="20"/>
  <c r="D42" i="28"/>
  <c r="D65" i="20"/>
  <c r="D65" i="28" s="1"/>
  <c r="K40" i="28"/>
  <c r="K38" i="28" s="1"/>
  <c r="K63" i="20"/>
  <c r="Q59" i="20"/>
  <c r="W59" i="28"/>
  <c r="X59" i="28" s="1"/>
  <c r="L42" i="28"/>
  <c r="L65" i="20"/>
  <c r="L65" i="28" s="1"/>
  <c r="E42" i="28"/>
  <c r="E65" i="20"/>
  <c r="L40" i="28"/>
  <c r="L38" i="28" s="1"/>
  <c r="L63" i="20"/>
  <c r="J49" i="46"/>
  <c r="G49" i="46"/>
  <c r="I49" i="46"/>
  <c r="I72" i="46"/>
  <c r="N49" i="46"/>
  <c r="Q50" i="20"/>
  <c r="W50" i="28"/>
  <c r="X50" i="28" s="1"/>
  <c r="Q56" i="20"/>
  <c r="W56" i="28"/>
  <c r="X56" i="28" s="1"/>
  <c r="F42" i="28"/>
  <c r="F65" i="20"/>
  <c r="H40" i="28"/>
  <c r="H38" i="28" s="1"/>
  <c r="H63" i="20"/>
  <c r="Q54" i="20"/>
  <c r="W54" i="28"/>
  <c r="X54" i="28" s="1"/>
  <c r="Q129" i="46"/>
  <c r="R129" i="46"/>
  <c r="G42" i="28"/>
  <c r="G65" i="20"/>
  <c r="N42" i="28"/>
  <c r="N65" i="20"/>
  <c r="H42" i="28"/>
  <c r="H65" i="20"/>
  <c r="K42" i="28"/>
  <c r="K65" i="20"/>
  <c r="N40" i="28"/>
  <c r="N38" i="28" s="1"/>
  <c r="N63" i="20"/>
  <c r="K49" i="46"/>
  <c r="H49" i="46"/>
  <c r="M49" i="46"/>
  <c r="L49" i="46"/>
  <c r="Q52" i="20"/>
  <c r="W52" i="28"/>
  <c r="X52" i="28" s="1"/>
  <c r="Q53" i="4"/>
  <c r="E35" i="81"/>
  <c r="E13" i="81"/>
  <c r="J35" i="81"/>
  <c r="J13" i="81"/>
  <c r="I35" i="81"/>
  <c r="I13" i="81"/>
  <c r="H35" i="81"/>
  <c r="H13" i="81"/>
  <c r="D35" i="81"/>
  <c r="D13" i="81"/>
  <c r="C35" i="81"/>
  <c r="M35" i="81"/>
  <c r="M13" i="81"/>
  <c r="G35" i="81"/>
  <c r="G13" i="81"/>
  <c r="L35" i="81"/>
  <c r="L13" i="81"/>
  <c r="K35" i="81"/>
  <c r="K13" i="81"/>
  <c r="F35" i="81"/>
  <c r="F13" i="81"/>
  <c r="Q60" i="20"/>
  <c r="W60" i="28"/>
  <c r="X60" i="28" s="1"/>
  <c r="H74" i="6"/>
  <c r="E75" i="4"/>
  <c r="E121" i="4" s="1"/>
  <c r="P52" i="4"/>
  <c r="Q52" i="4" s="1"/>
  <c r="E78" i="4"/>
  <c r="E124" i="4" s="1"/>
  <c r="D88" i="4"/>
  <c r="P88" i="4" s="1"/>
  <c r="Q88" i="4" s="1"/>
  <c r="P65" i="4"/>
  <c r="Q65" i="4" s="1"/>
  <c r="P63" i="4"/>
  <c r="Q63" i="4" s="1"/>
  <c r="O76" i="4"/>
  <c r="O122" i="4" s="1"/>
  <c r="D49" i="46"/>
  <c r="O49" i="46"/>
  <c r="C7" i="46"/>
  <c r="C4" i="46" s="1"/>
  <c r="G74" i="9"/>
  <c r="K74" i="9"/>
  <c r="O74" i="9"/>
  <c r="G74" i="11"/>
  <c r="K74" i="11"/>
  <c r="O74" i="11"/>
  <c r="D81" i="17"/>
  <c r="I81" i="7"/>
  <c r="I127" i="7" s="1"/>
  <c r="M81" i="7"/>
  <c r="M127" i="7" s="1"/>
  <c r="L81" i="7"/>
  <c r="L127" i="7" s="1"/>
  <c r="J81" i="7"/>
  <c r="J127" i="7" s="1"/>
  <c r="N81" i="7"/>
  <c r="N127" i="7" s="1"/>
  <c r="B83" i="20"/>
  <c r="B129" i="20" s="1"/>
  <c r="F74" i="9"/>
  <c r="J74" i="9"/>
  <c r="N74" i="9"/>
  <c r="I74" i="10"/>
  <c r="M74" i="10"/>
  <c r="J74" i="10"/>
  <c r="N74" i="10"/>
  <c r="H81" i="17"/>
  <c r="H127" i="17" s="1"/>
  <c r="F74" i="11"/>
  <c r="J74" i="11"/>
  <c r="N74" i="11"/>
  <c r="F81" i="17"/>
  <c r="F127" i="17" s="1"/>
  <c r="G81" i="17"/>
  <c r="G127" i="17" s="1"/>
  <c r="E81" i="17"/>
  <c r="E127" i="17" s="1"/>
  <c r="I81" i="17"/>
  <c r="I127" i="17" s="1"/>
  <c r="J81" i="17"/>
  <c r="J127" i="17" s="1"/>
  <c r="P14" i="4"/>
  <c r="Q14" i="4" s="1"/>
  <c r="O74" i="6"/>
  <c r="H25" i="9"/>
  <c r="H44" i="9" s="1"/>
  <c r="H177" i="9" s="1"/>
  <c r="L25" i="11"/>
  <c r="L44" i="11" s="1"/>
  <c r="L177" i="11" s="1"/>
  <c r="M25" i="11"/>
  <c r="M44" i="11" s="1"/>
  <c r="M177" i="11" s="1"/>
  <c r="F74" i="10"/>
  <c r="J25" i="9"/>
  <c r="J44" i="9" s="1"/>
  <c r="J177" i="9" s="1"/>
  <c r="C48" i="46"/>
  <c r="C94" i="46" s="1"/>
  <c r="C95" i="46"/>
  <c r="C141" i="46" s="1"/>
  <c r="C140" i="46" s="1"/>
  <c r="P130" i="19"/>
  <c r="Q130" i="19" s="1"/>
  <c r="J107" i="20"/>
  <c r="J107" i="28" s="1"/>
  <c r="J117" i="46" s="1"/>
  <c r="H22" i="81" s="1"/>
  <c r="I25" i="10"/>
  <c r="I44" i="10" s="1"/>
  <c r="I177" i="10" s="1"/>
  <c r="M81" i="17"/>
  <c r="M127" i="17" s="1"/>
  <c r="L81" i="17"/>
  <c r="L127" i="17" s="1"/>
  <c r="O113" i="6"/>
  <c r="O181" i="6" s="1"/>
  <c r="N113" i="9"/>
  <c r="N181" i="9" s="1"/>
  <c r="E107" i="20"/>
  <c r="E107" i="28" s="1"/>
  <c r="E117" i="46" s="1"/>
  <c r="C22" i="81" s="1"/>
  <c r="G113" i="6"/>
  <c r="G181" i="6" s="1"/>
  <c r="O107" i="20"/>
  <c r="O107" i="28" s="1"/>
  <c r="O117" i="46" s="1"/>
  <c r="M22" i="81" s="1"/>
  <c r="O113" i="10"/>
  <c r="O181" i="10" s="1"/>
  <c r="K81" i="17"/>
  <c r="K127" i="17" s="1"/>
  <c r="O81" i="17"/>
  <c r="O127" i="17" s="1"/>
  <c r="N81" i="17"/>
  <c r="N127" i="17" s="1"/>
  <c r="M81" i="11"/>
  <c r="M127" i="11" s="1"/>
  <c r="F113" i="14"/>
  <c r="F181" i="14" s="1"/>
  <c r="N107" i="20"/>
  <c r="N107" i="28" s="1"/>
  <c r="N117" i="46" s="1"/>
  <c r="L22" i="81" s="1"/>
  <c r="P104" i="11"/>
  <c r="Q104" i="11" s="1"/>
  <c r="G81" i="14"/>
  <c r="G127" i="14" s="1"/>
  <c r="O25" i="14"/>
  <c r="O44" i="14" s="1"/>
  <c r="O177" i="14" s="1"/>
  <c r="O81" i="4"/>
  <c r="O127" i="4" s="1"/>
  <c r="J113" i="9"/>
  <c r="J181" i="9" s="1"/>
  <c r="P119" i="46"/>
  <c r="L107" i="20"/>
  <c r="L107" i="28" s="1"/>
  <c r="L117" i="46" s="1"/>
  <c r="J22" i="81" s="1"/>
  <c r="M107" i="20"/>
  <c r="M107" i="28" s="1"/>
  <c r="M117" i="46" s="1"/>
  <c r="K22" i="81" s="1"/>
  <c r="D107" i="20"/>
  <c r="O81" i="6"/>
  <c r="O127" i="6" s="1"/>
  <c r="I81" i="11"/>
  <c r="I127" i="11" s="1"/>
  <c r="L81" i="9"/>
  <c r="L127" i="9" s="1"/>
  <c r="H81" i="10"/>
  <c r="H127" i="10" s="1"/>
  <c r="F81" i="14"/>
  <c r="F127" i="14" s="1"/>
  <c r="F81" i="15"/>
  <c r="F127" i="15" s="1"/>
  <c r="J81" i="15"/>
  <c r="J127" i="15" s="1"/>
  <c r="N81" i="15"/>
  <c r="N127" i="15" s="1"/>
  <c r="O84" i="4"/>
  <c r="H107" i="20"/>
  <c r="H107" i="28" s="1"/>
  <c r="H117" i="46" s="1"/>
  <c r="F22" i="81" s="1"/>
  <c r="F107" i="20"/>
  <c r="F107" i="28" s="1"/>
  <c r="F117" i="46" s="1"/>
  <c r="D22" i="81" s="1"/>
  <c r="K107" i="20"/>
  <c r="K107" i="28" s="1"/>
  <c r="K117" i="46" s="1"/>
  <c r="I22" i="81" s="1"/>
  <c r="P109" i="20"/>
  <c r="G25" i="14"/>
  <c r="G44" i="14" s="1"/>
  <c r="G177" i="14" s="1"/>
  <c r="K25" i="14"/>
  <c r="K44" i="14" s="1"/>
  <c r="K177" i="14" s="1"/>
  <c r="J81" i="14"/>
  <c r="J127" i="14" s="1"/>
  <c r="P109" i="28"/>
  <c r="Q109" i="28" s="1"/>
  <c r="E17" i="46"/>
  <c r="N17" i="46"/>
  <c r="F17" i="46"/>
  <c r="K17" i="46"/>
  <c r="M17" i="46"/>
  <c r="G17" i="46"/>
  <c r="I17" i="46"/>
  <c r="J17" i="46"/>
  <c r="O17" i="46"/>
  <c r="L17" i="46"/>
  <c r="D17" i="46"/>
  <c r="H17" i="46"/>
  <c r="H81" i="15"/>
  <c r="H127" i="15" s="1"/>
  <c r="L81" i="15"/>
  <c r="L127" i="15" s="1"/>
  <c r="E81" i="15"/>
  <c r="E127" i="15" s="1"/>
  <c r="I81" i="15"/>
  <c r="I127" i="15" s="1"/>
  <c r="M81" i="15"/>
  <c r="M127" i="15" s="1"/>
  <c r="K81" i="14"/>
  <c r="K127" i="14" s="1"/>
  <c r="J81" i="12"/>
  <c r="J127" i="12" s="1"/>
  <c r="L81" i="10"/>
  <c r="L127" i="10" s="1"/>
  <c r="K81" i="5"/>
  <c r="K127" i="5" s="1"/>
  <c r="P17" i="20"/>
  <c r="P118" i="46"/>
  <c r="P20" i="39"/>
  <c r="P108" i="28"/>
  <c r="Q108" i="28" s="1"/>
  <c r="P12" i="28"/>
  <c r="Q12" i="28" s="1"/>
  <c r="D12" i="46"/>
  <c r="P12" i="46" s="1"/>
  <c r="Q12" i="46" s="1"/>
  <c r="P8" i="28"/>
  <c r="Q8" i="28" s="1"/>
  <c r="P8" i="46"/>
  <c r="Q8" i="46" s="1"/>
  <c r="E38" i="20"/>
  <c r="E40" i="28"/>
  <c r="E50" i="46" s="1"/>
  <c r="M137" i="46"/>
  <c r="E137" i="46"/>
  <c r="H137" i="46"/>
  <c r="O137" i="46"/>
  <c r="N137" i="46"/>
  <c r="P21" i="28"/>
  <c r="Q21" i="28" s="1"/>
  <c r="D21" i="46"/>
  <c r="P21" i="46" s="1"/>
  <c r="Q21" i="46" s="1"/>
  <c r="J38" i="20"/>
  <c r="J40" i="28"/>
  <c r="I38" i="20"/>
  <c r="I40" i="28"/>
  <c r="D10" i="46"/>
  <c r="P10" i="46" s="1"/>
  <c r="Q10" i="46" s="1"/>
  <c r="P10" i="28"/>
  <c r="Q10" i="28" s="1"/>
  <c r="D38" i="20"/>
  <c r="D40" i="28"/>
  <c r="K137" i="46"/>
  <c r="P19" i="28"/>
  <c r="P6" i="28"/>
  <c r="Q6" i="28" s="1"/>
  <c r="E6" i="46"/>
  <c r="P6" i="46" s="1"/>
  <c r="Q6" i="46" s="1"/>
  <c r="O38" i="20"/>
  <c r="O40" i="28"/>
  <c r="J137" i="46"/>
  <c r="M38" i="20"/>
  <c r="M40" i="28"/>
  <c r="P19" i="46"/>
  <c r="L81" i="6"/>
  <c r="L127" i="6" s="1"/>
  <c r="P140" i="6"/>
  <c r="Q140" i="6" s="1"/>
  <c r="G38" i="20"/>
  <c r="G40" i="28"/>
  <c r="F38" i="20"/>
  <c r="F40" i="28"/>
  <c r="F50" i="46" s="1"/>
  <c r="C121" i="46"/>
  <c r="C144" i="46" s="1"/>
  <c r="I137" i="46"/>
  <c r="L137" i="46"/>
  <c r="G137" i="46"/>
  <c r="F137" i="46"/>
  <c r="P17" i="28"/>
  <c r="J113" i="14"/>
  <c r="J181" i="14" s="1"/>
  <c r="N113" i="14"/>
  <c r="N181" i="14" s="1"/>
  <c r="F81" i="12"/>
  <c r="F127" i="12" s="1"/>
  <c r="N81" i="12"/>
  <c r="N127" i="12" s="1"/>
  <c r="G81" i="6"/>
  <c r="G127" i="6" s="1"/>
  <c r="G25" i="6"/>
  <c r="G44" i="6" s="1"/>
  <c r="G177" i="6" s="1"/>
  <c r="K25" i="6"/>
  <c r="K44" i="6" s="1"/>
  <c r="K177" i="6" s="1"/>
  <c r="O25" i="6"/>
  <c r="O44" i="6" s="1"/>
  <c r="O177" i="6" s="1"/>
  <c r="P35" i="14"/>
  <c r="Q35" i="14" s="1"/>
  <c r="I81" i="9"/>
  <c r="I127" i="9" s="1"/>
  <c r="I81" i="10"/>
  <c r="I127" i="10" s="1"/>
  <c r="I81" i="5"/>
  <c r="I127" i="5" s="1"/>
  <c r="H81" i="6"/>
  <c r="H127" i="6" s="1"/>
  <c r="F84" i="4"/>
  <c r="J84" i="4"/>
  <c r="P85" i="5"/>
  <c r="Q85" i="5" s="1"/>
  <c r="K81" i="4"/>
  <c r="K127" i="4" s="1"/>
  <c r="H81" i="11"/>
  <c r="H127" i="11" s="1"/>
  <c r="N84" i="4"/>
  <c r="E84" i="4"/>
  <c r="P35" i="6"/>
  <c r="Q35" i="6" s="1"/>
  <c r="K81" i="6"/>
  <c r="K127" i="6" s="1"/>
  <c r="M81" i="10"/>
  <c r="M127" i="10" s="1"/>
  <c r="P35" i="11"/>
  <c r="Q35" i="11" s="1"/>
  <c r="P28" i="17"/>
  <c r="Q28" i="17" s="1"/>
  <c r="P35" i="5"/>
  <c r="Q35" i="5" s="1"/>
  <c r="M81" i="9"/>
  <c r="M127" i="9" s="1"/>
  <c r="P65" i="5"/>
  <c r="Q65" i="5" s="1"/>
  <c r="O25" i="13"/>
  <c r="O44" i="13" s="1"/>
  <c r="O177" i="13" s="1"/>
  <c r="P84" i="11"/>
  <c r="Q84" i="11" s="1"/>
  <c r="L81" i="11"/>
  <c r="L127" i="11" s="1"/>
  <c r="F25" i="14"/>
  <c r="F44" i="14" s="1"/>
  <c r="F177" i="14" s="1"/>
  <c r="J25" i="14"/>
  <c r="J44" i="14" s="1"/>
  <c r="J177" i="14" s="1"/>
  <c r="P84" i="17"/>
  <c r="Q84" i="17" s="1"/>
  <c r="P84" i="14"/>
  <c r="Q84" i="14" s="1"/>
  <c r="P84" i="15"/>
  <c r="Q84" i="15" s="1"/>
  <c r="I84" i="4"/>
  <c r="F81" i="7"/>
  <c r="F127" i="7" s="1"/>
  <c r="I81" i="13"/>
  <c r="I127" i="13" s="1"/>
  <c r="P35" i="18"/>
  <c r="Q35" i="18" s="1"/>
  <c r="P84" i="18"/>
  <c r="Q84" i="18" s="1"/>
  <c r="D123" i="20"/>
  <c r="P123" i="20" s="1"/>
  <c r="P61" i="18"/>
  <c r="Q61" i="18" s="1"/>
  <c r="P85" i="18"/>
  <c r="Q85" i="18" s="1"/>
  <c r="O81" i="18"/>
  <c r="O127" i="18" s="1"/>
  <c r="K81" i="18"/>
  <c r="K127" i="18" s="1"/>
  <c r="P50" i="17"/>
  <c r="Q50" i="17" s="1"/>
  <c r="P84" i="13"/>
  <c r="Q84" i="13" s="1"/>
  <c r="P61" i="10"/>
  <c r="Q61" i="10" s="1"/>
  <c r="P84" i="10"/>
  <c r="Q84" i="10" s="1"/>
  <c r="H25" i="10"/>
  <c r="H44" i="10" s="1"/>
  <c r="H177" i="10" s="1"/>
  <c r="L25" i="10"/>
  <c r="L44" i="10" s="1"/>
  <c r="L177" i="10" s="1"/>
  <c r="P84" i="9"/>
  <c r="Q84" i="9" s="1"/>
  <c r="P85" i="6"/>
  <c r="Q85" i="6" s="1"/>
  <c r="K86" i="4"/>
  <c r="K132" i="4" s="1"/>
  <c r="K130" i="4" s="1"/>
  <c r="M84" i="4"/>
  <c r="M130" i="4"/>
  <c r="L84" i="4"/>
  <c r="K84" i="4"/>
  <c r="G86" i="4"/>
  <c r="G132" i="4" s="1"/>
  <c r="G130" i="4" s="1"/>
  <c r="H84" i="4"/>
  <c r="P38" i="4"/>
  <c r="Q38" i="4" s="1"/>
  <c r="G84" i="4"/>
  <c r="D75" i="4"/>
  <c r="C88" i="28"/>
  <c r="C134" i="28" s="1"/>
  <c r="C85" i="28"/>
  <c r="C131" i="28" s="1"/>
  <c r="C130" i="28" s="1"/>
  <c r="C38" i="28"/>
  <c r="P50" i="18"/>
  <c r="Q50" i="18" s="1"/>
  <c r="P131" i="18"/>
  <c r="Q131" i="18" s="1"/>
  <c r="D130" i="18"/>
  <c r="D82" i="18"/>
  <c r="P59" i="18"/>
  <c r="Q59" i="18" s="1"/>
  <c r="D83" i="18"/>
  <c r="P60" i="18"/>
  <c r="Q60" i="18" s="1"/>
  <c r="D77" i="18"/>
  <c r="P77" i="18" s="1"/>
  <c r="Q77" i="18" s="1"/>
  <c r="P54" i="18"/>
  <c r="Q54" i="18" s="1"/>
  <c r="D79" i="18"/>
  <c r="P56" i="18"/>
  <c r="Q56" i="18" s="1"/>
  <c r="P61" i="17"/>
  <c r="Q61" i="17" s="1"/>
  <c r="P85" i="17"/>
  <c r="Q85" i="17" s="1"/>
  <c r="P35" i="17"/>
  <c r="Q35" i="17" s="1"/>
  <c r="D75" i="17"/>
  <c r="P52" i="17"/>
  <c r="Q52" i="17" s="1"/>
  <c r="D77" i="17"/>
  <c r="D123" i="17" s="1"/>
  <c r="P123" i="17" s="1"/>
  <c r="Q123" i="17" s="1"/>
  <c r="P54" i="17"/>
  <c r="Q54" i="17" s="1"/>
  <c r="D82" i="17"/>
  <c r="P59" i="17"/>
  <c r="Q59" i="17" s="1"/>
  <c r="D83" i="17"/>
  <c r="P60" i="17"/>
  <c r="Q60" i="17" s="1"/>
  <c r="P131" i="17"/>
  <c r="Q131" i="17" s="1"/>
  <c r="D130" i="17"/>
  <c r="D75" i="15"/>
  <c r="D121" i="15" s="1"/>
  <c r="P52" i="15"/>
  <c r="Q52" i="15" s="1"/>
  <c r="D77" i="15"/>
  <c r="P77" i="15" s="1"/>
  <c r="Q77" i="15" s="1"/>
  <c r="P54" i="15"/>
  <c r="Q54" i="15" s="1"/>
  <c r="D79" i="15"/>
  <c r="P56" i="15"/>
  <c r="Q56" i="15" s="1"/>
  <c r="P58" i="15"/>
  <c r="Q58" i="15" s="1"/>
  <c r="D82" i="15"/>
  <c r="P59" i="15"/>
  <c r="Q59" i="15" s="1"/>
  <c r="D83" i="15"/>
  <c r="P60" i="15"/>
  <c r="Q60" i="15" s="1"/>
  <c r="D81" i="15"/>
  <c r="P35" i="15"/>
  <c r="Q35" i="15" s="1"/>
  <c r="P61" i="15"/>
  <c r="Q61" i="15" s="1"/>
  <c r="P85" i="15"/>
  <c r="Q85" i="15" s="1"/>
  <c r="P131" i="15"/>
  <c r="Q131" i="15" s="1"/>
  <c r="D130" i="15"/>
  <c r="D75" i="14"/>
  <c r="P52" i="14"/>
  <c r="Q52" i="14" s="1"/>
  <c r="D77" i="14"/>
  <c r="D123" i="14" s="1"/>
  <c r="P123" i="14" s="1"/>
  <c r="Q123" i="14" s="1"/>
  <c r="P54" i="14"/>
  <c r="Q54" i="14" s="1"/>
  <c r="D79" i="14"/>
  <c r="P56" i="14"/>
  <c r="Q56" i="14" s="1"/>
  <c r="D82" i="14"/>
  <c r="P59" i="14"/>
  <c r="Q59" i="14" s="1"/>
  <c r="D83" i="14"/>
  <c r="P60" i="14"/>
  <c r="Q60" i="14" s="1"/>
  <c r="P85" i="14"/>
  <c r="Q85" i="14" s="1"/>
  <c r="P61" i="14"/>
  <c r="Q61" i="14" s="1"/>
  <c r="P131" i="14"/>
  <c r="Q131" i="14" s="1"/>
  <c r="D130" i="14"/>
  <c r="P35" i="13"/>
  <c r="Q35" i="13" s="1"/>
  <c r="N81" i="13"/>
  <c r="N127" i="13" s="1"/>
  <c r="P131" i="13"/>
  <c r="Q131" i="13" s="1"/>
  <c r="D130" i="13"/>
  <c r="D73" i="13"/>
  <c r="P50" i="13"/>
  <c r="Q50" i="13" s="1"/>
  <c r="P59" i="13"/>
  <c r="Q59" i="13" s="1"/>
  <c r="D83" i="13"/>
  <c r="P60" i="13"/>
  <c r="Q60" i="13" s="1"/>
  <c r="E25" i="13"/>
  <c r="E44" i="13" s="1"/>
  <c r="E177" i="13" s="1"/>
  <c r="I25" i="13"/>
  <c r="I44" i="13" s="1"/>
  <c r="I177" i="13" s="1"/>
  <c r="D75" i="13"/>
  <c r="P52" i="13"/>
  <c r="Q52" i="13" s="1"/>
  <c r="D77" i="13"/>
  <c r="D123" i="13" s="1"/>
  <c r="P54" i="13"/>
  <c r="Q54" i="13" s="1"/>
  <c r="D79" i="13"/>
  <c r="P56" i="13"/>
  <c r="Q56" i="13" s="1"/>
  <c r="P61" i="13"/>
  <c r="Q61" i="13" s="1"/>
  <c r="P85" i="13"/>
  <c r="Q85" i="13" s="1"/>
  <c r="P59" i="12"/>
  <c r="Q59" i="12" s="1"/>
  <c r="D83" i="12"/>
  <c r="P60" i="12"/>
  <c r="Q60" i="12" s="1"/>
  <c r="P84" i="12"/>
  <c r="Q84" i="12" s="1"/>
  <c r="P85" i="12"/>
  <c r="Q85" i="12" s="1"/>
  <c r="D75" i="12"/>
  <c r="P52" i="12"/>
  <c r="Q52" i="12" s="1"/>
  <c r="D77" i="12"/>
  <c r="D123" i="12" s="1"/>
  <c r="P54" i="12"/>
  <c r="Q54" i="12" s="1"/>
  <c r="D79" i="12"/>
  <c r="P56" i="12"/>
  <c r="Q56" i="12" s="1"/>
  <c r="P131" i="12"/>
  <c r="Q131" i="12" s="1"/>
  <c r="D130" i="12"/>
  <c r="P35" i="12"/>
  <c r="Q35" i="12" s="1"/>
  <c r="D73" i="12"/>
  <c r="P50" i="12"/>
  <c r="Q50" i="12" s="1"/>
  <c r="P61" i="12"/>
  <c r="Q61" i="12" s="1"/>
  <c r="P50" i="11"/>
  <c r="Q50" i="11" s="1"/>
  <c r="P61" i="11"/>
  <c r="Q61" i="11" s="1"/>
  <c r="P85" i="11"/>
  <c r="Q85" i="11" s="1"/>
  <c r="P52" i="11"/>
  <c r="Q52" i="11" s="1"/>
  <c r="P54" i="11"/>
  <c r="Q54" i="11" s="1"/>
  <c r="P56" i="11"/>
  <c r="Q56" i="11" s="1"/>
  <c r="P59" i="11"/>
  <c r="Q59" i="11" s="1"/>
  <c r="P60" i="11"/>
  <c r="Q60" i="11" s="1"/>
  <c r="P131" i="11"/>
  <c r="Q131" i="11" s="1"/>
  <c r="P35" i="10"/>
  <c r="Q35" i="10" s="1"/>
  <c r="P50" i="10"/>
  <c r="Q50" i="10" s="1"/>
  <c r="P52" i="10"/>
  <c r="Q52" i="10" s="1"/>
  <c r="P123" i="10"/>
  <c r="Q123" i="10" s="1"/>
  <c r="P54" i="10"/>
  <c r="Q54" i="10" s="1"/>
  <c r="P56" i="10"/>
  <c r="Q56" i="10" s="1"/>
  <c r="P85" i="10"/>
  <c r="Q85" i="10" s="1"/>
  <c r="P132" i="10"/>
  <c r="Q132" i="10" s="1"/>
  <c r="P86" i="10"/>
  <c r="Q86" i="10" s="1"/>
  <c r="P59" i="10"/>
  <c r="Q59" i="10" s="1"/>
  <c r="P60" i="10"/>
  <c r="Q60" i="10" s="1"/>
  <c r="P131" i="10"/>
  <c r="Q131" i="10" s="1"/>
  <c r="P131" i="9"/>
  <c r="Q131" i="9" s="1"/>
  <c r="P35" i="9"/>
  <c r="Q35" i="9" s="1"/>
  <c r="D73" i="9"/>
  <c r="P50" i="9"/>
  <c r="Q50" i="9" s="1"/>
  <c r="P61" i="9"/>
  <c r="Q61" i="9" s="1"/>
  <c r="D75" i="9"/>
  <c r="P52" i="9"/>
  <c r="Q52" i="9" s="1"/>
  <c r="D77" i="9"/>
  <c r="P77" i="9" s="1"/>
  <c r="Q77" i="9" s="1"/>
  <c r="P54" i="9"/>
  <c r="Q54" i="9" s="1"/>
  <c r="D79" i="9"/>
  <c r="P56" i="9"/>
  <c r="Q56" i="9" s="1"/>
  <c r="D82" i="9"/>
  <c r="P59" i="9"/>
  <c r="Q59" i="9" s="1"/>
  <c r="D83" i="9"/>
  <c r="P60" i="9"/>
  <c r="Q60" i="9" s="1"/>
  <c r="D132" i="9"/>
  <c r="P132" i="9" s="1"/>
  <c r="Q132" i="9" s="1"/>
  <c r="P86" i="9"/>
  <c r="Q86" i="9" s="1"/>
  <c r="P85" i="9"/>
  <c r="Q85" i="9" s="1"/>
  <c r="D75" i="7"/>
  <c r="P52" i="7"/>
  <c r="Q52" i="7" s="1"/>
  <c r="P54" i="7"/>
  <c r="Q54" i="7" s="1"/>
  <c r="D79" i="7"/>
  <c r="P56" i="7"/>
  <c r="Q56" i="7" s="1"/>
  <c r="D82" i="7"/>
  <c r="P59" i="7"/>
  <c r="Q59" i="7" s="1"/>
  <c r="D83" i="7"/>
  <c r="P60" i="7"/>
  <c r="Q60" i="7" s="1"/>
  <c r="P84" i="7"/>
  <c r="Q84" i="7" s="1"/>
  <c r="K81" i="7"/>
  <c r="K127" i="7" s="1"/>
  <c r="O81" i="7"/>
  <c r="O127" i="7" s="1"/>
  <c r="P61" i="7"/>
  <c r="Q61" i="7" s="1"/>
  <c r="P85" i="7"/>
  <c r="Q85" i="7" s="1"/>
  <c r="P35" i="7"/>
  <c r="Q35" i="7" s="1"/>
  <c r="D73" i="7"/>
  <c r="P50" i="7"/>
  <c r="Q50" i="7" s="1"/>
  <c r="P131" i="7"/>
  <c r="Q131" i="7" s="1"/>
  <c r="D130" i="7"/>
  <c r="P50" i="5"/>
  <c r="Q50" i="5" s="1"/>
  <c r="P131" i="5"/>
  <c r="Q131" i="5" s="1"/>
  <c r="D130" i="5"/>
  <c r="P61" i="5"/>
  <c r="Q61" i="5" s="1"/>
  <c r="D75" i="5"/>
  <c r="P52" i="5"/>
  <c r="Q52" i="5" s="1"/>
  <c r="P54" i="5"/>
  <c r="Q54" i="5" s="1"/>
  <c r="D79" i="5"/>
  <c r="P56" i="5"/>
  <c r="Q56" i="5" s="1"/>
  <c r="D81" i="5"/>
  <c r="P59" i="5"/>
  <c r="Q59" i="5" s="1"/>
  <c r="D83" i="5"/>
  <c r="P60" i="5"/>
  <c r="Q60" i="5" s="1"/>
  <c r="P131" i="6"/>
  <c r="Q131" i="6" s="1"/>
  <c r="D130" i="6"/>
  <c r="D75" i="6"/>
  <c r="P52" i="6"/>
  <c r="Q52" i="6" s="1"/>
  <c r="D77" i="6"/>
  <c r="P77" i="6" s="1"/>
  <c r="Q77" i="6" s="1"/>
  <c r="P54" i="6"/>
  <c r="Q54" i="6" s="1"/>
  <c r="D79" i="6"/>
  <c r="P56" i="6"/>
  <c r="Q56" i="6" s="1"/>
  <c r="P61" i="6"/>
  <c r="Q61" i="6" s="1"/>
  <c r="D82" i="6"/>
  <c r="P59" i="6"/>
  <c r="Q59" i="6" s="1"/>
  <c r="D83" i="6"/>
  <c r="P60" i="6"/>
  <c r="D73" i="6"/>
  <c r="P50" i="6"/>
  <c r="Q50" i="6" s="1"/>
  <c r="D132" i="4"/>
  <c r="D130" i="4" s="1"/>
  <c r="I130" i="4"/>
  <c r="D131" i="20"/>
  <c r="D86" i="20"/>
  <c r="P40" i="20"/>
  <c r="G86" i="20"/>
  <c r="G132" i="20" s="1"/>
  <c r="M86" i="20"/>
  <c r="M132" i="20" s="1"/>
  <c r="P85" i="4"/>
  <c r="Q85" i="4" s="1"/>
  <c r="E72" i="46"/>
  <c r="P39" i="28"/>
  <c r="Q39" i="28" s="1"/>
  <c r="P62" i="20"/>
  <c r="R62" i="20" s="1"/>
  <c r="L86" i="4"/>
  <c r="L132" i="4" s="1"/>
  <c r="L130" i="4" s="1"/>
  <c r="H38" i="20"/>
  <c r="D129" i="20"/>
  <c r="P129" i="20" s="1"/>
  <c r="P83" i="20"/>
  <c r="P131" i="4"/>
  <c r="Q131" i="4" s="1"/>
  <c r="P35" i="4"/>
  <c r="D83" i="4"/>
  <c r="L38" i="20"/>
  <c r="J86" i="20"/>
  <c r="J132" i="20" s="1"/>
  <c r="K38" i="20"/>
  <c r="N38" i="20"/>
  <c r="D81" i="20"/>
  <c r="P58" i="20"/>
  <c r="L85" i="20"/>
  <c r="L131" i="20" s="1"/>
  <c r="O86" i="20"/>
  <c r="O132" i="20" s="1"/>
  <c r="O130" i="20" s="1"/>
  <c r="D128" i="20"/>
  <c r="P128" i="20" s="1"/>
  <c r="P82" i="20"/>
  <c r="D134" i="9"/>
  <c r="P134" i="9" s="1"/>
  <c r="Q134" i="9" s="1"/>
  <c r="P88" i="9"/>
  <c r="Q88" i="9" s="1"/>
  <c r="D134" i="13"/>
  <c r="P134" i="13" s="1"/>
  <c r="Q134" i="13" s="1"/>
  <c r="P88" i="13"/>
  <c r="Q88" i="13" s="1"/>
  <c r="D134" i="12"/>
  <c r="P134" i="12" s="1"/>
  <c r="Q134" i="12" s="1"/>
  <c r="P88" i="12"/>
  <c r="Q88" i="12" s="1"/>
  <c r="D134" i="6"/>
  <c r="P134" i="6" s="1"/>
  <c r="Q134" i="6" s="1"/>
  <c r="P88" i="6"/>
  <c r="Q88" i="6" s="1"/>
  <c r="D134" i="15"/>
  <c r="P134" i="15" s="1"/>
  <c r="Q134" i="15" s="1"/>
  <c r="P88" i="15"/>
  <c r="Q88" i="15" s="1"/>
  <c r="P65" i="7"/>
  <c r="Q65" i="7" s="1"/>
  <c r="P65" i="18"/>
  <c r="Q65" i="18" s="1"/>
  <c r="P65" i="10"/>
  <c r="Q65" i="10" s="1"/>
  <c r="P65" i="13"/>
  <c r="Q65" i="13" s="1"/>
  <c r="D134" i="17"/>
  <c r="P134" i="17" s="1"/>
  <c r="Q134" i="17" s="1"/>
  <c r="P88" i="17"/>
  <c r="Q88" i="17" s="1"/>
  <c r="P134" i="11"/>
  <c r="Q134" i="11" s="1"/>
  <c r="P88" i="11"/>
  <c r="Q88" i="11" s="1"/>
  <c r="D134" i="4"/>
  <c r="P134" i="4" s="1"/>
  <c r="Q134" i="4" s="1"/>
  <c r="D88" i="5"/>
  <c r="D88" i="18"/>
  <c r="D134" i="18" s="1"/>
  <c r="P65" i="14"/>
  <c r="Q65" i="14" s="1"/>
  <c r="P65" i="17"/>
  <c r="Q65" i="17" s="1"/>
  <c r="P65" i="11"/>
  <c r="Q65" i="11" s="1"/>
  <c r="D134" i="7"/>
  <c r="P134" i="7" s="1"/>
  <c r="Q134" i="7" s="1"/>
  <c r="P88" i="7"/>
  <c r="Q88" i="7" s="1"/>
  <c r="D134" i="14"/>
  <c r="P134" i="14" s="1"/>
  <c r="Q134" i="14" s="1"/>
  <c r="P88" i="14"/>
  <c r="Q88" i="14" s="1"/>
  <c r="P65" i="12"/>
  <c r="Q65" i="12" s="1"/>
  <c r="P65" i="6"/>
  <c r="Q65" i="6" s="1"/>
  <c r="P65" i="15"/>
  <c r="Q65" i="15" s="1"/>
  <c r="P42" i="20"/>
  <c r="P65" i="9"/>
  <c r="Q65" i="9" s="1"/>
  <c r="D75" i="18"/>
  <c r="P52" i="18"/>
  <c r="Q52" i="18" s="1"/>
  <c r="D121" i="20"/>
  <c r="P121" i="20" s="1"/>
  <c r="P75" i="20"/>
  <c r="H122" i="18"/>
  <c r="H126" i="18" s="1"/>
  <c r="H80" i="18"/>
  <c r="L122" i="18"/>
  <c r="L126" i="18" s="1"/>
  <c r="L80" i="18"/>
  <c r="F122" i="18"/>
  <c r="F126" i="18" s="1"/>
  <c r="F80" i="18"/>
  <c r="J122" i="18"/>
  <c r="J126" i="18" s="1"/>
  <c r="J80" i="18"/>
  <c r="N122" i="18"/>
  <c r="N126" i="18" s="1"/>
  <c r="N80" i="18"/>
  <c r="G122" i="18"/>
  <c r="G126" i="18" s="1"/>
  <c r="G80" i="18"/>
  <c r="K122" i="18"/>
  <c r="K126" i="18" s="1"/>
  <c r="K80" i="18"/>
  <c r="O122" i="18"/>
  <c r="O126" i="18" s="1"/>
  <c r="O80" i="18"/>
  <c r="G94" i="18"/>
  <c r="K94" i="18"/>
  <c r="O94" i="18"/>
  <c r="L94" i="18"/>
  <c r="J94" i="18"/>
  <c r="D79" i="17"/>
  <c r="P56" i="17"/>
  <c r="Q56" i="17" s="1"/>
  <c r="D125" i="20"/>
  <c r="P125" i="20" s="1"/>
  <c r="P79" i="20"/>
  <c r="P50" i="15"/>
  <c r="Q50" i="15" s="1"/>
  <c r="H122" i="14"/>
  <c r="H126" i="14" s="1"/>
  <c r="H80" i="14"/>
  <c r="L122" i="14"/>
  <c r="L126" i="14" s="1"/>
  <c r="L80" i="14"/>
  <c r="E122" i="14"/>
  <c r="E126" i="14" s="1"/>
  <c r="E80" i="14"/>
  <c r="I122" i="14"/>
  <c r="I126" i="14" s="1"/>
  <c r="I80" i="14"/>
  <c r="M122" i="14"/>
  <c r="M126" i="14" s="1"/>
  <c r="M80" i="14"/>
  <c r="F122" i="14"/>
  <c r="F126" i="14" s="1"/>
  <c r="F80" i="14"/>
  <c r="J122" i="14"/>
  <c r="J126" i="14" s="1"/>
  <c r="J80" i="14"/>
  <c r="N122" i="14"/>
  <c r="N126" i="14" s="1"/>
  <c r="N80" i="14"/>
  <c r="G122" i="14"/>
  <c r="G126" i="14" s="1"/>
  <c r="G80" i="14"/>
  <c r="K122" i="14"/>
  <c r="K126" i="14" s="1"/>
  <c r="K80" i="14"/>
  <c r="O122" i="14"/>
  <c r="O126" i="14" s="1"/>
  <c r="O80" i="14"/>
  <c r="P50" i="14"/>
  <c r="Q50" i="14" s="1"/>
  <c r="E119" i="20"/>
  <c r="P119" i="20" s="1"/>
  <c r="P73" i="20"/>
  <c r="E122" i="13"/>
  <c r="E126" i="13" s="1"/>
  <c r="E80" i="13"/>
  <c r="I122" i="13"/>
  <c r="I126" i="13" s="1"/>
  <c r="I80" i="13"/>
  <c r="M122" i="13"/>
  <c r="M126" i="13" s="1"/>
  <c r="M80" i="13"/>
  <c r="F122" i="13"/>
  <c r="J122" i="13"/>
  <c r="J126" i="13" s="1"/>
  <c r="J80" i="13"/>
  <c r="N122" i="13"/>
  <c r="N126" i="13" s="1"/>
  <c r="N80" i="13"/>
  <c r="G122" i="13"/>
  <c r="G126" i="13" s="1"/>
  <c r="G80" i="13"/>
  <c r="K122" i="13"/>
  <c r="K126" i="13" s="1"/>
  <c r="K80" i="13"/>
  <c r="O122" i="13"/>
  <c r="O126" i="13" s="1"/>
  <c r="O80" i="13"/>
  <c r="H94" i="13"/>
  <c r="H113" i="13" s="1"/>
  <c r="H181" i="13" s="1"/>
  <c r="L94" i="13"/>
  <c r="L113" i="13" s="1"/>
  <c r="L181" i="13" s="1"/>
  <c r="N94" i="13"/>
  <c r="N113" i="13" s="1"/>
  <c r="N181" i="13" s="1"/>
  <c r="M118" i="13"/>
  <c r="M120" i="13" s="1"/>
  <c r="M74" i="13"/>
  <c r="G94" i="13"/>
  <c r="G113" i="13" s="1"/>
  <c r="G181" i="13" s="1"/>
  <c r="K94" i="13"/>
  <c r="K113" i="13" s="1"/>
  <c r="K181" i="13" s="1"/>
  <c r="O94" i="13"/>
  <c r="O113" i="13" s="1"/>
  <c r="O181" i="13" s="1"/>
  <c r="P28" i="12"/>
  <c r="Q28" i="12" s="1"/>
  <c r="H122" i="11"/>
  <c r="L122" i="11"/>
  <c r="I122" i="11"/>
  <c r="M122" i="11"/>
  <c r="G94" i="11"/>
  <c r="G113" i="11" s="1"/>
  <c r="G181" i="11" s="1"/>
  <c r="K94" i="11"/>
  <c r="K113" i="11" s="1"/>
  <c r="K181" i="11" s="1"/>
  <c r="O94" i="11"/>
  <c r="O113" i="11" s="1"/>
  <c r="O181" i="11" s="1"/>
  <c r="P53" i="10"/>
  <c r="Q53" i="10" s="1"/>
  <c r="H122" i="10"/>
  <c r="H126" i="10" s="1"/>
  <c r="H80" i="10"/>
  <c r="L122" i="10"/>
  <c r="L126" i="10" s="1"/>
  <c r="L80" i="10"/>
  <c r="I122" i="10"/>
  <c r="I126" i="10" s="1"/>
  <c r="I80" i="10"/>
  <c r="M122" i="10"/>
  <c r="M126" i="10" s="1"/>
  <c r="M80" i="10"/>
  <c r="F122" i="10"/>
  <c r="F126" i="10" s="1"/>
  <c r="F80" i="10"/>
  <c r="J122" i="10"/>
  <c r="J126" i="10" s="1"/>
  <c r="J80" i="10"/>
  <c r="N122" i="10"/>
  <c r="N126" i="10" s="1"/>
  <c r="N80" i="10"/>
  <c r="G122" i="10"/>
  <c r="G126" i="10" s="1"/>
  <c r="G80" i="10"/>
  <c r="K122" i="10"/>
  <c r="K126" i="10" s="1"/>
  <c r="K80" i="10"/>
  <c r="O122" i="10"/>
  <c r="O126" i="10" s="1"/>
  <c r="O80" i="10"/>
  <c r="I94" i="10"/>
  <c r="I113" i="10" s="1"/>
  <c r="I181" i="10" s="1"/>
  <c r="M94" i="10"/>
  <c r="M113" i="10" s="1"/>
  <c r="M181" i="10" s="1"/>
  <c r="G94" i="10"/>
  <c r="G113" i="10" s="1"/>
  <c r="G181" i="10" s="1"/>
  <c r="E122" i="9"/>
  <c r="E126" i="9" s="1"/>
  <c r="E80" i="9"/>
  <c r="I122" i="9"/>
  <c r="I126" i="9" s="1"/>
  <c r="I80" i="9"/>
  <c r="M122" i="9"/>
  <c r="M126" i="9" s="1"/>
  <c r="M80" i="9"/>
  <c r="H122" i="9"/>
  <c r="H126" i="9" s="1"/>
  <c r="H80" i="9"/>
  <c r="L122" i="9"/>
  <c r="L126" i="9" s="1"/>
  <c r="L80" i="9"/>
  <c r="F94" i="9"/>
  <c r="F113" i="9" s="1"/>
  <c r="F181" i="9" s="1"/>
  <c r="H122" i="6"/>
  <c r="H126" i="6" s="1"/>
  <c r="H80" i="6"/>
  <c r="L122" i="6"/>
  <c r="L126" i="6" s="1"/>
  <c r="L80" i="6"/>
  <c r="E122" i="6"/>
  <c r="E126" i="6" s="1"/>
  <c r="E80" i="6"/>
  <c r="I122" i="6"/>
  <c r="I126" i="6" s="1"/>
  <c r="I80" i="6"/>
  <c r="M122" i="6"/>
  <c r="M126" i="6" s="1"/>
  <c r="M80" i="6"/>
  <c r="F122" i="6"/>
  <c r="F126" i="6" s="1"/>
  <c r="F80" i="6"/>
  <c r="J122" i="6"/>
  <c r="J126" i="6" s="1"/>
  <c r="J80" i="6"/>
  <c r="N122" i="6"/>
  <c r="N126" i="6" s="1"/>
  <c r="N80" i="6"/>
  <c r="G122" i="6"/>
  <c r="G126" i="6" s="1"/>
  <c r="G80" i="6"/>
  <c r="K122" i="6"/>
  <c r="K126" i="6" s="1"/>
  <c r="K80" i="6"/>
  <c r="O122" i="6"/>
  <c r="O126" i="6" s="1"/>
  <c r="O80" i="6"/>
  <c r="P55" i="11"/>
  <c r="Q55" i="11" s="1"/>
  <c r="D78" i="12"/>
  <c r="P55" i="12"/>
  <c r="Q55" i="12" s="1"/>
  <c r="D78" i="5"/>
  <c r="P55" i="5"/>
  <c r="Q55" i="5" s="1"/>
  <c r="D78" i="7"/>
  <c r="P55" i="7"/>
  <c r="Q55" i="7" s="1"/>
  <c r="D78" i="14"/>
  <c r="P55" i="14"/>
  <c r="Q55" i="14" s="1"/>
  <c r="D78" i="6"/>
  <c r="P55" i="6"/>
  <c r="Q55" i="6" s="1"/>
  <c r="D78" i="13"/>
  <c r="P55" i="13"/>
  <c r="Q55" i="13" s="1"/>
  <c r="D78" i="18"/>
  <c r="P55" i="18"/>
  <c r="Q55" i="18" s="1"/>
  <c r="D72" i="12"/>
  <c r="D118" i="12" s="1"/>
  <c r="P49" i="12"/>
  <c r="Q49" i="12" s="1"/>
  <c r="P9" i="39"/>
  <c r="P49" i="17"/>
  <c r="Q49" i="17" s="1"/>
  <c r="E94" i="6"/>
  <c r="E113" i="6" s="1"/>
  <c r="E181" i="6" s="1"/>
  <c r="I94" i="6"/>
  <c r="I113" i="6" s="1"/>
  <c r="I181" i="6" s="1"/>
  <c r="M94" i="6"/>
  <c r="M113" i="6" s="1"/>
  <c r="M181" i="6" s="1"/>
  <c r="F122" i="4"/>
  <c r="J122" i="4"/>
  <c r="N122" i="4"/>
  <c r="G122" i="4"/>
  <c r="K122" i="4"/>
  <c r="P140" i="12"/>
  <c r="Q140" i="12" s="1"/>
  <c r="P184" i="7"/>
  <c r="Q184" i="7" s="1"/>
  <c r="P140" i="9"/>
  <c r="Q140" i="9" s="1"/>
  <c r="P140" i="5"/>
  <c r="Q140" i="5" s="1"/>
  <c r="P184" i="4"/>
  <c r="P140" i="11"/>
  <c r="Q140" i="11" s="1"/>
  <c r="F25" i="18"/>
  <c r="F44" i="18" s="1"/>
  <c r="F177" i="18" s="1"/>
  <c r="P104" i="4"/>
  <c r="Q104" i="4" s="1"/>
  <c r="P104" i="12"/>
  <c r="Q104" i="12" s="1"/>
  <c r="I113" i="13"/>
  <c r="I181" i="13" s="1"/>
  <c r="M113" i="13"/>
  <c r="M181" i="13" s="1"/>
  <c r="N25" i="14"/>
  <c r="N44" i="14" s="1"/>
  <c r="N177" i="14" s="1"/>
  <c r="J25" i="13"/>
  <c r="J44" i="13" s="1"/>
  <c r="J177" i="13" s="1"/>
  <c r="N25" i="13"/>
  <c r="N44" i="13" s="1"/>
  <c r="N177" i="13" s="1"/>
  <c r="K25" i="13"/>
  <c r="K44" i="13" s="1"/>
  <c r="K177" i="13" s="1"/>
  <c r="H25" i="11"/>
  <c r="H44" i="11" s="1"/>
  <c r="H177" i="11" s="1"/>
  <c r="H25" i="6"/>
  <c r="H44" i="6" s="1"/>
  <c r="H177" i="6" s="1"/>
  <c r="L25" i="6"/>
  <c r="L44" i="6" s="1"/>
  <c r="L177" i="6" s="1"/>
  <c r="E113" i="14"/>
  <c r="E181" i="14" s="1"/>
  <c r="E25" i="9"/>
  <c r="E44" i="9" s="1"/>
  <c r="E177" i="9" s="1"/>
  <c r="M25" i="9"/>
  <c r="M44" i="9" s="1"/>
  <c r="M177" i="9" s="1"/>
  <c r="H81" i="5"/>
  <c r="H127" i="5" s="1"/>
  <c r="L81" i="5"/>
  <c r="L127" i="5" s="1"/>
  <c r="P104" i="6"/>
  <c r="Q104" i="6" s="1"/>
  <c r="F113" i="6"/>
  <c r="F181" i="6" s="1"/>
  <c r="J113" i="6"/>
  <c r="J181" i="6" s="1"/>
  <c r="N113" i="6"/>
  <c r="N181" i="6" s="1"/>
  <c r="P104" i="7"/>
  <c r="Q104" i="7" s="1"/>
  <c r="L25" i="9"/>
  <c r="L44" i="9" s="1"/>
  <c r="L177" i="9" s="1"/>
  <c r="P104" i="9"/>
  <c r="Q104" i="9" s="1"/>
  <c r="K113" i="10"/>
  <c r="K181" i="10" s="1"/>
  <c r="H113" i="11"/>
  <c r="H181" i="11" s="1"/>
  <c r="L113" i="11"/>
  <c r="L181" i="11" s="1"/>
  <c r="I81" i="12"/>
  <c r="I127" i="12" s="1"/>
  <c r="E81" i="13"/>
  <c r="E127" i="13" s="1"/>
  <c r="J113" i="13"/>
  <c r="J181" i="13" s="1"/>
  <c r="P107" i="4"/>
  <c r="Q107" i="4" s="1"/>
  <c r="P104" i="13"/>
  <c r="Q104" i="13" s="1"/>
  <c r="I113" i="14"/>
  <c r="I181" i="14" s="1"/>
  <c r="M113" i="14"/>
  <c r="M181" i="14" s="1"/>
  <c r="E81" i="9"/>
  <c r="E127" i="9" s="1"/>
  <c r="G113" i="9"/>
  <c r="G181" i="9" s="1"/>
  <c r="K113" i="9"/>
  <c r="K181" i="9" s="1"/>
  <c r="O113" i="9"/>
  <c r="O181" i="9" s="1"/>
  <c r="M25" i="10"/>
  <c r="M44" i="10" s="1"/>
  <c r="M177" i="10" s="1"/>
  <c r="F113" i="10"/>
  <c r="F181" i="10" s="1"/>
  <c r="J113" i="10"/>
  <c r="J181" i="10" s="1"/>
  <c r="N113" i="10"/>
  <c r="N181" i="10" s="1"/>
  <c r="E81" i="12"/>
  <c r="E127" i="12" s="1"/>
  <c r="M81" i="12"/>
  <c r="M127" i="12" s="1"/>
  <c r="M25" i="13"/>
  <c r="M44" i="13" s="1"/>
  <c r="M177" i="13" s="1"/>
  <c r="M81" i="13"/>
  <c r="M127" i="13" s="1"/>
  <c r="F113" i="13"/>
  <c r="F181" i="13" s="1"/>
  <c r="G113" i="14"/>
  <c r="G181" i="14" s="1"/>
  <c r="K113" i="14"/>
  <c r="K181" i="14" s="1"/>
  <c r="O113" i="14"/>
  <c r="O181" i="14" s="1"/>
  <c r="N81" i="18"/>
  <c r="N127" i="18" s="1"/>
  <c r="H113" i="6"/>
  <c r="H181" i="6" s="1"/>
  <c r="L113" i="6"/>
  <c r="L181" i="6" s="1"/>
  <c r="K113" i="6"/>
  <c r="K181" i="6" s="1"/>
  <c r="E113" i="9"/>
  <c r="E181" i="9" s="1"/>
  <c r="I113" i="9"/>
  <c r="I181" i="9" s="1"/>
  <c r="M113" i="9"/>
  <c r="M181" i="9" s="1"/>
  <c r="H113" i="9"/>
  <c r="H181" i="9" s="1"/>
  <c r="L113" i="9"/>
  <c r="L181" i="9" s="1"/>
  <c r="H113" i="10"/>
  <c r="H181" i="10" s="1"/>
  <c r="L113" i="10"/>
  <c r="L181" i="10" s="1"/>
  <c r="P104" i="10"/>
  <c r="Q104" i="10" s="1"/>
  <c r="I113" i="11"/>
  <c r="I181" i="11" s="1"/>
  <c r="M113" i="11"/>
  <c r="M181" i="11" s="1"/>
  <c r="F113" i="11"/>
  <c r="F181" i="11" s="1"/>
  <c r="J113" i="11"/>
  <c r="J181" i="11" s="1"/>
  <c r="N113" i="11"/>
  <c r="N181" i="11" s="1"/>
  <c r="P97" i="12"/>
  <c r="Q97" i="12" s="1"/>
  <c r="E113" i="13"/>
  <c r="E181" i="13" s="1"/>
  <c r="H113" i="14"/>
  <c r="H181" i="14" s="1"/>
  <c r="L113" i="14"/>
  <c r="L181" i="14" s="1"/>
  <c r="P104" i="14"/>
  <c r="Q104" i="14" s="1"/>
  <c r="P104" i="15"/>
  <c r="Q104" i="15" s="1"/>
  <c r="G81" i="15"/>
  <c r="G127" i="15" s="1"/>
  <c r="K81" i="15"/>
  <c r="K127" i="15" s="1"/>
  <c r="O81" i="15"/>
  <c r="O127" i="15" s="1"/>
  <c r="G25" i="13"/>
  <c r="F25" i="13"/>
  <c r="F44" i="13" s="1"/>
  <c r="F177" i="13" s="1"/>
  <c r="F81" i="13"/>
  <c r="F127" i="13" s="1"/>
  <c r="F72" i="13"/>
  <c r="F77" i="13"/>
  <c r="F123" i="13" s="1"/>
  <c r="G25" i="10"/>
  <c r="I25" i="9"/>
  <c r="I44" i="9" s="1"/>
  <c r="I177" i="9" s="1"/>
  <c r="F25" i="9"/>
  <c r="F44" i="9" s="1"/>
  <c r="F177" i="9" s="1"/>
  <c r="N25" i="9"/>
  <c r="N44" i="9" s="1"/>
  <c r="N177" i="9" s="1"/>
  <c r="D81" i="9"/>
  <c r="G81" i="7"/>
  <c r="G127" i="7" s="1"/>
  <c r="E81" i="7"/>
  <c r="E127" i="7" s="1"/>
  <c r="E81" i="5"/>
  <c r="E127" i="5" s="1"/>
  <c r="M81" i="5"/>
  <c r="M127" i="5" s="1"/>
  <c r="D82" i="5"/>
  <c r="D73" i="5"/>
  <c r="E25" i="6"/>
  <c r="E44" i="6" s="1"/>
  <c r="E177" i="6" s="1"/>
  <c r="I25" i="6"/>
  <c r="I44" i="6" s="1"/>
  <c r="I177" i="6" s="1"/>
  <c r="M25" i="6"/>
  <c r="M44" i="6" s="1"/>
  <c r="M177" i="6" s="1"/>
  <c r="N25" i="6"/>
  <c r="N44" i="6" s="1"/>
  <c r="N177" i="6" s="1"/>
  <c r="J81" i="4"/>
  <c r="J127" i="4" s="1"/>
  <c r="G81" i="4"/>
  <c r="G127" i="4" s="1"/>
  <c r="D84" i="5"/>
  <c r="P84" i="5" s="1"/>
  <c r="Q84" i="5" s="1"/>
  <c r="J25" i="18"/>
  <c r="J44" i="18" s="1"/>
  <c r="J177" i="18" s="1"/>
  <c r="N25" i="18"/>
  <c r="N44" i="18" s="1"/>
  <c r="N177" i="18" s="1"/>
  <c r="F81" i="18"/>
  <c r="F127" i="18" s="1"/>
  <c r="H25" i="18"/>
  <c r="H44" i="18" s="1"/>
  <c r="H177" i="18" s="1"/>
  <c r="P104" i="18"/>
  <c r="Q104" i="18" s="1"/>
  <c r="P104" i="17"/>
  <c r="Q104" i="17" s="1"/>
  <c r="P140" i="17"/>
  <c r="Q140" i="17" s="1"/>
  <c r="E25" i="18"/>
  <c r="E44" i="18" s="1"/>
  <c r="E177" i="18" s="1"/>
  <c r="I25" i="18"/>
  <c r="I44" i="18" s="1"/>
  <c r="I177" i="18" s="1"/>
  <c r="M25" i="18"/>
  <c r="M44" i="18" s="1"/>
  <c r="M177" i="18" s="1"/>
  <c r="P140" i="18"/>
  <c r="Q140" i="18" s="1"/>
  <c r="L25" i="18"/>
  <c r="L44" i="18" s="1"/>
  <c r="L177" i="18" s="1"/>
  <c r="G25" i="18"/>
  <c r="K25" i="18"/>
  <c r="K44" i="18" s="1"/>
  <c r="K177" i="18" s="1"/>
  <c r="O25" i="18"/>
  <c r="O44" i="18" s="1"/>
  <c r="O177" i="18" s="1"/>
  <c r="G81" i="18"/>
  <c r="G127" i="18" s="1"/>
  <c r="P97" i="17"/>
  <c r="Q97" i="17" s="1"/>
  <c r="E76" i="18"/>
  <c r="E82" i="18"/>
  <c r="E128" i="18" s="1"/>
  <c r="I76" i="18"/>
  <c r="I82" i="18"/>
  <c r="I128" i="18" s="1"/>
  <c r="J81" i="18"/>
  <c r="J127" i="18" s="1"/>
  <c r="M76" i="18"/>
  <c r="M82" i="18"/>
  <c r="M128" i="18" s="1"/>
  <c r="B7" i="2"/>
  <c r="B9" i="2" s="1"/>
  <c r="E118" i="18"/>
  <c r="E120" i="18" s="1"/>
  <c r="I118" i="18"/>
  <c r="I120" i="18" s="1"/>
  <c r="M118" i="18"/>
  <c r="M120" i="18" s="1"/>
  <c r="E81" i="18"/>
  <c r="E127" i="18" s="1"/>
  <c r="I81" i="18"/>
  <c r="I127" i="18" s="1"/>
  <c r="M81" i="18"/>
  <c r="M127" i="18" s="1"/>
  <c r="F118" i="18"/>
  <c r="F120" i="18" s="1"/>
  <c r="J118" i="18"/>
  <c r="J120" i="18" s="1"/>
  <c r="N118" i="18"/>
  <c r="N120" i="18" s="1"/>
  <c r="G48" i="18"/>
  <c r="K48" i="18"/>
  <c r="O48" i="18"/>
  <c r="G72" i="18"/>
  <c r="G74" i="18" s="1"/>
  <c r="K72" i="18"/>
  <c r="K74" i="18" s="1"/>
  <c r="O72" i="18"/>
  <c r="O74" i="18" s="1"/>
  <c r="H48" i="18"/>
  <c r="L48" i="18"/>
  <c r="H72" i="18"/>
  <c r="H74" i="18" s="1"/>
  <c r="L72" i="18"/>
  <c r="L74" i="18" s="1"/>
  <c r="D73" i="18"/>
  <c r="E118" i="17"/>
  <c r="E120" i="17" s="1"/>
  <c r="I118" i="17"/>
  <c r="I120" i="17" s="1"/>
  <c r="M118" i="17"/>
  <c r="M120" i="17" s="1"/>
  <c r="F118" i="17"/>
  <c r="F120" i="17" s="1"/>
  <c r="J118" i="17"/>
  <c r="J120" i="17" s="1"/>
  <c r="N118" i="17"/>
  <c r="N120" i="17" s="1"/>
  <c r="G72" i="17"/>
  <c r="G74" i="17" s="1"/>
  <c r="K72" i="17"/>
  <c r="K74" i="17" s="1"/>
  <c r="O72" i="17"/>
  <c r="O74" i="17" s="1"/>
  <c r="D72" i="17"/>
  <c r="H72" i="17"/>
  <c r="H74" i="17" s="1"/>
  <c r="L72" i="17"/>
  <c r="L74" i="17" s="1"/>
  <c r="D73" i="17"/>
  <c r="F118" i="15"/>
  <c r="F120" i="15" s="1"/>
  <c r="J118" i="15"/>
  <c r="J120" i="15" s="1"/>
  <c r="N118" i="15"/>
  <c r="N120" i="15" s="1"/>
  <c r="G118" i="15"/>
  <c r="G120" i="15" s="1"/>
  <c r="K118" i="15"/>
  <c r="K120" i="15" s="1"/>
  <c r="O118" i="15"/>
  <c r="O120" i="15" s="1"/>
  <c r="H72" i="15"/>
  <c r="H74" i="15" s="1"/>
  <c r="L72" i="15"/>
  <c r="L74" i="15" s="1"/>
  <c r="D73" i="15"/>
  <c r="E72" i="15"/>
  <c r="E74" i="15" s="1"/>
  <c r="I72" i="15"/>
  <c r="I74" i="15" s="1"/>
  <c r="M72" i="15"/>
  <c r="M74" i="15" s="1"/>
  <c r="P140" i="15"/>
  <c r="Q140" i="15" s="1"/>
  <c r="H118" i="14"/>
  <c r="L118" i="14"/>
  <c r="E118" i="14"/>
  <c r="I118" i="14"/>
  <c r="M118" i="14"/>
  <c r="F118" i="14"/>
  <c r="F120" i="14" s="1"/>
  <c r="J118" i="14"/>
  <c r="J120" i="14" s="1"/>
  <c r="N118" i="14"/>
  <c r="N120" i="14" s="1"/>
  <c r="G118" i="14"/>
  <c r="G120" i="14" s="1"/>
  <c r="K118" i="14"/>
  <c r="K120" i="14" s="1"/>
  <c r="O118" i="14"/>
  <c r="O120" i="14" s="1"/>
  <c r="H25" i="14"/>
  <c r="H44" i="14" s="1"/>
  <c r="H177" i="14" s="1"/>
  <c r="L25" i="14"/>
  <c r="L44" i="14" s="1"/>
  <c r="L177" i="14" s="1"/>
  <c r="N81" i="14"/>
  <c r="N127" i="14" s="1"/>
  <c r="D73" i="14"/>
  <c r="D119" i="14" s="1"/>
  <c r="H73" i="14"/>
  <c r="H119" i="14" s="1"/>
  <c r="L73" i="14"/>
  <c r="L119" i="14" s="1"/>
  <c r="E25" i="14"/>
  <c r="E44" i="14" s="1"/>
  <c r="E177" i="14" s="1"/>
  <c r="I25" i="14"/>
  <c r="I44" i="14" s="1"/>
  <c r="I177" i="14" s="1"/>
  <c r="M25" i="14"/>
  <c r="M44" i="14" s="1"/>
  <c r="M177" i="14" s="1"/>
  <c r="O81" i="14"/>
  <c r="O127" i="14" s="1"/>
  <c r="E73" i="14"/>
  <c r="I73" i="14"/>
  <c r="I119" i="14" s="1"/>
  <c r="M73" i="14"/>
  <c r="M119" i="14" s="1"/>
  <c r="P140" i="14"/>
  <c r="Q140" i="14" s="1"/>
  <c r="J72" i="13"/>
  <c r="J74" i="13" s="1"/>
  <c r="E118" i="13"/>
  <c r="E120" i="13" s="1"/>
  <c r="I118" i="13"/>
  <c r="I120" i="13" s="1"/>
  <c r="H25" i="13"/>
  <c r="H44" i="13" s="1"/>
  <c r="H177" i="13" s="1"/>
  <c r="L25" i="13"/>
  <c r="L44" i="13" s="1"/>
  <c r="L177" i="13" s="1"/>
  <c r="D82" i="13"/>
  <c r="H82" i="13"/>
  <c r="H128" i="13" s="1"/>
  <c r="H81" i="13"/>
  <c r="H127" i="13" s="1"/>
  <c r="L82" i="13"/>
  <c r="L128" i="13" s="1"/>
  <c r="L81" i="13"/>
  <c r="L127" i="13" s="1"/>
  <c r="N72" i="13"/>
  <c r="N74" i="13" s="1"/>
  <c r="H118" i="13"/>
  <c r="H120" i="13" s="1"/>
  <c r="L118" i="13"/>
  <c r="L120" i="13" s="1"/>
  <c r="H76" i="13"/>
  <c r="L76" i="13"/>
  <c r="G81" i="13"/>
  <c r="G127" i="13" s="1"/>
  <c r="G72" i="13"/>
  <c r="G74" i="13" s="1"/>
  <c r="K72" i="13"/>
  <c r="K74" i="13" s="1"/>
  <c r="O72" i="13"/>
  <c r="O74" i="13" s="1"/>
  <c r="P140" i="13"/>
  <c r="Q140" i="13" s="1"/>
  <c r="F72" i="12"/>
  <c r="F74" i="12" s="1"/>
  <c r="J72" i="12"/>
  <c r="J74" i="12" s="1"/>
  <c r="N72" i="12"/>
  <c r="N74" i="12" s="1"/>
  <c r="G118" i="12"/>
  <c r="K118" i="12"/>
  <c r="O118" i="12"/>
  <c r="D82" i="12"/>
  <c r="H118" i="12"/>
  <c r="H120" i="12" s="1"/>
  <c r="L118" i="12"/>
  <c r="L120" i="12" s="1"/>
  <c r="G73" i="12"/>
  <c r="G119" i="12" s="1"/>
  <c r="K73" i="12"/>
  <c r="K119" i="12" s="1"/>
  <c r="E72" i="12"/>
  <c r="E74" i="12" s="1"/>
  <c r="I72" i="12"/>
  <c r="I74" i="12" s="1"/>
  <c r="M72" i="12"/>
  <c r="M74" i="12" s="1"/>
  <c r="G81" i="12"/>
  <c r="G127" i="12" s="1"/>
  <c r="K81" i="12"/>
  <c r="K127" i="12" s="1"/>
  <c r="O81" i="12"/>
  <c r="O127" i="12" s="1"/>
  <c r="O73" i="12"/>
  <c r="O119" i="12" s="1"/>
  <c r="E77" i="12"/>
  <c r="E123" i="12" s="1"/>
  <c r="H81" i="12"/>
  <c r="H127" i="12" s="1"/>
  <c r="L81" i="12"/>
  <c r="L127" i="12" s="1"/>
  <c r="H72" i="11"/>
  <c r="H74" i="11" s="1"/>
  <c r="L72" i="11"/>
  <c r="L74" i="11" s="1"/>
  <c r="H77" i="11"/>
  <c r="H123" i="11" s="1"/>
  <c r="L77" i="11"/>
  <c r="L123" i="11" s="1"/>
  <c r="I72" i="11"/>
  <c r="I74" i="11" s="1"/>
  <c r="M72" i="11"/>
  <c r="M74" i="11" s="1"/>
  <c r="I77" i="11"/>
  <c r="I123" i="11" s="1"/>
  <c r="M77" i="11"/>
  <c r="M123" i="11" s="1"/>
  <c r="F25" i="11"/>
  <c r="F44" i="11" s="1"/>
  <c r="F177" i="11" s="1"/>
  <c r="J25" i="11"/>
  <c r="J44" i="11" s="1"/>
  <c r="J177" i="11" s="1"/>
  <c r="N25" i="11"/>
  <c r="N44" i="11" s="1"/>
  <c r="N177" i="11" s="1"/>
  <c r="F118" i="11"/>
  <c r="F120" i="11" s="1"/>
  <c r="J118" i="11"/>
  <c r="J120" i="11" s="1"/>
  <c r="N118" i="11"/>
  <c r="N120" i="11" s="1"/>
  <c r="F76" i="11"/>
  <c r="J76" i="11"/>
  <c r="N76" i="11"/>
  <c r="I25" i="11"/>
  <c r="I44" i="11" s="1"/>
  <c r="I177" i="11" s="1"/>
  <c r="G25" i="11"/>
  <c r="K25" i="11"/>
  <c r="K44" i="11" s="1"/>
  <c r="K177" i="11" s="1"/>
  <c r="O25" i="11"/>
  <c r="O44" i="11" s="1"/>
  <c r="O177" i="11" s="1"/>
  <c r="G118" i="11"/>
  <c r="G120" i="11" s="1"/>
  <c r="K118" i="11"/>
  <c r="K120" i="11" s="1"/>
  <c r="O118" i="11"/>
  <c r="O120" i="11" s="1"/>
  <c r="G76" i="11"/>
  <c r="K76" i="11"/>
  <c r="O76" i="11"/>
  <c r="F81" i="11"/>
  <c r="F127" i="11" s="1"/>
  <c r="N81" i="11"/>
  <c r="N127" i="11" s="1"/>
  <c r="G81" i="11"/>
  <c r="G127" i="11" s="1"/>
  <c r="O81" i="11"/>
  <c r="O127" i="11" s="1"/>
  <c r="F25" i="10"/>
  <c r="F44" i="10" s="1"/>
  <c r="F177" i="10" s="1"/>
  <c r="J25" i="10"/>
  <c r="J44" i="10" s="1"/>
  <c r="J177" i="10" s="1"/>
  <c r="N25" i="10"/>
  <c r="N44" i="10" s="1"/>
  <c r="N177" i="10" s="1"/>
  <c r="I118" i="10"/>
  <c r="I120" i="10" s="1"/>
  <c r="M118" i="10"/>
  <c r="M120" i="10" s="1"/>
  <c r="F118" i="10"/>
  <c r="F120" i="10" s="1"/>
  <c r="J118" i="10"/>
  <c r="J120" i="10" s="1"/>
  <c r="N118" i="10"/>
  <c r="N120" i="10" s="1"/>
  <c r="G118" i="10"/>
  <c r="K118" i="10"/>
  <c r="O118" i="10"/>
  <c r="H72" i="10"/>
  <c r="H74" i="10" s="1"/>
  <c r="L72" i="10"/>
  <c r="L74" i="10" s="1"/>
  <c r="F81" i="10"/>
  <c r="F127" i="10" s="1"/>
  <c r="J81" i="10"/>
  <c r="J127" i="10" s="1"/>
  <c r="N81" i="10"/>
  <c r="N127" i="10" s="1"/>
  <c r="K25" i="10"/>
  <c r="K44" i="10" s="1"/>
  <c r="K177" i="10" s="1"/>
  <c r="O25" i="10"/>
  <c r="O44" i="10" s="1"/>
  <c r="O177" i="10" s="1"/>
  <c r="K81" i="10"/>
  <c r="K127" i="10" s="1"/>
  <c r="G73" i="10"/>
  <c r="G119" i="10" s="1"/>
  <c r="K73" i="10"/>
  <c r="K119" i="10" s="1"/>
  <c r="O73" i="10"/>
  <c r="O119" i="10" s="1"/>
  <c r="P140" i="10"/>
  <c r="Q140" i="10" s="1"/>
  <c r="G25" i="9"/>
  <c r="K25" i="9"/>
  <c r="K44" i="9" s="1"/>
  <c r="K177" i="9" s="1"/>
  <c r="O25" i="9"/>
  <c r="O44" i="9" s="1"/>
  <c r="O177" i="9" s="1"/>
  <c r="G118" i="9"/>
  <c r="G120" i="9" s="1"/>
  <c r="K118" i="9"/>
  <c r="K120" i="9" s="1"/>
  <c r="O118" i="9"/>
  <c r="O120" i="9" s="1"/>
  <c r="G76" i="9"/>
  <c r="K76" i="9"/>
  <c r="O76" i="9"/>
  <c r="G82" i="9"/>
  <c r="G128" i="9" s="1"/>
  <c r="G81" i="9"/>
  <c r="G127" i="9" s="1"/>
  <c r="K82" i="9"/>
  <c r="K128" i="9" s="1"/>
  <c r="K81" i="9"/>
  <c r="K127" i="9" s="1"/>
  <c r="O82" i="9"/>
  <c r="O128" i="9" s="1"/>
  <c r="O81" i="9"/>
  <c r="O127" i="9" s="1"/>
  <c r="L72" i="9"/>
  <c r="L74" i="9" s="1"/>
  <c r="E72" i="9"/>
  <c r="E74" i="9" s="1"/>
  <c r="I72" i="9"/>
  <c r="I74" i="9" s="1"/>
  <c r="M72" i="9"/>
  <c r="M74" i="9" s="1"/>
  <c r="H72" i="9"/>
  <c r="H74" i="9" s="1"/>
  <c r="F118" i="9"/>
  <c r="F120" i="9" s="1"/>
  <c r="J118" i="9"/>
  <c r="J120" i="9" s="1"/>
  <c r="N118" i="9"/>
  <c r="N120" i="9" s="1"/>
  <c r="F76" i="9"/>
  <c r="J76" i="9"/>
  <c r="N76" i="9"/>
  <c r="H81" i="9"/>
  <c r="H127" i="9" s="1"/>
  <c r="F82" i="9"/>
  <c r="F128" i="9" s="1"/>
  <c r="F81" i="9"/>
  <c r="F127" i="9" s="1"/>
  <c r="J82" i="9"/>
  <c r="J128" i="9" s="1"/>
  <c r="J81" i="9"/>
  <c r="J127" i="9" s="1"/>
  <c r="N82" i="9"/>
  <c r="N128" i="9" s="1"/>
  <c r="N81" i="9"/>
  <c r="N127" i="9" s="1"/>
  <c r="D77" i="7"/>
  <c r="H81" i="7"/>
  <c r="H127" i="7" s="1"/>
  <c r="H118" i="6"/>
  <c r="H120" i="6" s="1"/>
  <c r="L118" i="6"/>
  <c r="L120" i="6" s="1"/>
  <c r="E118" i="6"/>
  <c r="I118" i="6"/>
  <c r="M118" i="6"/>
  <c r="F118" i="6"/>
  <c r="J118" i="6"/>
  <c r="N118" i="6"/>
  <c r="G118" i="6"/>
  <c r="G120" i="6" s="1"/>
  <c r="K118" i="6"/>
  <c r="K120" i="6" s="1"/>
  <c r="O118" i="6"/>
  <c r="O120" i="6" s="1"/>
  <c r="M81" i="6"/>
  <c r="M127" i="6" s="1"/>
  <c r="E73" i="6"/>
  <c r="E119" i="6" s="1"/>
  <c r="I73" i="6"/>
  <c r="I119" i="6" s="1"/>
  <c r="M73" i="6"/>
  <c r="M119" i="6" s="1"/>
  <c r="D84" i="6"/>
  <c r="P84" i="6" s="1"/>
  <c r="Q84" i="6" s="1"/>
  <c r="F25" i="6"/>
  <c r="F44" i="6" s="1"/>
  <c r="F177" i="6" s="1"/>
  <c r="J25" i="6"/>
  <c r="J44" i="6" s="1"/>
  <c r="J177" i="6" s="1"/>
  <c r="J81" i="6"/>
  <c r="J127" i="6" s="1"/>
  <c r="F73" i="6"/>
  <c r="F119" i="6" s="1"/>
  <c r="J73" i="6"/>
  <c r="J119" i="6" s="1"/>
  <c r="N73" i="6"/>
  <c r="N119" i="6" s="1"/>
  <c r="D77" i="5"/>
  <c r="H77" i="5"/>
  <c r="H123" i="5" s="1"/>
  <c r="L77" i="5"/>
  <c r="L123" i="5" s="1"/>
  <c r="G73" i="5"/>
  <c r="G119" i="5" s="1"/>
  <c r="K73" i="5"/>
  <c r="K119" i="5" s="1"/>
  <c r="O73" i="5"/>
  <c r="O119" i="5" s="1"/>
  <c r="F81" i="5"/>
  <c r="F127" i="5" s="1"/>
  <c r="K82" i="5"/>
  <c r="K128" i="5" s="1"/>
  <c r="P104" i="5"/>
  <c r="Q104" i="5" s="1"/>
  <c r="G81" i="5"/>
  <c r="G127" i="5" s="1"/>
  <c r="O81" i="5"/>
  <c r="O127" i="5" s="1"/>
  <c r="E76" i="4"/>
  <c r="I76" i="4"/>
  <c r="M76" i="4"/>
  <c r="E82" i="4"/>
  <c r="E128" i="4" s="1"/>
  <c r="I82" i="4"/>
  <c r="I128" i="4" s="1"/>
  <c r="I81" i="4"/>
  <c r="I127" i="4" s="1"/>
  <c r="M82" i="4"/>
  <c r="M128" i="4" s="1"/>
  <c r="M81" i="4"/>
  <c r="M127" i="4" s="1"/>
  <c r="F81" i="4"/>
  <c r="F127" i="4" s="1"/>
  <c r="N81" i="4"/>
  <c r="N127" i="4" s="1"/>
  <c r="D76" i="4"/>
  <c r="H76" i="4"/>
  <c r="L76" i="4"/>
  <c r="D82" i="4"/>
  <c r="H82" i="4"/>
  <c r="H128" i="4" s="1"/>
  <c r="H81" i="4"/>
  <c r="H127" i="4" s="1"/>
  <c r="L82" i="4"/>
  <c r="L128" i="4" s="1"/>
  <c r="L81" i="4"/>
  <c r="L127" i="4" s="1"/>
  <c r="O120" i="10" l="1"/>
  <c r="G120" i="10"/>
  <c r="K120" i="10"/>
  <c r="R14" i="20"/>
  <c r="R60" i="20"/>
  <c r="Q60" i="6"/>
  <c r="M130" i="20"/>
  <c r="R140" i="20"/>
  <c r="Q184" i="4"/>
  <c r="Q17" i="20"/>
  <c r="R17" i="20"/>
  <c r="Q109" i="20"/>
  <c r="R109" i="20"/>
  <c r="S83" i="20"/>
  <c r="K61" i="20"/>
  <c r="K84" i="20" s="1"/>
  <c r="K63" i="28"/>
  <c r="O88" i="20"/>
  <c r="O65" i="28"/>
  <c r="O75" i="46" s="1"/>
  <c r="Q75" i="20"/>
  <c r="S75" i="20"/>
  <c r="S129" i="20"/>
  <c r="N86" i="20"/>
  <c r="N132" i="20" s="1"/>
  <c r="N130" i="20" s="1"/>
  <c r="N63" i="28"/>
  <c r="H88" i="20"/>
  <c r="H65" i="28"/>
  <c r="H75" i="46" s="1"/>
  <c r="G88" i="20"/>
  <c r="G65" i="28"/>
  <c r="G75" i="46" s="1"/>
  <c r="F88" i="20"/>
  <c r="F65" i="28"/>
  <c r="F75" i="46" s="1"/>
  <c r="Q119" i="20"/>
  <c r="S119" i="20"/>
  <c r="Q125" i="20"/>
  <c r="S125" i="20"/>
  <c r="J88" i="20"/>
  <c r="J65" i="28"/>
  <c r="J75" i="46" s="1"/>
  <c r="Q121" i="20"/>
  <c r="S121" i="20"/>
  <c r="Q42" i="20"/>
  <c r="R42" i="20"/>
  <c r="Q40" i="20"/>
  <c r="R40" i="20"/>
  <c r="S40" i="20"/>
  <c r="O61" i="28"/>
  <c r="E88" i="20"/>
  <c r="E65" i="28"/>
  <c r="E75" i="46" s="1"/>
  <c r="I88" i="20"/>
  <c r="I65" i="28"/>
  <c r="L61" i="20"/>
  <c r="L84" i="20" s="1"/>
  <c r="L63" i="28"/>
  <c r="Q73" i="20"/>
  <c r="S73" i="20"/>
  <c r="Q79" i="20"/>
  <c r="S79" i="20"/>
  <c r="K88" i="20"/>
  <c r="K65" i="28"/>
  <c r="K75" i="46" s="1"/>
  <c r="N88" i="20"/>
  <c r="N65" i="28"/>
  <c r="N75" i="46" s="1"/>
  <c r="H86" i="20"/>
  <c r="H132" i="20" s="1"/>
  <c r="H130" i="20" s="1"/>
  <c r="H63" i="28"/>
  <c r="Q35" i="4"/>
  <c r="R35" i="20"/>
  <c r="Q82" i="20"/>
  <c r="R59" i="20"/>
  <c r="Q128" i="20"/>
  <c r="R104" i="20"/>
  <c r="Q123" i="20"/>
  <c r="S123" i="20"/>
  <c r="R52" i="20"/>
  <c r="Q9" i="39"/>
  <c r="Q20" i="39"/>
  <c r="P184" i="6"/>
  <c r="Q184" i="6" s="1"/>
  <c r="P49" i="46"/>
  <c r="R49" i="46" s="1"/>
  <c r="G130" i="20"/>
  <c r="J130" i="20"/>
  <c r="D107" i="28"/>
  <c r="D117" i="46" s="1"/>
  <c r="B22" i="81" s="1"/>
  <c r="N22" i="81" s="1"/>
  <c r="N61" i="20"/>
  <c r="N84" i="20" s="1"/>
  <c r="H61" i="20"/>
  <c r="Q62" i="20"/>
  <c r="W62" i="28"/>
  <c r="G50" i="46"/>
  <c r="G48" i="46" s="1"/>
  <c r="G61" i="28"/>
  <c r="D50" i="46"/>
  <c r="Q118" i="46"/>
  <c r="R118" i="46"/>
  <c r="F52" i="46"/>
  <c r="L50" i="46"/>
  <c r="L48" i="46" s="1"/>
  <c r="L52" i="46"/>
  <c r="L75" i="46"/>
  <c r="M50" i="46"/>
  <c r="M48" i="46" s="1"/>
  <c r="J50" i="46"/>
  <c r="J48" i="46" s="1"/>
  <c r="K52" i="46"/>
  <c r="N52" i="46"/>
  <c r="K50" i="46"/>
  <c r="K48" i="46" s="1"/>
  <c r="J52" i="46"/>
  <c r="O52" i="46"/>
  <c r="H50" i="46"/>
  <c r="H48" i="46" s="1"/>
  <c r="E52" i="46"/>
  <c r="I50" i="46"/>
  <c r="I48" i="46" s="1"/>
  <c r="Q119" i="46"/>
  <c r="R119" i="46"/>
  <c r="N50" i="46"/>
  <c r="N48" i="46" s="1"/>
  <c r="H52" i="46"/>
  <c r="G52" i="46"/>
  <c r="D52" i="46"/>
  <c r="I52" i="46"/>
  <c r="M52" i="46"/>
  <c r="M75" i="46"/>
  <c r="O67" i="18"/>
  <c r="O178" i="18" s="1"/>
  <c r="Q58" i="20"/>
  <c r="W58" i="28"/>
  <c r="X58" i="28" s="1"/>
  <c r="E81" i="4"/>
  <c r="E127" i="4" s="1"/>
  <c r="P58" i="4"/>
  <c r="Q58" i="4" s="1"/>
  <c r="D84" i="4"/>
  <c r="P84" i="4" s="1"/>
  <c r="Q84" i="4" s="1"/>
  <c r="P61" i="4"/>
  <c r="Q61" i="4" s="1"/>
  <c r="C7" i="2"/>
  <c r="C9" i="2" s="1"/>
  <c r="P184" i="18"/>
  <c r="Q184" i="18" s="1"/>
  <c r="P184" i="15"/>
  <c r="Q184" i="15" s="1"/>
  <c r="P184" i="14"/>
  <c r="Q184" i="14" s="1"/>
  <c r="P184" i="13"/>
  <c r="Q184" i="13" s="1"/>
  <c r="P184" i="12"/>
  <c r="Q184" i="12" s="1"/>
  <c r="P184" i="11"/>
  <c r="Q184" i="11" s="1"/>
  <c r="P184" i="9"/>
  <c r="Q184" i="9" s="1"/>
  <c r="P184" i="10"/>
  <c r="Q184" i="10" s="1"/>
  <c r="O50" i="46"/>
  <c r="O48" i="46" s="1"/>
  <c r="B82" i="20"/>
  <c r="B128" i="20" s="1"/>
  <c r="P58" i="17"/>
  <c r="Q58" i="17" s="1"/>
  <c r="O67" i="13"/>
  <c r="O178" i="13" s="1"/>
  <c r="C25" i="46"/>
  <c r="C29" i="46" s="1"/>
  <c r="C31" i="46" s="1"/>
  <c r="P77" i="14"/>
  <c r="Q77" i="14" s="1"/>
  <c r="D123" i="9"/>
  <c r="P123" i="9" s="1"/>
  <c r="Q123" i="9" s="1"/>
  <c r="P123" i="13"/>
  <c r="Q123" i="13" s="1"/>
  <c r="P77" i="17"/>
  <c r="Q77" i="17" s="1"/>
  <c r="J117" i="14"/>
  <c r="J136" i="14" s="1"/>
  <c r="J182" i="14" s="1"/>
  <c r="P107" i="20"/>
  <c r="N117" i="14"/>
  <c r="N136" i="14" s="1"/>
  <c r="N182" i="14" s="1"/>
  <c r="H117" i="6"/>
  <c r="H136" i="6" s="1"/>
  <c r="H182" i="6" s="1"/>
  <c r="O117" i="6"/>
  <c r="O136" i="6" s="1"/>
  <c r="O182" i="6" s="1"/>
  <c r="K71" i="13"/>
  <c r="D123" i="15"/>
  <c r="P123" i="15" s="1"/>
  <c r="Q123" i="15" s="1"/>
  <c r="D123" i="18"/>
  <c r="P123" i="18" s="1"/>
  <c r="Q123" i="18" s="1"/>
  <c r="P17" i="46"/>
  <c r="J117" i="18"/>
  <c r="D123" i="6"/>
  <c r="P123" i="6" s="1"/>
  <c r="Q123" i="6" s="1"/>
  <c r="K67" i="18"/>
  <c r="K178" i="18" s="1"/>
  <c r="P77" i="10"/>
  <c r="Q77" i="10" s="1"/>
  <c r="N67" i="13"/>
  <c r="N178" i="13" s="1"/>
  <c r="O117" i="14"/>
  <c r="O136" i="14" s="1"/>
  <c r="O182" i="14" s="1"/>
  <c r="E117" i="13"/>
  <c r="G117" i="14"/>
  <c r="G136" i="14" s="1"/>
  <c r="G182" i="14" s="1"/>
  <c r="Q19" i="46"/>
  <c r="I117" i="13"/>
  <c r="I136" i="13" s="1"/>
  <c r="I182" i="13" s="1"/>
  <c r="L117" i="6"/>
  <c r="L136" i="6" s="1"/>
  <c r="L182" i="6" s="1"/>
  <c r="K117" i="6"/>
  <c r="K136" i="6" s="1"/>
  <c r="K182" i="6" s="1"/>
  <c r="K186" i="6" s="1"/>
  <c r="N117" i="18"/>
  <c r="F117" i="18"/>
  <c r="P184" i="17"/>
  <c r="Q184" i="17" s="1"/>
  <c r="F38" i="28"/>
  <c r="K117" i="14"/>
  <c r="K136" i="14" s="1"/>
  <c r="K182" i="14" s="1"/>
  <c r="F117" i="14"/>
  <c r="F84" i="20"/>
  <c r="P117" i="46"/>
  <c r="P107" i="28"/>
  <c r="Q107" i="28" s="1"/>
  <c r="G38" i="28"/>
  <c r="P184" i="5"/>
  <c r="E38" i="28"/>
  <c r="N85" i="28"/>
  <c r="N131" i="28" s="1"/>
  <c r="N72" i="46"/>
  <c r="L85" i="28"/>
  <c r="L131" i="28" s="1"/>
  <c r="L72" i="46"/>
  <c r="M95" i="46"/>
  <c r="M141" i="46" s="1"/>
  <c r="K85" i="28"/>
  <c r="K131" i="28" s="1"/>
  <c r="K72" i="46"/>
  <c r="O85" i="28"/>
  <c r="O131" i="28" s="1"/>
  <c r="O72" i="46"/>
  <c r="I95" i="46"/>
  <c r="I141" i="46" s="1"/>
  <c r="E95" i="46"/>
  <c r="E141" i="46" s="1"/>
  <c r="F85" i="28"/>
  <c r="F131" i="28" s="1"/>
  <c r="F72" i="46"/>
  <c r="D85" i="28"/>
  <c r="D131" i="28" s="1"/>
  <c r="D72" i="46"/>
  <c r="J85" i="28"/>
  <c r="J131" i="28" s="1"/>
  <c r="J72" i="46"/>
  <c r="G117" i="6"/>
  <c r="G136" i="6" s="1"/>
  <c r="G182" i="6" s="1"/>
  <c r="I38" i="28"/>
  <c r="H85" i="28"/>
  <c r="H131" i="28" s="1"/>
  <c r="H72" i="46"/>
  <c r="D38" i="28"/>
  <c r="G85" i="28"/>
  <c r="G131" i="28" s="1"/>
  <c r="G72" i="46"/>
  <c r="F48" i="46"/>
  <c r="E48" i="46"/>
  <c r="O48" i="9"/>
  <c r="O67" i="9" s="1"/>
  <c r="O178" i="9" s="1"/>
  <c r="G67" i="18"/>
  <c r="G178" i="18" s="1"/>
  <c r="I48" i="11"/>
  <c r="I67" i="11" s="1"/>
  <c r="I178" i="11" s="1"/>
  <c r="F126" i="13"/>
  <c r="I120" i="6"/>
  <c r="I117" i="6" s="1"/>
  <c r="D84" i="20"/>
  <c r="D121" i="4"/>
  <c r="P121" i="4" s="1"/>
  <c r="Q121" i="4" s="1"/>
  <c r="P75" i="4"/>
  <c r="Q75" i="4" s="1"/>
  <c r="C84" i="28"/>
  <c r="D119" i="18"/>
  <c r="P119" i="18" s="1"/>
  <c r="Q119" i="18" s="1"/>
  <c r="P73" i="18"/>
  <c r="Q73" i="18" s="1"/>
  <c r="D125" i="18"/>
  <c r="P125" i="18" s="1"/>
  <c r="Q125" i="18" s="1"/>
  <c r="P79" i="18"/>
  <c r="Q79" i="18" s="1"/>
  <c r="D129" i="18"/>
  <c r="P129" i="18" s="1"/>
  <c r="Q129" i="18" s="1"/>
  <c r="P83" i="18"/>
  <c r="Q83" i="18" s="1"/>
  <c r="P130" i="18"/>
  <c r="Q130" i="18" s="1"/>
  <c r="D81" i="18"/>
  <c r="P58" i="18"/>
  <c r="Q58" i="18" s="1"/>
  <c r="D128" i="18"/>
  <c r="P128" i="18" s="1"/>
  <c r="Q128" i="18" s="1"/>
  <c r="P82" i="18"/>
  <c r="Q82" i="18" s="1"/>
  <c r="D127" i="17"/>
  <c r="P81" i="17"/>
  <c r="Q81" i="17" s="1"/>
  <c r="P130" i="17"/>
  <c r="Q130" i="17" s="1"/>
  <c r="D128" i="17"/>
  <c r="P128" i="17" s="1"/>
  <c r="Q128" i="17" s="1"/>
  <c r="P82" i="17"/>
  <c r="Q82" i="17" s="1"/>
  <c r="D121" i="17"/>
  <c r="P121" i="17" s="1"/>
  <c r="Q121" i="17" s="1"/>
  <c r="P75" i="17"/>
  <c r="Q75" i="17" s="1"/>
  <c r="D119" i="17"/>
  <c r="P119" i="17" s="1"/>
  <c r="Q119" i="17" s="1"/>
  <c r="P73" i="17"/>
  <c r="Q73" i="17" s="1"/>
  <c r="D129" i="17"/>
  <c r="P129" i="17" s="1"/>
  <c r="Q129" i="17" s="1"/>
  <c r="P83" i="17"/>
  <c r="Q83" i="17" s="1"/>
  <c r="G84" i="20"/>
  <c r="P130" i="15"/>
  <c r="Q130" i="15" s="1"/>
  <c r="D129" i="15"/>
  <c r="P129" i="15" s="1"/>
  <c r="Q129" i="15" s="1"/>
  <c r="P83" i="15"/>
  <c r="Q83" i="15" s="1"/>
  <c r="D125" i="15"/>
  <c r="P125" i="15" s="1"/>
  <c r="Q125" i="15" s="1"/>
  <c r="P79" i="15"/>
  <c r="Q79" i="15" s="1"/>
  <c r="D127" i="15"/>
  <c r="P81" i="15"/>
  <c r="Q81" i="15" s="1"/>
  <c r="D128" i="15"/>
  <c r="P128" i="15" s="1"/>
  <c r="Q128" i="15" s="1"/>
  <c r="P82" i="15"/>
  <c r="Q82" i="15" s="1"/>
  <c r="P121" i="15"/>
  <c r="Q121" i="15" s="1"/>
  <c r="P75" i="15"/>
  <c r="Q75" i="15" s="1"/>
  <c r="D81" i="14"/>
  <c r="P58" i="14"/>
  <c r="Q58" i="14" s="1"/>
  <c r="D128" i="14"/>
  <c r="P128" i="14" s="1"/>
  <c r="Q128" i="14" s="1"/>
  <c r="P82" i="14"/>
  <c r="Q82" i="14" s="1"/>
  <c r="H48" i="14"/>
  <c r="H67" i="14" s="1"/>
  <c r="H178" i="14" s="1"/>
  <c r="P130" i="14"/>
  <c r="Q130" i="14" s="1"/>
  <c r="D129" i="14"/>
  <c r="P129" i="14" s="1"/>
  <c r="Q129" i="14" s="1"/>
  <c r="P83" i="14"/>
  <c r="Q83" i="14" s="1"/>
  <c r="D125" i="14"/>
  <c r="P125" i="14" s="1"/>
  <c r="Q125" i="14" s="1"/>
  <c r="P79" i="14"/>
  <c r="Q79" i="14" s="1"/>
  <c r="D121" i="14"/>
  <c r="P121" i="14" s="1"/>
  <c r="Q121" i="14" s="1"/>
  <c r="P75" i="14"/>
  <c r="Q75" i="14" s="1"/>
  <c r="D129" i="13"/>
  <c r="P129" i="13" s="1"/>
  <c r="Q129" i="13" s="1"/>
  <c r="P83" i="13"/>
  <c r="Q83" i="13" s="1"/>
  <c r="D81" i="13"/>
  <c r="P58" i="13"/>
  <c r="Q58" i="13" s="1"/>
  <c r="H67" i="13"/>
  <c r="H178" i="13" s="1"/>
  <c r="P130" i="13"/>
  <c r="Q130" i="13" s="1"/>
  <c r="D128" i="13"/>
  <c r="P128" i="13" s="1"/>
  <c r="Q128" i="13" s="1"/>
  <c r="P82" i="13"/>
  <c r="Q82" i="13" s="1"/>
  <c r="M84" i="20"/>
  <c r="F80" i="13"/>
  <c r="D125" i="13"/>
  <c r="P125" i="13" s="1"/>
  <c r="Q125" i="13" s="1"/>
  <c r="P79" i="13"/>
  <c r="Q79" i="13" s="1"/>
  <c r="D121" i="13"/>
  <c r="P121" i="13" s="1"/>
  <c r="Q121" i="13" s="1"/>
  <c r="P75" i="13"/>
  <c r="Q75" i="13" s="1"/>
  <c r="D119" i="13"/>
  <c r="P119" i="13" s="1"/>
  <c r="Q119" i="13" s="1"/>
  <c r="P73" i="13"/>
  <c r="Q73" i="13" s="1"/>
  <c r="D81" i="12"/>
  <c r="P58" i="12"/>
  <c r="Q58" i="12" s="1"/>
  <c r="K120" i="12"/>
  <c r="O74" i="12"/>
  <c r="P130" i="12"/>
  <c r="Q130" i="12" s="1"/>
  <c r="G120" i="12"/>
  <c r="K74" i="12"/>
  <c r="D128" i="12"/>
  <c r="P128" i="12" s="1"/>
  <c r="Q128" i="12" s="1"/>
  <c r="P82" i="12"/>
  <c r="Q82" i="12" s="1"/>
  <c r="D119" i="12"/>
  <c r="P119" i="12" s="1"/>
  <c r="Q119" i="12" s="1"/>
  <c r="P73" i="12"/>
  <c r="Q73" i="12" s="1"/>
  <c r="G74" i="12"/>
  <c r="D125" i="12"/>
  <c r="P125" i="12" s="1"/>
  <c r="Q125" i="12" s="1"/>
  <c r="P79" i="12"/>
  <c r="Q79" i="12" s="1"/>
  <c r="D121" i="12"/>
  <c r="P121" i="12" s="1"/>
  <c r="Q121" i="12" s="1"/>
  <c r="P75" i="12"/>
  <c r="Q75" i="12" s="1"/>
  <c r="D129" i="12"/>
  <c r="P129" i="12" s="1"/>
  <c r="Q129" i="12" s="1"/>
  <c r="P83" i="12"/>
  <c r="Q83" i="12" s="1"/>
  <c r="O120" i="12"/>
  <c r="O48" i="11"/>
  <c r="O67" i="11" s="1"/>
  <c r="O178" i="11" s="1"/>
  <c r="F48" i="11"/>
  <c r="F67" i="11" s="1"/>
  <c r="F178" i="11" s="1"/>
  <c r="P58" i="11"/>
  <c r="Q58" i="11" s="1"/>
  <c r="I80" i="11"/>
  <c r="I71" i="11" s="1"/>
  <c r="I90" i="11" s="1"/>
  <c r="H80" i="11"/>
  <c r="I126" i="11"/>
  <c r="H126" i="11"/>
  <c r="P129" i="11"/>
  <c r="Q129" i="11" s="1"/>
  <c r="P83" i="11"/>
  <c r="Q83" i="11" s="1"/>
  <c r="M48" i="11"/>
  <c r="M67" i="11" s="1"/>
  <c r="M178" i="11" s="1"/>
  <c r="M80" i="11"/>
  <c r="M71" i="11" s="1"/>
  <c r="M90" i="11" s="1"/>
  <c r="L80" i="11"/>
  <c r="P125" i="11"/>
  <c r="Q125" i="11" s="1"/>
  <c r="P79" i="11"/>
  <c r="Q79" i="11" s="1"/>
  <c r="M126" i="11"/>
  <c r="L126" i="11"/>
  <c r="P130" i="11"/>
  <c r="Q130" i="11" s="1"/>
  <c r="P128" i="11"/>
  <c r="Q128" i="11" s="1"/>
  <c r="P82" i="11"/>
  <c r="Q82" i="11" s="1"/>
  <c r="P121" i="11"/>
  <c r="Q121" i="11" s="1"/>
  <c r="P75" i="11"/>
  <c r="Q75" i="11" s="1"/>
  <c r="P119" i="11"/>
  <c r="Q119" i="11" s="1"/>
  <c r="P73" i="11"/>
  <c r="Q73" i="11" s="1"/>
  <c r="G74" i="10"/>
  <c r="P128" i="10"/>
  <c r="Q128" i="10" s="1"/>
  <c r="P82" i="10"/>
  <c r="Q82" i="10" s="1"/>
  <c r="P130" i="10"/>
  <c r="Q130" i="10" s="1"/>
  <c r="P58" i="10"/>
  <c r="Q58" i="10" s="1"/>
  <c r="P125" i="10"/>
  <c r="Q125" i="10" s="1"/>
  <c r="P79" i="10"/>
  <c r="Q79" i="10" s="1"/>
  <c r="P121" i="10"/>
  <c r="Q121" i="10" s="1"/>
  <c r="P75" i="10"/>
  <c r="Q75" i="10" s="1"/>
  <c r="O74" i="10"/>
  <c r="P119" i="10"/>
  <c r="Q119" i="10" s="1"/>
  <c r="P73" i="10"/>
  <c r="Q73" i="10" s="1"/>
  <c r="P129" i="10"/>
  <c r="Q129" i="10" s="1"/>
  <c r="P83" i="10"/>
  <c r="Q83" i="10" s="1"/>
  <c r="K74" i="10"/>
  <c r="D129" i="9"/>
  <c r="P129" i="9" s="1"/>
  <c r="Q129" i="9" s="1"/>
  <c r="P83" i="9"/>
  <c r="Q83" i="9" s="1"/>
  <c r="D119" i="9"/>
  <c r="P119" i="9" s="1"/>
  <c r="Q119" i="9" s="1"/>
  <c r="P73" i="9"/>
  <c r="Q73" i="9" s="1"/>
  <c r="D127" i="9"/>
  <c r="P81" i="9"/>
  <c r="Q81" i="9" s="1"/>
  <c r="D125" i="9"/>
  <c r="P125" i="9" s="1"/>
  <c r="Q125" i="9" s="1"/>
  <c r="P79" i="9"/>
  <c r="Q79" i="9" s="1"/>
  <c r="D121" i="9"/>
  <c r="P121" i="9" s="1"/>
  <c r="Q121" i="9" s="1"/>
  <c r="P75" i="9"/>
  <c r="Q75" i="9" s="1"/>
  <c r="D128" i="9"/>
  <c r="P128" i="9" s="1"/>
  <c r="Q128" i="9" s="1"/>
  <c r="P82" i="9"/>
  <c r="Q82" i="9" s="1"/>
  <c r="D130" i="9"/>
  <c r="P58" i="9"/>
  <c r="Q58" i="9" s="1"/>
  <c r="P130" i="9"/>
  <c r="Q130" i="9" s="1"/>
  <c r="P38" i="20"/>
  <c r="D119" i="7"/>
  <c r="P119" i="7" s="1"/>
  <c r="Q119" i="7" s="1"/>
  <c r="P73" i="7"/>
  <c r="Q73" i="7" s="1"/>
  <c r="D129" i="7"/>
  <c r="P129" i="7" s="1"/>
  <c r="Q129" i="7" s="1"/>
  <c r="P83" i="7"/>
  <c r="Q83" i="7" s="1"/>
  <c r="D125" i="7"/>
  <c r="P125" i="7" s="1"/>
  <c r="Q125" i="7" s="1"/>
  <c r="P79" i="7"/>
  <c r="Q79" i="7" s="1"/>
  <c r="D81" i="7"/>
  <c r="P58" i="7"/>
  <c r="Q58" i="7" s="1"/>
  <c r="P130" i="7"/>
  <c r="Q130" i="7" s="1"/>
  <c r="D128" i="7"/>
  <c r="P128" i="7" s="1"/>
  <c r="Q128" i="7" s="1"/>
  <c r="P82" i="7"/>
  <c r="Q82" i="7" s="1"/>
  <c r="D121" i="7"/>
  <c r="P121" i="7" s="1"/>
  <c r="Q121" i="7" s="1"/>
  <c r="P75" i="7"/>
  <c r="Q75" i="7" s="1"/>
  <c r="D125" i="5"/>
  <c r="P125" i="5" s="1"/>
  <c r="Q125" i="5" s="1"/>
  <c r="P79" i="5"/>
  <c r="Q79" i="5" s="1"/>
  <c r="D127" i="5"/>
  <c r="D129" i="5"/>
  <c r="P129" i="5" s="1"/>
  <c r="Q129" i="5" s="1"/>
  <c r="P83" i="5"/>
  <c r="Q83" i="5" s="1"/>
  <c r="P130" i="5"/>
  <c r="Q130" i="5" s="1"/>
  <c r="D119" i="5"/>
  <c r="P119" i="5" s="1"/>
  <c r="Q119" i="5" s="1"/>
  <c r="P73" i="5"/>
  <c r="Q73" i="5" s="1"/>
  <c r="D128" i="5"/>
  <c r="P128" i="5" s="1"/>
  <c r="Q128" i="5" s="1"/>
  <c r="P82" i="5"/>
  <c r="Q82" i="5" s="1"/>
  <c r="P58" i="5"/>
  <c r="Q58" i="5" s="1"/>
  <c r="D121" i="5"/>
  <c r="P121" i="5" s="1"/>
  <c r="Q121" i="5" s="1"/>
  <c r="P75" i="5"/>
  <c r="Q75" i="5" s="1"/>
  <c r="N120" i="6"/>
  <c r="N117" i="6" s="1"/>
  <c r="E120" i="6"/>
  <c r="E117" i="6" s="1"/>
  <c r="M88" i="20"/>
  <c r="K86" i="20"/>
  <c r="K132" i="20" s="1"/>
  <c r="K130" i="20" s="1"/>
  <c r="D119" i="6"/>
  <c r="P119" i="6" s="1"/>
  <c r="Q119" i="6" s="1"/>
  <c r="P73" i="6"/>
  <c r="Q73" i="6" s="1"/>
  <c r="D128" i="6"/>
  <c r="P128" i="6" s="1"/>
  <c r="Q128" i="6" s="1"/>
  <c r="P82" i="6"/>
  <c r="Q82" i="6" s="1"/>
  <c r="N74" i="6"/>
  <c r="P130" i="6"/>
  <c r="Q130" i="6" s="1"/>
  <c r="J120" i="6"/>
  <c r="J117" i="6" s="1"/>
  <c r="D81" i="6"/>
  <c r="P58" i="6"/>
  <c r="Q58" i="6" s="1"/>
  <c r="J74" i="6"/>
  <c r="M74" i="6"/>
  <c r="F120" i="6"/>
  <c r="F117" i="6" s="1"/>
  <c r="M120" i="6"/>
  <c r="M117" i="6" s="1"/>
  <c r="J84" i="20"/>
  <c r="D129" i="6"/>
  <c r="P129" i="6" s="1"/>
  <c r="Q129" i="6" s="1"/>
  <c r="P83" i="6"/>
  <c r="Q83" i="6" s="1"/>
  <c r="F74" i="6"/>
  <c r="F71" i="6" s="1"/>
  <c r="I74" i="6"/>
  <c r="D125" i="6"/>
  <c r="P125" i="6" s="1"/>
  <c r="Q125" i="6" s="1"/>
  <c r="P79" i="6"/>
  <c r="Q79" i="6" s="1"/>
  <c r="D121" i="6"/>
  <c r="P121" i="6" s="1"/>
  <c r="Q121" i="6" s="1"/>
  <c r="P75" i="6"/>
  <c r="Q75" i="6" s="1"/>
  <c r="E74" i="6"/>
  <c r="E84" i="20"/>
  <c r="P127" i="20"/>
  <c r="I84" i="20"/>
  <c r="D81" i="4"/>
  <c r="I86" i="20"/>
  <c r="I132" i="20" s="1"/>
  <c r="I130" i="20" s="1"/>
  <c r="F86" i="20"/>
  <c r="F132" i="20" s="1"/>
  <c r="F130" i="20" s="1"/>
  <c r="O38" i="28"/>
  <c r="E86" i="20"/>
  <c r="E132" i="20" s="1"/>
  <c r="E130" i="20" s="1"/>
  <c r="O84" i="20"/>
  <c r="M38" i="28"/>
  <c r="P85" i="20"/>
  <c r="D129" i="4"/>
  <c r="P129" i="4" s="1"/>
  <c r="Q129" i="4" s="1"/>
  <c r="P83" i="4"/>
  <c r="Q83" i="4" s="1"/>
  <c r="P63" i="20"/>
  <c r="R63" i="20" s="1"/>
  <c r="P131" i="20"/>
  <c r="D128" i="4"/>
  <c r="P128" i="4" s="1"/>
  <c r="Q128" i="4" s="1"/>
  <c r="P82" i="4"/>
  <c r="Q82" i="4" s="1"/>
  <c r="I85" i="28"/>
  <c r="I131" i="28" s="1"/>
  <c r="P62" i="28"/>
  <c r="E85" i="28"/>
  <c r="E131" i="28" s="1"/>
  <c r="P40" i="28"/>
  <c r="Q40" i="28" s="1"/>
  <c r="J38" i="28"/>
  <c r="M85" i="28"/>
  <c r="M131" i="28" s="1"/>
  <c r="L86" i="20"/>
  <c r="L132" i="20" s="1"/>
  <c r="L130" i="20" s="1"/>
  <c r="P86" i="4"/>
  <c r="Q86" i="4" s="1"/>
  <c r="D127" i="20"/>
  <c r="P81" i="20"/>
  <c r="D132" i="20"/>
  <c r="P132" i="4"/>
  <c r="Q132" i="4" s="1"/>
  <c r="P65" i="20"/>
  <c r="R65" i="20" s="1"/>
  <c r="P134" i="10"/>
  <c r="Q134" i="10" s="1"/>
  <c r="P88" i="10"/>
  <c r="Q88" i="10" s="1"/>
  <c r="P42" i="28"/>
  <c r="Q42" i="28" s="1"/>
  <c r="P88" i="18"/>
  <c r="Q88" i="18" s="1"/>
  <c r="D134" i="5"/>
  <c r="P134" i="5" s="1"/>
  <c r="Q134" i="5" s="1"/>
  <c r="P88" i="5"/>
  <c r="Q88" i="5" s="1"/>
  <c r="L88" i="20"/>
  <c r="D88" i="20"/>
  <c r="D121" i="18"/>
  <c r="P121" i="18" s="1"/>
  <c r="Q121" i="18" s="1"/>
  <c r="P75" i="18"/>
  <c r="Q75" i="18" s="1"/>
  <c r="N48" i="18"/>
  <c r="N67" i="18" s="1"/>
  <c r="N178" i="18" s="1"/>
  <c r="J48" i="18"/>
  <c r="J67" i="18" s="1"/>
  <c r="J178" i="18" s="1"/>
  <c r="M122" i="18"/>
  <c r="M126" i="18" s="1"/>
  <c r="M117" i="18" s="1"/>
  <c r="M80" i="18"/>
  <c r="M71" i="18" s="1"/>
  <c r="H67" i="18"/>
  <c r="H178" i="18" s="1"/>
  <c r="E122" i="18"/>
  <c r="E126" i="18" s="1"/>
  <c r="E117" i="18" s="1"/>
  <c r="E80" i="18"/>
  <c r="E71" i="18" s="1"/>
  <c r="L67" i="18"/>
  <c r="L178" i="18" s="1"/>
  <c r="I122" i="18"/>
  <c r="I126" i="18" s="1"/>
  <c r="I117" i="18" s="1"/>
  <c r="I80" i="18"/>
  <c r="I71" i="18" s="1"/>
  <c r="F48" i="18"/>
  <c r="F67" i="18" s="1"/>
  <c r="F178" i="18" s="1"/>
  <c r="I48" i="18"/>
  <c r="I67" i="18" s="1"/>
  <c r="I178" i="18" s="1"/>
  <c r="E48" i="18"/>
  <c r="E67" i="18" s="1"/>
  <c r="E178" i="18" s="1"/>
  <c r="M48" i="18"/>
  <c r="M67" i="18" s="1"/>
  <c r="M178" i="18" s="1"/>
  <c r="D125" i="17"/>
  <c r="P125" i="17" s="1"/>
  <c r="Q125" i="17" s="1"/>
  <c r="P79" i="17"/>
  <c r="Q79" i="17" s="1"/>
  <c r="D119" i="15"/>
  <c r="P119" i="15" s="1"/>
  <c r="Q119" i="15" s="1"/>
  <c r="P73" i="15"/>
  <c r="Q73" i="15" s="1"/>
  <c r="F48" i="14"/>
  <c r="F67" i="14" s="1"/>
  <c r="F178" i="14" s="1"/>
  <c r="M48" i="14"/>
  <c r="M67" i="14" s="1"/>
  <c r="M178" i="14" s="1"/>
  <c r="G48" i="14"/>
  <c r="G67" i="14" s="1"/>
  <c r="G178" i="14" s="1"/>
  <c r="I48" i="14"/>
  <c r="I67" i="14" s="1"/>
  <c r="I178" i="14" s="1"/>
  <c r="L48" i="14"/>
  <c r="L67" i="14" s="1"/>
  <c r="L178" i="14" s="1"/>
  <c r="E48" i="14"/>
  <c r="E67" i="14" s="1"/>
  <c r="E178" i="14" s="1"/>
  <c r="E119" i="14"/>
  <c r="E120" i="14" s="1"/>
  <c r="E117" i="14" s="1"/>
  <c r="P73" i="14"/>
  <c r="Q73" i="14" s="1"/>
  <c r="I74" i="14"/>
  <c r="I71" i="14" s="1"/>
  <c r="M120" i="14"/>
  <c r="M117" i="14" s="1"/>
  <c r="L120" i="14"/>
  <c r="L117" i="14" s="1"/>
  <c r="E74" i="14"/>
  <c r="E71" i="14" s="1"/>
  <c r="I120" i="14"/>
  <c r="I117" i="14" s="1"/>
  <c r="H120" i="14"/>
  <c r="H117" i="14" s="1"/>
  <c r="L74" i="14"/>
  <c r="M74" i="14"/>
  <c r="M71" i="14" s="1"/>
  <c r="H74" i="14"/>
  <c r="O71" i="14"/>
  <c r="O90" i="14" s="1"/>
  <c r="O48" i="14"/>
  <c r="O67" i="14" s="1"/>
  <c r="O178" i="14" s="1"/>
  <c r="J71" i="14"/>
  <c r="J90" i="14" s="1"/>
  <c r="J48" i="14"/>
  <c r="J67" i="14" s="1"/>
  <c r="J178" i="14" s="1"/>
  <c r="K71" i="14"/>
  <c r="K90" i="14" s="1"/>
  <c r="K48" i="14"/>
  <c r="K67" i="14" s="1"/>
  <c r="K178" i="14" s="1"/>
  <c r="N71" i="14"/>
  <c r="N90" i="14" s="1"/>
  <c r="N48" i="14"/>
  <c r="N67" i="14" s="1"/>
  <c r="N178" i="14" s="1"/>
  <c r="M67" i="13"/>
  <c r="M178" i="13" s="1"/>
  <c r="L67" i="13"/>
  <c r="L178" i="13" s="1"/>
  <c r="K67" i="13"/>
  <c r="K178" i="13" s="1"/>
  <c r="J67" i="13"/>
  <c r="J178" i="13" s="1"/>
  <c r="H122" i="13"/>
  <c r="H126" i="13" s="1"/>
  <c r="H117" i="13" s="1"/>
  <c r="H136" i="13" s="1"/>
  <c r="H182" i="13" s="1"/>
  <c r="H80" i="13"/>
  <c r="H71" i="13" s="1"/>
  <c r="H90" i="13" s="1"/>
  <c r="M117" i="13"/>
  <c r="M136" i="13" s="1"/>
  <c r="M182" i="13" s="1"/>
  <c r="L122" i="13"/>
  <c r="L126" i="13" s="1"/>
  <c r="L117" i="13" s="1"/>
  <c r="L80" i="13"/>
  <c r="E67" i="13"/>
  <c r="E178" i="13" s="1"/>
  <c r="I71" i="13"/>
  <c r="I90" i="13" s="1"/>
  <c r="I67" i="13"/>
  <c r="I178" i="13" s="1"/>
  <c r="F118" i="13"/>
  <c r="F120" i="13" s="1"/>
  <c r="F74" i="13"/>
  <c r="K122" i="11"/>
  <c r="K126" i="11" s="1"/>
  <c r="K117" i="11" s="1"/>
  <c r="K80" i="11"/>
  <c r="K71" i="11" s="1"/>
  <c r="G48" i="11"/>
  <c r="G67" i="11" s="1"/>
  <c r="G178" i="11" s="1"/>
  <c r="N122" i="11"/>
  <c r="N126" i="11" s="1"/>
  <c r="N117" i="11" s="1"/>
  <c r="N136" i="11" s="1"/>
  <c r="N182" i="11" s="1"/>
  <c r="N80" i="11"/>
  <c r="N71" i="11" s="1"/>
  <c r="N90" i="11" s="1"/>
  <c r="K48" i="11"/>
  <c r="K67" i="11" s="1"/>
  <c r="K178" i="11" s="1"/>
  <c r="O122" i="11"/>
  <c r="O126" i="11" s="1"/>
  <c r="O117" i="11" s="1"/>
  <c r="O80" i="11"/>
  <c r="O71" i="11" s="1"/>
  <c r="G122" i="11"/>
  <c r="G126" i="11" s="1"/>
  <c r="G117" i="11" s="1"/>
  <c r="G80" i="11"/>
  <c r="G71" i="11" s="1"/>
  <c r="F122" i="11"/>
  <c r="F126" i="11" s="1"/>
  <c r="F117" i="11" s="1"/>
  <c r="F80" i="11"/>
  <c r="N48" i="11"/>
  <c r="N67" i="11" s="1"/>
  <c r="N178" i="11" s="1"/>
  <c r="J48" i="11"/>
  <c r="J67" i="11" s="1"/>
  <c r="J178" i="11" s="1"/>
  <c r="J122" i="11"/>
  <c r="J126" i="11" s="1"/>
  <c r="J117" i="11" s="1"/>
  <c r="J80" i="11"/>
  <c r="H48" i="11"/>
  <c r="H67" i="11" s="1"/>
  <c r="H178" i="11" s="1"/>
  <c r="L48" i="11"/>
  <c r="L67" i="11" s="1"/>
  <c r="L178" i="11" s="1"/>
  <c r="H48" i="10"/>
  <c r="H67" i="10" s="1"/>
  <c r="H178" i="10" s="1"/>
  <c r="L48" i="10"/>
  <c r="L67" i="10" s="1"/>
  <c r="L178" i="10" s="1"/>
  <c r="G48" i="10"/>
  <c r="G67" i="10" s="1"/>
  <c r="G178" i="10" s="1"/>
  <c r="J48" i="10"/>
  <c r="J67" i="10" s="1"/>
  <c r="J178" i="10" s="1"/>
  <c r="N48" i="10"/>
  <c r="N67" i="10" s="1"/>
  <c r="N178" i="10" s="1"/>
  <c r="M48" i="10"/>
  <c r="M67" i="10" s="1"/>
  <c r="M178" i="10" s="1"/>
  <c r="O48" i="10"/>
  <c r="O67" i="10" s="1"/>
  <c r="O178" i="10" s="1"/>
  <c r="K48" i="10"/>
  <c r="K67" i="10" s="1"/>
  <c r="K178" i="10" s="1"/>
  <c r="F71" i="10"/>
  <c r="F90" i="10" s="1"/>
  <c r="F48" i="10"/>
  <c r="F67" i="10" s="1"/>
  <c r="F178" i="10" s="1"/>
  <c r="I71" i="10"/>
  <c r="I90" i="10" s="1"/>
  <c r="I48" i="10"/>
  <c r="I67" i="10" s="1"/>
  <c r="I178" i="10" s="1"/>
  <c r="P10" i="39"/>
  <c r="J48" i="9"/>
  <c r="J67" i="9" s="1"/>
  <c r="J178" i="9" s="1"/>
  <c r="E48" i="9"/>
  <c r="E67" i="9" s="1"/>
  <c r="N48" i="9"/>
  <c r="N67" i="9" s="1"/>
  <c r="N178" i="9" s="1"/>
  <c r="H48" i="9"/>
  <c r="H67" i="9" s="1"/>
  <c r="H178" i="9" s="1"/>
  <c r="K48" i="9"/>
  <c r="K67" i="9" s="1"/>
  <c r="K178" i="9" s="1"/>
  <c r="N122" i="9"/>
  <c r="N126" i="9" s="1"/>
  <c r="N117" i="9" s="1"/>
  <c r="N136" i="9" s="1"/>
  <c r="N182" i="9" s="1"/>
  <c r="N80" i="9"/>
  <c r="N71" i="9" s="1"/>
  <c r="N90" i="9" s="1"/>
  <c r="F122" i="9"/>
  <c r="F126" i="9" s="1"/>
  <c r="F117" i="9" s="1"/>
  <c r="F136" i="9" s="1"/>
  <c r="F182" i="9" s="1"/>
  <c r="F80" i="9"/>
  <c r="F71" i="9" s="1"/>
  <c r="F90" i="9" s="1"/>
  <c r="F48" i="9"/>
  <c r="F67" i="9" s="1"/>
  <c r="F178" i="9" s="1"/>
  <c r="J122" i="9"/>
  <c r="J126" i="9" s="1"/>
  <c r="J117" i="9" s="1"/>
  <c r="J80" i="9"/>
  <c r="J71" i="9" s="1"/>
  <c r="L48" i="9"/>
  <c r="L67" i="9" s="1"/>
  <c r="L178" i="9" s="1"/>
  <c r="O122" i="9"/>
  <c r="O126" i="9" s="1"/>
  <c r="O117" i="9" s="1"/>
  <c r="O80" i="9"/>
  <c r="O71" i="9" s="1"/>
  <c r="G122" i="9"/>
  <c r="G126" i="9" s="1"/>
  <c r="G117" i="9" s="1"/>
  <c r="G80" i="9"/>
  <c r="G71" i="9" s="1"/>
  <c r="K122" i="9"/>
  <c r="K126" i="9" s="1"/>
  <c r="K117" i="9" s="1"/>
  <c r="K80" i="9"/>
  <c r="M48" i="9"/>
  <c r="M67" i="9" s="1"/>
  <c r="M178" i="9" s="1"/>
  <c r="I48" i="9"/>
  <c r="I67" i="9" s="1"/>
  <c r="I178" i="9" s="1"/>
  <c r="G48" i="9"/>
  <c r="G67" i="9" s="1"/>
  <c r="G178" i="9" s="1"/>
  <c r="L48" i="6"/>
  <c r="L67" i="6" s="1"/>
  <c r="L178" i="6" s="1"/>
  <c r="K48" i="6"/>
  <c r="K67" i="6" s="1"/>
  <c r="K178" i="6" s="1"/>
  <c r="N48" i="6"/>
  <c r="N67" i="6" s="1"/>
  <c r="N178" i="6" s="1"/>
  <c r="M48" i="6"/>
  <c r="M67" i="6" s="1"/>
  <c r="M178" i="6" s="1"/>
  <c r="G48" i="6"/>
  <c r="G67" i="6" s="1"/>
  <c r="G178" i="6" s="1"/>
  <c r="J48" i="6"/>
  <c r="J67" i="6" s="1"/>
  <c r="J178" i="6" s="1"/>
  <c r="I48" i="6"/>
  <c r="I67" i="6" s="1"/>
  <c r="I178" i="6" s="1"/>
  <c r="H48" i="6"/>
  <c r="H67" i="6" s="1"/>
  <c r="H178" i="6" s="1"/>
  <c r="F48" i="6"/>
  <c r="F67" i="6" s="1"/>
  <c r="F178" i="6" s="1"/>
  <c r="E48" i="6"/>
  <c r="E67" i="6" s="1"/>
  <c r="E178" i="6" s="1"/>
  <c r="D124" i="18"/>
  <c r="P124" i="18" s="1"/>
  <c r="Q124" i="18" s="1"/>
  <c r="P78" i="18"/>
  <c r="Q78" i="18" s="1"/>
  <c r="D124" i="6"/>
  <c r="P124" i="6" s="1"/>
  <c r="Q124" i="6" s="1"/>
  <c r="P78" i="6"/>
  <c r="Q78" i="6" s="1"/>
  <c r="D124" i="14"/>
  <c r="P124" i="14" s="1"/>
  <c r="Q124" i="14" s="1"/>
  <c r="P78" i="14"/>
  <c r="Q78" i="14" s="1"/>
  <c r="D124" i="7"/>
  <c r="P124" i="7" s="1"/>
  <c r="Q124" i="7" s="1"/>
  <c r="P78" i="7"/>
  <c r="Q78" i="7" s="1"/>
  <c r="D124" i="12"/>
  <c r="P124" i="12" s="1"/>
  <c r="Q124" i="12" s="1"/>
  <c r="P78" i="12"/>
  <c r="Q78" i="12" s="1"/>
  <c r="D124" i="13"/>
  <c r="P124" i="13" s="1"/>
  <c r="Q124" i="13" s="1"/>
  <c r="P78" i="13"/>
  <c r="Q78" i="13" s="1"/>
  <c r="D124" i="5"/>
  <c r="P124" i="5" s="1"/>
  <c r="Q124" i="5" s="1"/>
  <c r="P78" i="5"/>
  <c r="Q78" i="5" s="1"/>
  <c r="P124" i="11"/>
  <c r="Q124" i="11" s="1"/>
  <c r="P78" i="11"/>
  <c r="Q78" i="11" s="1"/>
  <c r="P76" i="10"/>
  <c r="Q76" i="10" s="1"/>
  <c r="D74" i="17"/>
  <c r="P74" i="17" s="1"/>
  <c r="Q74" i="17" s="1"/>
  <c r="P72" i="17"/>
  <c r="Q72" i="17" s="1"/>
  <c r="P51" i="17"/>
  <c r="Q51" i="17" s="1"/>
  <c r="P72" i="12"/>
  <c r="Q72" i="12" s="1"/>
  <c r="D74" i="12"/>
  <c r="P18" i="39"/>
  <c r="P13" i="39"/>
  <c r="P51" i="12"/>
  <c r="Q51" i="12" s="1"/>
  <c r="O71" i="6"/>
  <c r="O90" i="6" s="1"/>
  <c r="O48" i="6"/>
  <c r="O67" i="6" s="1"/>
  <c r="O178" i="6" s="1"/>
  <c r="P6" i="39"/>
  <c r="I122" i="4"/>
  <c r="H122" i="4"/>
  <c r="M122" i="4"/>
  <c r="E122" i="4"/>
  <c r="L122" i="4"/>
  <c r="P76" i="4"/>
  <c r="N71" i="10"/>
  <c r="N90" i="10" s="1"/>
  <c r="K71" i="6"/>
  <c r="K90" i="6" s="1"/>
  <c r="L71" i="9"/>
  <c r="L90" i="9" s="1"/>
  <c r="L71" i="10"/>
  <c r="L90" i="10" s="1"/>
  <c r="J71" i="10"/>
  <c r="J90" i="10" s="1"/>
  <c r="L71" i="18"/>
  <c r="K71" i="18"/>
  <c r="K90" i="18" s="1"/>
  <c r="K111" i="20" s="1"/>
  <c r="K111" i="28" s="1"/>
  <c r="K121" i="46" s="1"/>
  <c r="L71" i="6"/>
  <c r="L90" i="6" s="1"/>
  <c r="G71" i="6"/>
  <c r="G90" i="6" s="1"/>
  <c r="G71" i="14"/>
  <c r="G90" i="14" s="1"/>
  <c r="N71" i="18"/>
  <c r="N90" i="18" s="1"/>
  <c r="H71" i="18"/>
  <c r="G71" i="18"/>
  <c r="G90" i="18" s="1"/>
  <c r="G111" i="20" s="1"/>
  <c r="G111" i="28" s="1"/>
  <c r="G121" i="46" s="1"/>
  <c r="O71" i="13"/>
  <c r="G71" i="13"/>
  <c r="G90" i="13" s="1"/>
  <c r="O71" i="18"/>
  <c r="O90" i="18" s="1"/>
  <c r="O111" i="20" s="1"/>
  <c r="O111" i="28" s="1"/>
  <c r="O121" i="46" s="1"/>
  <c r="J71" i="13"/>
  <c r="H71" i="6"/>
  <c r="H90" i="6" s="1"/>
  <c r="M71" i="10"/>
  <c r="M90" i="10" s="1"/>
  <c r="H71" i="10"/>
  <c r="H90" i="10" s="1"/>
  <c r="M71" i="13"/>
  <c r="M90" i="13" s="1"/>
  <c r="J71" i="18"/>
  <c r="J90" i="18" s="1"/>
  <c r="J111" i="20" s="1"/>
  <c r="J111" i="28" s="1"/>
  <c r="J121" i="46" s="1"/>
  <c r="N71" i="13"/>
  <c r="N90" i="13" s="1"/>
  <c r="Q19" i="28"/>
  <c r="Q17" i="28"/>
  <c r="F81" i="6"/>
  <c r="F127" i="6" s="1"/>
  <c r="G44" i="18"/>
  <c r="G177" i="18" s="1"/>
  <c r="P77" i="13"/>
  <c r="Q77" i="13" s="1"/>
  <c r="G67" i="13"/>
  <c r="G178" i="13" s="1"/>
  <c r="F67" i="13"/>
  <c r="F178" i="13" s="1"/>
  <c r="G44" i="13"/>
  <c r="G177" i="13" s="1"/>
  <c r="P123" i="12"/>
  <c r="Q123" i="12" s="1"/>
  <c r="G44" i="11"/>
  <c r="G177" i="11" s="1"/>
  <c r="G44" i="10"/>
  <c r="G177" i="10" s="1"/>
  <c r="G44" i="9"/>
  <c r="G177" i="9" s="1"/>
  <c r="N81" i="5"/>
  <c r="N127" i="5" s="1"/>
  <c r="P77" i="12"/>
  <c r="Q77" i="12" s="1"/>
  <c r="H81" i="18"/>
  <c r="H127" i="18" s="1"/>
  <c r="L81" i="18"/>
  <c r="L127" i="18" s="1"/>
  <c r="L118" i="18"/>
  <c r="L120" i="18" s="1"/>
  <c r="L117" i="18" s="1"/>
  <c r="G118" i="18"/>
  <c r="F71" i="18"/>
  <c r="H118" i="18"/>
  <c r="O118" i="18"/>
  <c r="K118" i="18"/>
  <c r="L118" i="17"/>
  <c r="O118" i="17"/>
  <c r="H118" i="17"/>
  <c r="K118" i="17"/>
  <c r="D118" i="17"/>
  <c r="G118" i="17"/>
  <c r="E118" i="15"/>
  <c r="L118" i="15"/>
  <c r="M118" i="15"/>
  <c r="H118" i="15"/>
  <c r="I118" i="15"/>
  <c r="M81" i="14"/>
  <c r="M127" i="14" s="1"/>
  <c r="I81" i="14"/>
  <c r="I127" i="14" s="1"/>
  <c r="F71" i="14"/>
  <c r="L81" i="14"/>
  <c r="L127" i="14" s="1"/>
  <c r="E81" i="14"/>
  <c r="E127" i="14" s="1"/>
  <c r="H81" i="14"/>
  <c r="H127" i="14" s="1"/>
  <c r="E71" i="13"/>
  <c r="K118" i="13"/>
  <c r="K120" i="13" s="1"/>
  <c r="K117" i="13" s="1"/>
  <c r="N118" i="13"/>
  <c r="G118" i="13"/>
  <c r="O81" i="13"/>
  <c r="O127" i="13" s="1"/>
  <c r="J118" i="13"/>
  <c r="J120" i="13" s="1"/>
  <c r="J117" i="13" s="1"/>
  <c r="K81" i="13"/>
  <c r="K127" i="13" s="1"/>
  <c r="O118" i="13"/>
  <c r="O120" i="13" s="1"/>
  <c r="O117" i="13" s="1"/>
  <c r="J81" i="13"/>
  <c r="J127" i="13" s="1"/>
  <c r="I118" i="12"/>
  <c r="M118" i="12"/>
  <c r="F118" i="12"/>
  <c r="F120" i="12" s="1"/>
  <c r="J118" i="12"/>
  <c r="J120" i="12" s="1"/>
  <c r="E118" i="12"/>
  <c r="N118" i="12"/>
  <c r="N120" i="12" s="1"/>
  <c r="K81" i="11"/>
  <c r="K127" i="11" s="1"/>
  <c r="H118" i="11"/>
  <c r="H120" i="11" s="1"/>
  <c r="P123" i="11"/>
  <c r="Q123" i="11" s="1"/>
  <c r="P77" i="11"/>
  <c r="Q77" i="11" s="1"/>
  <c r="L118" i="11"/>
  <c r="L120" i="11" s="1"/>
  <c r="J81" i="11"/>
  <c r="J127" i="11" s="1"/>
  <c r="I118" i="11"/>
  <c r="M118" i="11"/>
  <c r="H118" i="10"/>
  <c r="H120" i="10" s="1"/>
  <c r="G81" i="10"/>
  <c r="G127" i="10" s="1"/>
  <c r="L118" i="10"/>
  <c r="L120" i="10" s="1"/>
  <c r="O81" i="10"/>
  <c r="O127" i="10" s="1"/>
  <c r="I118" i="9"/>
  <c r="I120" i="9" s="1"/>
  <c r="I117" i="9" s="1"/>
  <c r="M118" i="9"/>
  <c r="M120" i="9" s="1"/>
  <c r="M117" i="9" s="1"/>
  <c r="H118" i="9"/>
  <c r="H120" i="9" s="1"/>
  <c r="H117" i="9" s="1"/>
  <c r="L118" i="9"/>
  <c r="E118" i="9"/>
  <c r="E120" i="9" s="1"/>
  <c r="E117" i="9" s="1"/>
  <c r="D123" i="7"/>
  <c r="P123" i="7" s="1"/>
  <c r="Q123" i="7" s="1"/>
  <c r="P77" i="7"/>
  <c r="Q77" i="7" s="1"/>
  <c r="N81" i="6"/>
  <c r="N127" i="6" s="1"/>
  <c r="I81" i="6"/>
  <c r="I127" i="6" s="1"/>
  <c r="E81" i="6"/>
  <c r="E127" i="6" s="1"/>
  <c r="D123" i="5"/>
  <c r="P123" i="5" s="1"/>
  <c r="Q123" i="5" s="1"/>
  <c r="P77" i="5"/>
  <c r="Q77" i="5" s="1"/>
  <c r="J81" i="5"/>
  <c r="J127" i="5" s="1"/>
  <c r="D122" i="4"/>
  <c r="G113" i="18" l="1"/>
  <c r="K134" i="20"/>
  <c r="J134" i="20"/>
  <c r="G134" i="20"/>
  <c r="O113" i="18"/>
  <c r="O134" i="20"/>
  <c r="J113" i="18"/>
  <c r="N111" i="20"/>
  <c r="N111" i="28" s="1"/>
  <c r="N121" i="46" s="1"/>
  <c r="N113" i="18"/>
  <c r="K113" i="18"/>
  <c r="Q184" i="5"/>
  <c r="R184" i="20"/>
  <c r="Q107" i="20"/>
  <c r="R107" i="20"/>
  <c r="Q85" i="20"/>
  <c r="S85" i="20"/>
  <c r="R85" i="20"/>
  <c r="Q38" i="20"/>
  <c r="R38" i="20"/>
  <c r="Q131" i="20"/>
  <c r="S131" i="20"/>
  <c r="R131" i="20"/>
  <c r="R129" i="20"/>
  <c r="R83" i="20"/>
  <c r="R82" i="20"/>
  <c r="S81" i="20"/>
  <c r="R58" i="20"/>
  <c r="S127" i="20"/>
  <c r="R128" i="20"/>
  <c r="R75" i="20"/>
  <c r="R121" i="20"/>
  <c r="Q76" i="4"/>
  <c r="R122" i="4"/>
  <c r="Q18" i="39"/>
  <c r="Q13" i="39"/>
  <c r="Q10" i="39"/>
  <c r="Q6" i="39"/>
  <c r="M180" i="13"/>
  <c r="M185" i="13" s="1"/>
  <c r="G180" i="18"/>
  <c r="G185" i="18" s="1"/>
  <c r="G180" i="6"/>
  <c r="G185" i="6" s="1"/>
  <c r="J180" i="10"/>
  <c r="J185" i="10" s="1"/>
  <c r="N180" i="10"/>
  <c r="N185" i="10" s="1"/>
  <c r="F180" i="10"/>
  <c r="F185" i="10" s="1"/>
  <c r="N180" i="14"/>
  <c r="N185" i="14" s="1"/>
  <c r="J180" i="14"/>
  <c r="J185" i="14" s="1"/>
  <c r="I180" i="11"/>
  <c r="I185" i="11" s="1"/>
  <c r="H180" i="10"/>
  <c r="H185" i="10" s="1"/>
  <c r="O180" i="18"/>
  <c r="O185" i="18" s="1"/>
  <c r="L180" i="6"/>
  <c r="L185" i="6" s="1"/>
  <c r="L180" i="10"/>
  <c r="L185" i="10" s="1"/>
  <c r="O180" i="6"/>
  <c r="O185" i="6" s="1"/>
  <c r="N180" i="9"/>
  <c r="N185" i="9" s="1"/>
  <c r="H180" i="13"/>
  <c r="H185" i="13" s="1"/>
  <c r="M180" i="11"/>
  <c r="M185" i="11" s="1"/>
  <c r="N180" i="13"/>
  <c r="N185" i="13" s="1"/>
  <c r="M180" i="10"/>
  <c r="M185" i="10" s="1"/>
  <c r="G180" i="13"/>
  <c r="G185" i="13" s="1"/>
  <c r="N180" i="18"/>
  <c r="N185" i="18" s="1"/>
  <c r="K180" i="18"/>
  <c r="K185" i="18" s="1"/>
  <c r="L180" i="9"/>
  <c r="L185" i="9" s="1"/>
  <c r="I180" i="10"/>
  <c r="I185" i="10" s="1"/>
  <c r="K180" i="14"/>
  <c r="K185" i="14" s="1"/>
  <c r="O180" i="14"/>
  <c r="O185" i="14" s="1"/>
  <c r="J180" i="18"/>
  <c r="J185" i="18" s="1"/>
  <c r="H180" i="6"/>
  <c r="H185" i="6" s="1"/>
  <c r="G180" i="14"/>
  <c r="G185" i="14" s="1"/>
  <c r="K180" i="6"/>
  <c r="K185" i="6" s="1"/>
  <c r="F180" i="9"/>
  <c r="F185" i="9" s="1"/>
  <c r="N180" i="11"/>
  <c r="N185" i="11" s="1"/>
  <c r="I180" i="13"/>
  <c r="I185" i="13" s="1"/>
  <c r="F98" i="46"/>
  <c r="Q49" i="46"/>
  <c r="N98" i="46"/>
  <c r="P52" i="46"/>
  <c r="Q52" i="46" s="1"/>
  <c r="K98" i="46"/>
  <c r="K144" i="46" s="1"/>
  <c r="M98" i="46"/>
  <c r="P65" i="28"/>
  <c r="H98" i="46"/>
  <c r="E98" i="46"/>
  <c r="O98" i="46"/>
  <c r="O144" i="46" s="1"/>
  <c r="P50" i="46"/>
  <c r="Q50" i="46" s="1"/>
  <c r="P63" i="28"/>
  <c r="D61" i="28"/>
  <c r="D48" i="46"/>
  <c r="P48" i="46" s="1"/>
  <c r="G98" i="46"/>
  <c r="G144" i="46" s="1"/>
  <c r="J98" i="46"/>
  <c r="J144" i="46" s="1"/>
  <c r="L98" i="46"/>
  <c r="Q63" i="20"/>
  <c r="W63" i="28"/>
  <c r="Q65" i="20"/>
  <c r="W65" i="28"/>
  <c r="X62" i="28"/>
  <c r="Q117" i="46"/>
  <c r="R117" i="46"/>
  <c r="Q62" i="28"/>
  <c r="Q17" i="46"/>
  <c r="B81" i="20"/>
  <c r="B127" i="20" s="1"/>
  <c r="B136" i="20" s="1"/>
  <c r="B182" i="20" s="1"/>
  <c r="B178" i="20"/>
  <c r="D120" i="12"/>
  <c r="H117" i="11"/>
  <c r="H136" i="11" s="1"/>
  <c r="H182" i="11" s="1"/>
  <c r="P127" i="7"/>
  <c r="Q127" i="7" s="1"/>
  <c r="D120" i="17"/>
  <c r="F117" i="13"/>
  <c r="F136" i="13" s="1"/>
  <c r="F182" i="13" s="1"/>
  <c r="F186" i="13" s="1"/>
  <c r="P127" i="12"/>
  <c r="Q127" i="12" s="1"/>
  <c r="F136" i="6"/>
  <c r="F182" i="6" s="1"/>
  <c r="F186" i="6" s="1"/>
  <c r="P127" i="17"/>
  <c r="Q127" i="17" s="1"/>
  <c r="F71" i="13"/>
  <c r="F90" i="13" s="1"/>
  <c r="P74" i="12"/>
  <c r="Q74" i="12" s="1"/>
  <c r="P127" i="11"/>
  <c r="Q127" i="11" s="1"/>
  <c r="L86" i="28"/>
  <c r="L132" i="28" s="1"/>
  <c r="L130" i="28" s="1"/>
  <c r="L73" i="46"/>
  <c r="L96" i="46" s="1"/>
  <c r="L142" i="46" s="1"/>
  <c r="O86" i="28"/>
  <c r="O132" i="28" s="1"/>
  <c r="O130" i="28" s="1"/>
  <c r="O73" i="46"/>
  <c r="O96" i="46" s="1"/>
  <c r="O142" i="46" s="1"/>
  <c r="J95" i="46"/>
  <c r="J141" i="46" s="1"/>
  <c r="P127" i="6"/>
  <c r="Q127" i="6" s="1"/>
  <c r="I61" i="28"/>
  <c r="I84" i="28" s="1"/>
  <c r="I73" i="46"/>
  <c r="J61" i="28"/>
  <c r="J84" i="28" s="1"/>
  <c r="J73" i="46"/>
  <c r="J96" i="46" s="1"/>
  <c r="J142" i="46" s="1"/>
  <c r="D88" i="28"/>
  <c r="D75" i="46"/>
  <c r="H61" i="28"/>
  <c r="H84" i="28" s="1"/>
  <c r="H73" i="46"/>
  <c r="H96" i="46" s="1"/>
  <c r="H142" i="46" s="1"/>
  <c r="F61" i="28"/>
  <c r="F84" i="28" s="1"/>
  <c r="F73" i="46"/>
  <c r="F96" i="46" s="1"/>
  <c r="F142" i="46" s="1"/>
  <c r="H84" i="20"/>
  <c r="G95" i="46"/>
  <c r="G141" i="46" s="1"/>
  <c r="D86" i="28"/>
  <c r="D132" i="28" s="1"/>
  <c r="D130" i="28" s="1"/>
  <c r="D73" i="46"/>
  <c r="D71" i="46" s="1"/>
  <c r="F95" i="46"/>
  <c r="F141" i="46" s="1"/>
  <c r="O95" i="46"/>
  <c r="O141" i="46" s="1"/>
  <c r="L95" i="46"/>
  <c r="L141" i="46" s="1"/>
  <c r="G86" i="28"/>
  <c r="G132" i="28" s="1"/>
  <c r="G130" i="28" s="1"/>
  <c r="G73" i="46"/>
  <c r="G96" i="46" s="1"/>
  <c r="G142" i="46" s="1"/>
  <c r="N61" i="28"/>
  <c r="N84" i="28" s="1"/>
  <c r="N73" i="46"/>
  <c r="N96" i="46" s="1"/>
  <c r="N142" i="46" s="1"/>
  <c r="M61" i="28"/>
  <c r="M84" i="28" s="1"/>
  <c r="M73" i="46"/>
  <c r="I88" i="28"/>
  <c r="I75" i="46"/>
  <c r="I98" i="46" s="1"/>
  <c r="E86" i="28"/>
  <c r="E132" i="28" s="1"/>
  <c r="E130" i="28" s="1"/>
  <c r="E73" i="46"/>
  <c r="K86" i="28"/>
  <c r="K132" i="28" s="1"/>
  <c r="K130" i="28" s="1"/>
  <c r="K73" i="46"/>
  <c r="K96" i="46" s="1"/>
  <c r="K142" i="46" s="1"/>
  <c r="H95" i="46"/>
  <c r="H141" i="46" s="1"/>
  <c r="P72" i="46"/>
  <c r="R72" i="46" s="1"/>
  <c r="D95" i="46"/>
  <c r="K95" i="46"/>
  <c r="K141" i="46" s="1"/>
  <c r="N95" i="46"/>
  <c r="N141" i="46" s="1"/>
  <c r="E90" i="14"/>
  <c r="M90" i="14"/>
  <c r="K90" i="11"/>
  <c r="P127" i="10"/>
  <c r="Q127" i="10" s="1"/>
  <c r="P127" i="5"/>
  <c r="Q127" i="5" s="1"/>
  <c r="P127" i="15"/>
  <c r="Q127" i="15" s="1"/>
  <c r="O90" i="13"/>
  <c r="L117" i="11"/>
  <c r="L136" i="11" s="1"/>
  <c r="L182" i="11" s="1"/>
  <c r="P119" i="14"/>
  <c r="Q119" i="14" s="1"/>
  <c r="P127" i="18"/>
  <c r="Q127" i="18" s="1"/>
  <c r="F90" i="6"/>
  <c r="L90" i="18"/>
  <c r="D127" i="18"/>
  <c r="P81" i="18"/>
  <c r="Q81" i="18" s="1"/>
  <c r="P127" i="14"/>
  <c r="Q127" i="14" s="1"/>
  <c r="P61" i="20"/>
  <c r="R61" i="20" s="1"/>
  <c r="K61" i="28"/>
  <c r="K84" i="28" s="1"/>
  <c r="D127" i="14"/>
  <c r="P81" i="14"/>
  <c r="Q81" i="14" s="1"/>
  <c r="D127" i="13"/>
  <c r="P81" i="13"/>
  <c r="Q81" i="13" s="1"/>
  <c r="D127" i="12"/>
  <c r="P81" i="12"/>
  <c r="Q81" i="12" s="1"/>
  <c r="P38" i="28"/>
  <c r="P81" i="11"/>
  <c r="Q81" i="11" s="1"/>
  <c r="P81" i="10"/>
  <c r="Q81" i="10" s="1"/>
  <c r="L61" i="28"/>
  <c r="L84" i="28" s="1"/>
  <c r="M86" i="28"/>
  <c r="M132" i="28" s="1"/>
  <c r="M130" i="28" s="1"/>
  <c r="D127" i="7"/>
  <c r="P81" i="7"/>
  <c r="Q81" i="7" s="1"/>
  <c r="P86" i="20"/>
  <c r="H86" i="28"/>
  <c r="H132" i="28" s="1"/>
  <c r="H130" i="28" s="1"/>
  <c r="P81" i="5"/>
  <c r="Q81" i="5" s="1"/>
  <c r="G84" i="28"/>
  <c r="J86" i="28"/>
  <c r="J132" i="28" s="1"/>
  <c r="J130" i="28" s="1"/>
  <c r="F86" i="28"/>
  <c r="F132" i="28" s="1"/>
  <c r="F130" i="28" s="1"/>
  <c r="D127" i="6"/>
  <c r="P81" i="6"/>
  <c r="Q81" i="6" s="1"/>
  <c r="I86" i="28"/>
  <c r="I132" i="28" s="1"/>
  <c r="I130" i="28" s="1"/>
  <c r="D127" i="4"/>
  <c r="P81" i="4"/>
  <c r="Q81" i="4" s="1"/>
  <c r="O88" i="28"/>
  <c r="O134" i="28" s="1"/>
  <c r="E88" i="28"/>
  <c r="P132" i="20"/>
  <c r="E61" i="28"/>
  <c r="P85" i="28"/>
  <c r="Q85" i="28" s="1"/>
  <c r="N86" i="28"/>
  <c r="N132" i="28" s="1"/>
  <c r="N130" i="28" s="1"/>
  <c r="D130" i="20"/>
  <c r="P130" i="4"/>
  <c r="Q130" i="4" s="1"/>
  <c r="P131" i="28"/>
  <c r="G88" i="28"/>
  <c r="N88" i="28"/>
  <c r="K88" i="28"/>
  <c r="J88" i="28"/>
  <c r="L88" i="28"/>
  <c r="M88" i="28"/>
  <c r="H88" i="28"/>
  <c r="F88" i="28"/>
  <c r="P88" i="20"/>
  <c r="K120" i="18"/>
  <c r="K117" i="18" s="1"/>
  <c r="O120" i="18"/>
  <c r="O117" i="18" s="1"/>
  <c r="H120" i="18"/>
  <c r="H117" i="18" s="1"/>
  <c r="G120" i="18"/>
  <c r="G117" i="18" s="1"/>
  <c r="G136" i="18" s="1"/>
  <c r="G182" i="18" s="1"/>
  <c r="H120" i="17"/>
  <c r="O120" i="17"/>
  <c r="G120" i="17"/>
  <c r="K120" i="17"/>
  <c r="L120" i="17"/>
  <c r="M120" i="15"/>
  <c r="L120" i="15"/>
  <c r="E120" i="15"/>
  <c r="H120" i="15"/>
  <c r="I120" i="15"/>
  <c r="G120" i="13"/>
  <c r="N120" i="13"/>
  <c r="N117" i="13" s="1"/>
  <c r="N136" i="13" s="1"/>
  <c r="N182" i="13" s="1"/>
  <c r="E120" i="12"/>
  <c r="M120" i="12"/>
  <c r="I120" i="12"/>
  <c r="M120" i="11"/>
  <c r="M117" i="11" s="1"/>
  <c r="M136" i="11" s="1"/>
  <c r="M182" i="11" s="1"/>
  <c r="I120" i="11"/>
  <c r="I117" i="11" s="1"/>
  <c r="I136" i="11" s="1"/>
  <c r="I182" i="11" s="1"/>
  <c r="L120" i="9"/>
  <c r="L117" i="9" s="1"/>
  <c r="L136" i="9" s="1"/>
  <c r="L182" i="9" s="1"/>
  <c r="P122" i="10"/>
  <c r="Q122" i="10" s="1"/>
  <c r="P122" i="4"/>
  <c r="Q122" i="4" s="1"/>
  <c r="E178" i="9"/>
  <c r="M136" i="6"/>
  <c r="M182" i="6" s="1"/>
  <c r="M186" i="6" s="1"/>
  <c r="M71" i="6"/>
  <c r="M90" i="6" s="1"/>
  <c r="I71" i="9"/>
  <c r="I90" i="9" s="1"/>
  <c r="K71" i="10"/>
  <c r="K90" i="10" s="1"/>
  <c r="O71" i="10"/>
  <c r="O90" i="10" s="1"/>
  <c r="L71" i="11"/>
  <c r="L90" i="11" s="1"/>
  <c r="H71" i="14"/>
  <c r="H90" i="14" s="1"/>
  <c r="H71" i="11"/>
  <c r="H90" i="11" s="1"/>
  <c r="L136" i="13"/>
  <c r="L182" i="13" s="1"/>
  <c r="L186" i="13" s="1"/>
  <c r="L71" i="13"/>
  <c r="L90" i="13" s="1"/>
  <c r="N136" i="6"/>
  <c r="N182" i="6" s="1"/>
  <c r="N186" i="6" s="1"/>
  <c r="N71" i="6"/>
  <c r="N90" i="6" s="1"/>
  <c r="G71" i="10"/>
  <c r="G90" i="10" s="1"/>
  <c r="H136" i="9"/>
  <c r="H182" i="9" s="1"/>
  <c r="H71" i="9"/>
  <c r="H90" i="9" s="1"/>
  <c r="J71" i="11"/>
  <c r="J90" i="11" s="1"/>
  <c r="L136" i="14"/>
  <c r="L182" i="14" s="1"/>
  <c r="L186" i="14" s="1"/>
  <c r="L71" i="14"/>
  <c r="L90" i="14" s="1"/>
  <c r="E71" i="9"/>
  <c r="E90" i="9" s="1"/>
  <c r="F136" i="11"/>
  <c r="F182" i="11" s="1"/>
  <c r="F186" i="11" s="1"/>
  <c r="F71" i="11"/>
  <c r="F90" i="11" s="1"/>
  <c r="E136" i="9"/>
  <c r="E182" i="9" s="1"/>
  <c r="E186" i="9" s="1"/>
  <c r="I136" i="9"/>
  <c r="I182" i="9" s="1"/>
  <c r="I186" i="9" s="1"/>
  <c r="I136" i="6"/>
  <c r="I182" i="6" s="1"/>
  <c r="I186" i="6" s="1"/>
  <c r="I71" i="6"/>
  <c r="I90" i="6" s="1"/>
  <c r="I180" i="6" s="1"/>
  <c r="E71" i="6"/>
  <c r="M71" i="9"/>
  <c r="M90" i="9" s="1"/>
  <c r="J136" i="6"/>
  <c r="J182" i="6" s="1"/>
  <c r="J186" i="6" s="1"/>
  <c r="J71" i="6"/>
  <c r="J90" i="6" s="1"/>
  <c r="K136" i="9"/>
  <c r="K182" i="9" s="1"/>
  <c r="K71" i="9"/>
  <c r="K90" i="9" s="1"/>
  <c r="P127" i="9"/>
  <c r="Q127" i="9" s="1"/>
  <c r="P127" i="4"/>
  <c r="Q127" i="4" s="1"/>
  <c r="K136" i="11"/>
  <c r="K182" i="11" s="1"/>
  <c r="M136" i="14"/>
  <c r="M182" i="14" s="1"/>
  <c r="I136" i="14"/>
  <c r="I182" i="14" s="1"/>
  <c r="H90" i="18"/>
  <c r="J136" i="11"/>
  <c r="J182" i="11" s="1"/>
  <c r="J186" i="11" s="1"/>
  <c r="H136" i="14"/>
  <c r="H182" i="14" s="1"/>
  <c r="H186" i="14" s="1"/>
  <c r="M90" i="18"/>
  <c r="E90" i="18"/>
  <c r="F90" i="18"/>
  <c r="I90" i="18"/>
  <c r="P118" i="17"/>
  <c r="Q118" i="17" s="1"/>
  <c r="G186" i="14"/>
  <c r="N186" i="14"/>
  <c r="J186" i="14"/>
  <c r="I90" i="14"/>
  <c r="O186" i="14"/>
  <c r="K186" i="14"/>
  <c r="F90" i="14"/>
  <c r="E136" i="14"/>
  <c r="E182" i="14" s="1"/>
  <c r="O136" i="13"/>
  <c r="O182" i="13" s="1"/>
  <c r="J90" i="13"/>
  <c r="E136" i="13"/>
  <c r="E182" i="13" s="1"/>
  <c r="E90" i="13"/>
  <c r="J136" i="13"/>
  <c r="J182" i="13" s="1"/>
  <c r="K90" i="13"/>
  <c r="H186" i="13"/>
  <c r="I186" i="13"/>
  <c r="K136" i="13"/>
  <c r="K182" i="13" s="1"/>
  <c r="P127" i="13"/>
  <c r="Q127" i="13" s="1"/>
  <c r="M186" i="13"/>
  <c r="P118" i="12"/>
  <c r="Q118" i="12" s="1"/>
  <c r="G90" i="11"/>
  <c r="O136" i="11"/>
  <c r="O182" i="11" s="1"/>
  <c r="O90" i="11"/>
  <c r="N186" i="11"/>
  <c r="G90" i="9"/>
  <c r="O136" i="9"/>
  <c r="O182" i="9" s="1"/>
  <c r="O90" i="9"/>
  <c r="J136" i="9"/>
  <c r="J182" i="9" s="1"/>
  <c r="J90" i="9"/>
  <c r="F186" i="9"/>
  <c r="N186" i="9"/>
  <c r="M136" i="9"/>
  <c r="M182" i="9" s="1"/>
  <c r="H186" i="6"/>
  <c r="L186" i="6"/>
  <c r="G186" i="6"/>
  <c r="O186" i="6"/>
  <c r="E136" i="6"/>
  <c r="E182" i="6" s="1"/>
  <c r="G181" i="18" l="1"/>
  <c r="I111" i="20"/>
  <c r="I113" i="18"/>
  <c r="H111" i="20"/>
  <c r="H113" i="18"/>
  <c r="O136" i="18"/>
  <c r="O182" i="18" s="1"/>
  <c r="O181" i="18"/>
  <c r="E111" i="20"/>
  <c r="E113" i="18"/>
  <c r="N144" i="46"/>
  <c r="K181" i="18"/>
  <c r="K136" i="18"/>
  <c r="K182" i="18" s="1"/>
  <c r="N134" i="20"/>
  <c r="J136" i="18"/>
  <c r="J182" i="18" s="1"/>
  <c r="J186" i="18" s="1"/>
  <c r="J187" i="18" s="1"/>
  <c r="J181" i="18"/>
  <c r="F111" i="20"/>
  <c r="F113" i="18"/>
  <c r="M111" i="20"/>
  <c r="M113" i="18"/>
  <c r="L111" i="20"/>
  <c r="L113" i="18"/>
  <c r="N181" i="18"/>
  <c r="N136" i="18"/>
  <c r="N182" i="18" s="1"/>
  <c r="N186" i="18" s="1"/>
  <c r="N187" i="18" s="1"/>
  <c r="J187" i="14"/>
  <c r="K183" i="6"/>
  <c r="N183" i="14"/>
  <c r="R50" i="46"/>
  <c r="Q86" i="20"/>
  <c r="S86" i="20"/>
  <c r="R86" i="20"/>
  <c r="Q88" i="20"/>
  <c r="R88" i="20"/>
  <c r="Q132" i="20"/>
  <c r="S132" i="20"/>
  <c r="R132" i="20"/>
  <c r="R81" i="20"/>
  <c r="R127" i="20"/>
  <c r="X63" i="28"/>
  <c r="N187" i="9"/>
  <c r="M183" i="13"/>
  <c r="M187" i="13"/>
  <c r="I183" i="13"/>
  <c r="O183" i="6"/>
  <c r="O187" i="6"/>
  <c r="K187" i="6"/>
  <c r="K183" i="14"/>
  <c r="G183" i="14"/>
  <c r="K187" i="14"/>
  <c r="O183" i="14"/>
  <c r="G187" i="14"/>
  <c r="O187" i="14"/>
  <c r="I187" i="13"/>
  <c r="N183" i="9"/>
  <c r="G183" i="6"/>
  <c r="H187" i="13"/>
  <c r="L187" i="6"/>
  <c r="H183" i="6"/>
  <c r="G187" i="6"/>
  <c r="H187" i="6"/>
  <c r="F183" i="9"/>
  <c r="N183" i="11"/>
  <c r="N187" i="14"/>
  <c r="L183" i="6"/>
  <c r="F187" i="9"/>
  <c r="N187" i="11"/>
  <c r="H183" i="13"/>
  <c r="J183" i="14"/>
  <c r="G180" i="9"/>
  <c r="G185" i="9" s="1"/>
  <c r="K180" i="13"/>
  <c r="K185" i="13" s="1"/>
  <c r="J180" i="13"/>
  <c r="J185" i="13" s="1"/>
  <c r="H180" i="18"/>
  <c r="H185" i="18" s="1"/>
  <c r="J180" i="6"/>
  <c r="J185" i="6" s="1"/>
  <c r="L180" i="14"/>
  <c r="L185" i="14" s="1"/>
  <c r="L180" i="13"/>
  <c r="L185" i="13" s="1"/>
  <c r="L180" i="11"/>
  <c r="L185" i="11" s="1"/>
  <c r="I180" i="9"/>
  <c r="I185" i="9" s="1"/>
  <c r="O180" i="9"/>
  <c r="O185" i="9" s="1"/>
  <c r="G180" i="11"/>
  <c r="G185" i="11" s="1"/>
  <c r="I180" i="14"/>
  <c r="I185" i="14" s="1"/>
  <c r="E180" i="18"/>
  <c r="E185" i="18" s="1"/>
  <c r="F180" i="11"/>
  <c r="F185" i="11" s="1"/>
  <c r="G180" i="10"/>
  <c r="G185" i="10" s="1"/>
  <c r="O180" i="10"/>
  <c r="O185" i="10" s="1"/>
  <c r="M180" i="6"/>
  <c r="M185" i="6" s="1"/>
  <c r="E180" i="14"/>
  <c r="E185" i="14" s="1"/>
  <c r="E180" i="13"/>
  <c r="E185" i="13" s="1"/>
  <c r="I180" i="18"/>
  <c r="I185" i="18" s="1"/>
  <c r="M180" i="18"/>
  <c r="M185" i="18" s="1"/>
  <c r="K180" i="9"/>
  <c r="K185" i="9" s="1"/>
  <c r="M180" i="9"/>
  <c r="M185" i="9" s="1"/>
  <c r="J180" i="11"/>
  <c r="J185" i="11" s="1"/>
  <c r="N180" i="6"/>
  <c r="N185" i="6" s="1"/>
  <c r="H180" i="11"/>
  <c r="H185" i="11" s="1"/>
  <c r="K180" i="10"/>
  <c r="K185" i="10" s="1"/>
  <c r="L180" i="18"/>
  <c r="L185" i="18" s="1"/>
  <c r="K180" i="11"/>
  <c r="K185" i="11" s="1"/>
  <c r="F180" i="13"/>
  <c r="F185" i="13" s="1"/>
  <c r="J180" i="9"/>
  <c r="J185" i="9" s="1"/>
  <c r="O180" i="11"/>
  <c r="O185" i="11" s="1"/>
  <c r="F180" i="14"/>
  <c r="F185" i="14" s="1"/>
  <c r="F180" i="18"/>
  <c r="F185" i="18" s="1"/>
  <c r="E180" i="9"/>
  <c r="E185" i="9" s="1"/>
  <c r="H180" i="9"/>
  <c r="H185" i="9" s="1"/>
  <c r="H180" i="14"/>
  <c r="H185" i="14" s="1"/>
  <c r="F180" i="6"/>
  <c r="F185" i="6" s="1"/>
  <c r="O180" i="13"/>
  <c r="O185" i="13" s="1"/>
  <c r="M180" i="14"/>
  <c r="M185" i="14" s="1"/>
  <c r="R52" i="46"/>
  <c r="X65" i="28"/>
  <c r="D94" i="46"/>
  <c r="Q61" i="20"/>
  <c r="W61" i="28"/>
  <c r="R48" i="46"/>
  <c r="Q48" i="46"/>
  <c r="Q65" i="28"/>
  <c r="Q63" i="28"/>
  <c r="Q72" i="46"/>
  <c r="B186" i="20"/>
  <c r="B90" i="20"/>
  <c r="B180" i="20" s="1"/>
  <c r="B183" i="20" s="1"/>
  <c r="D84" i="28"/>
  <c r="E84" i="28"/>
  <c r="Q38" i="28"/>
  <c r="N140" i="46"/>
  <c r="O140" i="46"/>
  <c r="H140" i="46"/>
  <c r="N71" i="46"/>
  <c r="N94" i="46" s="1"/>
  <c r="O71" i="46"/>
  <c r="O94" i="46" s="1"/>
  <c r="L71" i="46"/>
  <c r="L94" i="46" s="1"/>
  <c r="G71" i="46"/>
  <c r="G94" i="46" s="1"/>
  <c r="J71" i="46"/>
  <c r="J94" i="46" s="1"/>
  <c r="H71" i="46"/>
  <c r="H94" i="46" s="1"/>
  <c r="P84" i="20"/>
  <c r="K71" i="46"/>
  <c r="K94" i="46" s="1"/>
  <c r="D141" i="46"/>
  <c r="P95" i="46"/>
  <c r="M71" i="46"/>
  <c r="M94" i="46" s="1"/>
  <c r="M96" i="46"/>
  <c r="M142" i="46" s="1"/>
  <c r="M140" i="46" s="1"/>
  <c r="F140" i="46"/>
  <c r="K140" i="46"/>
  <c r="E96" i="46"/>
  <c r="E142" i="46" s="1"/>
  <c r="E140" i="46" s="1"/>
  <c r="E71" i="46"/>
  <c r="E94" i="46" s="1"/>
  <c r="L140" i="46"/>
  <c r="P73" i="46"/>
  <c r="R73" i="46" s="1"/>
  <c r="D96" i="46"/>
  <c r="G140" i="46"/>
  <c r="J140" i="46"/>
  <c r="P75" i="46"/>
  <c r="R75" i="46" s="1"/>
  <c r="D98" i="46"/>
  <c r="I71" i="46"/>
  <c r="I94" i="46" s="1"/>
  <c r="I96" i="46"/>
  <c r="I142" i="46" s="1"/>
  <c r="I140" i="46" s="1"/>
  <c r="F71" i="46"/>
  <c r="F94" i="46" s="1"/>
  <c r="P120" i="17"/>
  <c r="Q120" i="17" s="1"/>
  <c r="L183" i="9"/>
  <c r="L186" i="9"/>
  <c r="L187" i="9" s="1"/>
  <c r="O84" i="28"/>
  <c r="P86" i="28"/>
  <c r="Q86" i="28" s="1"/>
  <c r="P132" i="28"/>
  <c r="Q132" i="28" s="1"/>
  <c r="P130" i="20"/>
  <c r="Q131" i="28"/>
  <c r="P61" i="28"/>
  <c r="K186" i="11"/>
  <c r="J134" i="28"/>
  <c r="G134" i="28"/>
  <c r="K134" i="28"/>
  <c r="P88" i="28"/>
  <c r="Q88" i="28" s="1"/>
  <c r="N134" i="28"/>
  <c r="G183" i="18"/>
  <c r="G186" i="18"/>
  <c r="G187" i="18" s="1"/>
  <c r="M186" i="14"/>
  <c r="N186" i="13"/>
  <c r="N187" i="13" s="1"/>
  <c r="N183" i="13"/>
  <c r="G117" i="13"/>
  <c r="G136" i="13" s="1"/>
  <c r="G182" i="13" s="1"/>
  <c r="P120" i="12"/>
  <c r="Q120" i="12" s="1"/>
  <c r="I183" i="11"/>
  <c r="I186" i="11"/>
  <c r="I187" i="11" s="1"/>
  <c r="M183" i="11"/>
  <c r="M186" i="11"/>
  <c r="M187" i="11" s="1"/>
  <c r="K186" i="9"/>
  <c r="E90" i="6"/>
  <c r="L186" i="11"/>
  <c r="I185" i="6"/>
  <c r="I183" i="6"/>
  <c r="H186" i="11"/>
  <c r="H186" i="9"/>
  <c r="I187" i="6"/>
  <c r="I186" i="14"/>
  <c r="E186" i="14"/>
  <c r="F136" i="14"/>
  <c r="F182" i="14" s="1"/>
  <c r="K186" i="13"/>
  <c r="E186" i="13"/>
  <c r="J186" i="13"/>
  <c r="O186" i="13"/>
  <c r="G136" i="11"/>
  <c r="G182" i="11" s="1"/>
  <c r="O186" i="11"/>
  <c r="M186" i="9"/>
  <c r="G136" i="9"/>
  <c r="G182" i="9" s="1"/>
  <c r="J186" i="9"/>
  <c r="O186" i="9"/>
  <c r="E186" i="6"/>
  <c r="H187" i="11" l="1"/>
  <c r="J183" i="18"/>
  <c r="K183" i="18"/>
  <c r="K186" i="18"/>
  <c r="K187" i="18" s="1"/>
  <c r="O186" i="18"/>
  <c r="O187" i="18" s="1"/>
  <c r="O183" i="18"/>
  <c r="M181" i="18"/>
  <c r="M136" i="18"/>
  <c r="M182" i="18" s="1"/>
  <c r="M186" i="18" s="1"/>
  <c r="M187" i="18" s="1"/>
  <c r="I181" i="18"/>
  <c r="I136" i="18"/>
  <c r="I182" i="18" s="1"/>
  <c r="I186" i="18" s="1"/>
  <c r="I187" i="18" s="1"/>
  <c r="M111" i="28"/>
  <c r="M134" i="20"/>
  <c r="F111" i="28"/>
  <c r="F134" i="20"/>
  <c r="I111" i="28"/>
  <c r="I134" i="20"/>
  <c r="E111" i="28"/>
  <c r="E134" i="20"/>
  <c r="N183" i="18"/>
  <c r="L136" i="18"/>
  <c r="L182" i="18" s="1"/>
  <c r="L186" i="18" s="1"/>
  <c r="L187" i="18" s="1"/>
  <c r="L181" i="18"/>
  <c r="H136" i="18"/>
  <c r="H182" i="18" s="1"/>
  <c r="H186" i="18" s="1"/>
  <c r="H187" i="18" s="1"/>
  <c r="H181" i="18"/>
  <c r="F181" i="18"/>
  <c r="F136" i="18"/>
  <c r="F182" i="18" s="1"/>
  <c r="F186" i="18" s="1"/>
  <c r="F187" i="18" s="1"/>
  <c r="L111" i="28"/>
  <c r="L134" i="20"/>
  <c r="E181" i="18"/>
  <c r="E136" i="18"/>
  <c r="E182" i="18" s="1"/>
  <c r="E183" i="18" s="1"/>
  <c r="H111" i="28"/>
  <c r="H134" i="20"/>
  <c r="F187" i="11"/>
  <c r="E187" i="14"/>
  <c r="I183" i="9"/>
  <c r="I183" i="14"/>
  <c r="Q130" i="20"/>
  <c r="S130" i="20"/>
  <c r="R130" i="20"/>
  <c r="Q84" i="20"/>
  <c r="R84" i="20"/>
  <c r="S84" i="20"/>
  <c r="H183" i="9"/>
  <c r="H187" i="9"/>
  <c r="M187" i="14"/>
  <c r="M183" i="14"/>
  <c r="L187" i="14"/>
  <c r="E183" i="14"/>
  <c r="L183" i="14"/>
  <c r="L183" i="11"/>
  <c r="L187" i="11"/>
  <c r="F183" i="11"/>
  <c r="K187" i="11"/>
  <c r="E183" i="13"/>
  <c r="F183" i="13"/>
  <c r="F187" i="13"/>
  <c r="O187" i="9"/>
  <c r="K183" i="13"/>
  <c r="H183" i="11"/>
  <c r="K187" i="9"/>
  <c r="K183" i="9"/>
  <c r="O183" i="9"/>
  <c r="K187" i="13"/>
  <c r="J183" i="6"/>
  <c r="F187" i="6"/>
  <c r="F183" i="6"/>
  <c r="E187" i="13"/>
  <c r="E183" i="9"/>
  <c r="L183" i="13"/>
  <c r="J183" i="13"/>
  <c r="M187" i="9"/>
  <c r="J187" i="13"/>
  <c r="E187" i="9"/>
  <c r="M183" i="9"/>
  <c r="J183" i="9"/>
  <c r="O183" i="13"/>
  <c r="J187" i="9"/>
  <c r="O187" i="13"/>
  <c r="L187" i="13"/>
  <c r="H187" i="14"/>
  <c r="O183" i="11"/>
  <c r="N183" i="6"/>
  <c r="J187" i="6"/>
  <c r="I187" i="9"/>
  <c r="J187" i="11"/>
  <c r="M187" i="6"/>
  <c r="O187" i="11"/>
  <c r="H183" i="14"/>
  <c r="N187" i="6"/>
  <c r="I187" i="14"/>
  <c r="J183" i="11"/>
  <c r="M183" i="6"/>
  <c r="K183" i="11"/>
  <c r="E180" i="6"/>
  <c r="E185" i="6" s="1"/>
  <c r="B185" i="20"/>
  <c r="Q95" i="46"/>
  <c r="R95" i="46"/>
  <c r="X61" i="28"/>
  <c r="Q61" i="28"/>
  <c r="Q75" i="46"/>
  <c r="Q73" i="46"/>
  <c r="P141" i="46"/>
  <c r="R141" i="46" s="1"/>
  <c r="P71" i="46"/>
  <c r="R71" i="46" s="1"/>
  <c r="P98" i="46"/>
  <c r="D142" i="46"/>
  <c r="P96" i="46"/>
  <c r="P94" i="46"/>
  <c r="P84" i="28"/>
  <c r="Q84" i="28" s="1"/>
  <c r="P130" i="28"/>
  <c r="Q130" i="28" s="1"/>
  <c r="G183" i="13"/>
  <c r="G186" i="13"/>
  <c r="G187" i="13" s="1"/>
  <c r="F186" i="14"/>
  <c r="F187" i="14" s="1"/>
  <c r="F183" i="14"/>
  <c r="G186" i="11"/>
  <c r="G187" i="11" s="1"/>
  <c r="G183" i="11"/>
  <c r="G186" i="9"/>
  <c r="G187" i="9" s="1"/>
  <c r="G183" i="9"/>
  <c r="M183" i="18" l="1"/>
  <c r="L183" i="18"/>
  <c r="E186" i="18"/>
  <c r="E187" i="18" s="1"/>
  <c r="F183" i="18"/>
  <c r="L121" i="46"/>
  <c r="L144" i="46" s="1"/>
  <c r="L134" i="28"/>
  <c r="E121" i="46"/>
  <c r="E144" i="46" s="1"/>
  <c r="E134" i="28"/>
  <c r="F121" i="46"/>
  <c r="F144" i="46" s="1"/>
  <c r="F134" i="28"/>
  <c r="H121" i="46"/>
  <c r="H144" i="46" s="1"/>
  <c r="H134" i="28"/>
  <c r="H183" i="18"/>
  <c r="I183" i="18"/>
  <c r="I121" i="46"/>
  <c r="I144" i="46" s="1"/>
  <c r="I134" i="28"/>
  <c r="M121" i="46"/>
  <c r="M144" i="46" s="1"/>
  <c r="M134" i="28"/>
  <c r="E183" i="6"/>
  <c r="E187" i="6"/>
  <c r="B187" i="20"/>
  <c r="Q96" i="46"/>
  <c r="R96" i="46"/>
  <c r="Q98" i="46"/>
  <c r="R98" i="46"/>
  <c r="Q94" i="46"/>
  <c r="R94" i="46"/>
  <c r="Q71" i="46"/>
  <c r="P142" i="46"/>
  <c r="D140" i="46"/>
  <c r="Q141" i="46"/>
  <c r="Q5" i="2"/>
  <c r="Q142" i="46" l="1"/>
  <c r="R142" i="46"/>
  <c r="P140" i="46"/>
  <c r="R140" i="46" s="1"/>
  <c r="Q140" i="46" l="1"/>
  <c r="Q159" i="28" l="1"/>
  <c r="D184" i="28"/>
  <c r="Q148" i="28"/>
  <c r="K184" i="28"/>
  <c r="O184" i="28"/>
  <c r="Q167" i="28"/>
  <c r="Q151" i="28"/>
  <c r="Q166" i="28"/>
  <c r="M201" i="46"/>
  <c r="Q162" i="28"/>
  <c r="Q156" i="28"/>
  <c r="Q171" i="28"/>
  <c r="I201" i="46"/>
  <c r="Q157" i="28"/>
  <c r="L184" i="28"/>
  <c r="H201" i="46"/>
  <c r="Q169" i="28"/>
  <c r="F201" i="46"/>
  <c r="N184" i="28"/>
  <c r="E201" i="46"/>
  <c r="Q152" i="28"/>
  <c r="Q150" i="28"/>
  <c r="Q163" i="28"/>
  <c r="J184" i="28"/>
  <c r="G184" i="28" l="1"/>
  <c r="H184" i="28"/>
  <c r="G201" i="46"/>
  <c r="K201" i="46"/>
  <c r="I184" i="28"/>
  <c r="N201" i="46"/>
  <c r="L201" i="46"/>
  <c r="J201" i="46"/>
  <c r="O201" i="46"/>
  <c r="E184" i="28"/>
  <c r="F184" i="28"/>
  <c r="M184" i="28"/>
  <c r="R140" i="28" l="1"/>
  <c r="P201" i="46"/>
  <c r="P184" i="28"/>
  <c r="Q141" i="28" l="1"/>
  <c r="Q173" i="28"/>
  <c r="Q172" i="28"/>
  <c r="Q170" i="28"/>
  <c r="Q168" i="28"/>
  <c r="Q165" i="28"/>
  <c r="Q164" i="28"/>
  <c r="Q161" i="28"/>
  <c r="Q160" i="28"/>
  <c r="Q158" i="28"/>
  <c r="Q155" i="28"/>
  <c r="Q154" i="28"/>
  <c r="Q153" i="28"/>
  <c r="Q149" i="28"/>
  <c r="Q147" i="28"/>
  <c r="Q146" i="28"/>
  <c r="Q145" i="28"/>
  <c r="Q144" i="28"/>
  <c r="Q143" i="28"/>
  <c r="Q142" i="28"/>
  <c r="C201" i="46" l="1"/>
  <c r="Q201" i="46" l="1"/>
  <c r="C184" i="28"/>
  <c r="Q140" i="28"/>
  <c r="Q184" i="28" l="1"/>
  <c r="D154" i="46" l="1"/>
  <c r="O183" i="46"/>
  <c r="N183" i="46"/>
  <c r="M183" i="46"/>
  <c r="L183" i="46"/>
  <c r="K183" i="46"/>
  <c r="J183" i="46"/>
  <c r="I183" i="46"/>
  <c r="H183" i="46"/>
  <c r="G183" i="46"/>
  <c r="F183" i="46"/>
  <c r="O182" i="46"/>
  <c r="N182" i="46"/>
  <c r="M182" i="46"/>
  <c r="L182" i="46"/>
  <c r="K182" i="46"/>
  <c r="J182" i="46"/>
  <c r="I182" i="46"/>
  <c r="H182" i="46"/>
  <c r="G182" i="46"/>
  <c r="F182" i="46"/>
  <c r="O181" i="46"/>
  <c r="N181" i="46"/>
  <c r="M181" i="46"/>
  <c r="L181" i="46"/>
  <c r="K181" i="46"/>
  <c r="J181" i="46"/>
  <c r="I181" i="46"/>
  <c r="H181" i="46"/>
  <c r="G181" i="46"/>
  <c r="F181" i="46"/>
  <c r="O180" i="46"/>
  <c r="N180" i="46"/>
  <c r="M180" i="46"/>
  <c r="L180" i="46"/>
  <c r="K180" i="46"/>
  <c r="J180" i="46"/>
  <c r="I180" i="46"/>
  <c r="H180" i="46"/>
  <c r="G180" i="46"/>
  <c r="F180" i="46"/>
  <c r="O179" i="46"/>
  <c r="N179" i="46"/>
  <c r="M179" i="46"/>
  <c r="L179" i="46"/>
  <c r="K179" i="46"/>
  <c r="J179" i="46"/>
  <c r="I179" i="46"/>
  <c r="H179" i="46"/>
  <c r="G179" i="46"/>
  <c r="F179" i="46"/>
  <c r="O178" i="46"/>
  <c r="N178" i="46"/>
  <c r="M178" i="46"/>
  <c r="L178" i="46"/>
  <c r="K178" i="46"/>
  <c r="J178" i="46"/>
  <c r="I178" i="46"/>
  <c r="H178" i="46"/>
  <c r="G178" i="46"/>
  <c r="F178" i="46"/>
  <c r="O177" i="46"/>
  <c r="N177" i="46"/>
  <c r="M177" i="46"/>
  <c r="L177" i="46"/>
  <c r="K177" i="46"/>
  <c r="J177" i="46"/>
  <c r="I177" i="46"/>
  <c r="H177" i="46"/>
  <c r="G177" i="46"/>
  <c r="F177" i="46"/>
  <c r="O176" i="46"/>
  <c r="N176" i="46"/>
  <c r="M176" i="46"/>
  <c r="L176" i="46"/>
  <c r="K176" i="46"/>
  <c r="J176" i="46"/>
  <c r="I176" i="46"/>
  <c r="H176" i="46"/>
  <c r="G176" i="46"/>
  <c r="F176" i="46"/>
  <c r="O175" i="46"/>
  <c r="N175" i="46"/>
  <c r="M175" i="46"/>
  <c r="L175" i="46"/>
  <c r="K175" i="46"/>
  <c r="J175" i="46"/>
  <c r="I175" i="46"/>
  <c r="H175" i="46"/>
  <c r="G175" i="46"/>
  <c r="F175" i="46"/>
  <c r="O174" i="46"/>
  <c r="N174" i="46"/>
  <c r="M174" i="46"/>
  <c r="L174" i="46"/>
  <c r="K174" i="46"/>
  <c r="J174" i="46"/>
  <c r="I174" i="46"/>
  <c r="H174" i="46"/>
  <c r="G174" i="46"/>
  <c r="F174" i="46"/>
  <c r="O173" i="46"/>
  <c r="N173" i="46"/>
  <c r="M173" i="46"/>
  <c r="L173" i="46"/>
  <c r="K173" i="46"/>
  <c r="J173" i="46"/>
  <c r="I173" i="46"/>
  <c r="H173" i="46"/>
  <c r="G173" i="46"/>
  <c r="F173" i="46"/>
  <c r="O172" i="46"/>
  <c r="N172" i="46"/>
  <c r="M172" i="46"/>
  <c r="L172" i="46"/>
  <c r="K172" i="46"/>
  <c r="J172" i="46"/>
  <c r="I172" i="46"/>
  <c r="H172" i="46"/>
  <c r="G172" i="46"/>
  <c r="F172" i="46"/>
  <c r="O171" i="46"/>
  <c r="N171" i="46"/>
  <c r="M171" i="46"/>
  <c r="L171" i="46"/>
  <c r="K171" i="46"/>
  <c r="J171" i="46"/>
  <c r="I171" i="46"/>
  <c r="H171" i="46"/>
  <c r="G171" i="46"/>
  <c r="F171" i="46"/>
  <c r="O170" i="46"/>
  <c r="N170" i="46"/>
  <c r="M170" i="46"/>
  <c r="L170" i="46"/>
  <c r="K170" i="46"/>
  <c r="J170" i="46"/>
  <c r="I170" i="46"/>
  <c r="H170" i="46"/>
  <c r="G170" i="46"/>
  <c r="F170" i="46"/>
  <c r="O169" i="46"/>
  <c r="N169" i="46"/>
  <c r="M169" i="46"/>
  <c r="L169" i="46"/>
  <c r="K169" i="46"/>
  <c r="J169" i="46"/>
  <c r="I169" i="46"/>
  <c r="H169" i="46"/>
  <c r="G169" i="46"/>
  <c r="F169" i="46"/>
  <c r="O168" i="46"/>
  <c r="N168" i="46"/>
  <c r="M168" i="46"/>
  <c r="L168" i="46"/>
  <c r="K168" i="46"/>
  <c r="J168" i="46"/>
  <c r="I168" i="46"/>
  <c r="H168" i="46"/>
  <c r="G168" i="46"/>
  <c r="F168" i="46"/>
  <c r="O167" i="46"/>
  <c r="N167" i="46"/>
  <c r="M167" i="46"/>
  <c r="L167" i="46"/>
  <c r="K167" i="46"/>
  <c r="J167" i="46"/>
  <c r="I167" i="46"/>
  <c r="H167" i="46"/>
  <c r="G167" i="46"/>
  <c r="F167" i="46"/>
  <c r="O166" i="46"/>
  <c r="N166" i="46"/>
  <c r="M166" i="46"/>
  <c r="L166" i="46"/>
  <c r="K166" i="46"/>
  <c r="J166" i="46"/>
  <c r="I166" i="46"/>
  <c r="H166" i="46"/>
  <c r="G166" i="46"/>
  <c r="F166" i="46"/>
  <c r="O165" i="46"/>
  <c r="N165" i="46"/>
  <c r="M165" i="46"/>
  <c r="L165" i="46"/>
  <c r="K165" i="46"/>
  <c r="J165" i="46"/>
  <c r="I165" i="46"/>
  <c r="H165" i="46"/>
  <c r="G165" i="46"/>
  <c r="F165" i="46"/>
  <c r="O164" i="46"/>
  <c r="N164" i="46"/>
  <c r="M164" i="46"/>
  <c r="L164" i="46"/>
  <c r="K164" i="46"/>
  <c r="J164" i="46"/>
  <c r="I164" i="46"/>
  <c r="H164" i="46"/>
  <c r="G164" i="46"/>
  <c r="F164" i="46"/>
  <c r="O163" i="46"/>
  <c r="N163" i="46"/>
  <c r="M163" i="46"/>
  <c r="L163" i="46"/>
  <c r="K163" i="46"/>
  <c r="J163" i="46"/>
  <c r="I163" i="46"/>
  <c r="H163" i="46"/>
  <c r="G163" i="46"/>
  <c r="F163" i="46"/>
  <c r="O162" i="46"/>
  <c r="N162" i="46"/>
  <c r="M162" i="46"/>
  <c r="L162" i="46"/>
  <c r="K162" i="46"/>
  <c r="J162" i="46"/>
  <c r="I162" i="46"/>
  <c r="H162" i="46"/>
  <c r="G162" i="46"/>
  <c r="F162" i="46"/>
  <c r="O161" i="46"/>
  <c r="N161" i="46"/>
  <c r="M161" i="46"/>
  <c r="L161" i="46"/>
  <c r="K161" i="46"/>
  <c r="J161" i="46"/>
  <c r="I161" i="46"/>
  <c r="H161" i="46"/>
  <c r="G161" i="46"/>
  <c r="F161" i="46"/>
  <c r="O160" i="46"/>
  <c r="N160" i="46"/>
  <c r="M160" i="46"/>
  <c r="L160" i="46"/>
  <c r="K160" i="46"/>
  <c r="J160" i="46"/>
  <c r="I160" i="46"/>
  <c r="H160" i="46"/>
  <c r="G160" i="46"/>
  <c r="F160" i="46"/>
  <c r="O159" i="46"/>
  <c r="N159" i="46"/>
  <c r="M159" i="46"/>
  <c r="L159" i="46"/>
  <c r="K159" i="46"/>
  <c r="J159" i="46"/>
  <c r="I159" i="46"/>
  <c r="H159" i="46"/>
  <c r="G159" i="46"/>
  <c r="F159" i="46"/>
  <c r="O158" i="46"/>
  <c r="N158" i="46"/>
  <c r="M158" i="46"/>
  <c r="L158" i="46"/>
  <c r="K158" i="46"/>
  <c r="J158" i="46"/>
  <c r="I158" i="46"/>
  <c r="H158" i="46"/>
  <c r="G158" i="46"/>
  <c r="F158" i="46"/>
  <c r="O157" i="46"/>
  <c r="N157" i="46"/>
  <c r="M157" i="46"/>
  <c r="L157" i="46"/>
  <c r="K157" i="46"/>
  <c r="J157" i="46"/>
  <c r="I157" i="46"/>
  <c r="H157" i="46"/>
  <c r="G157" i="46"/>
  <c r="F157" i="46"/>
  <c r="O156" i="46"/>
  <c r="N156" i="46"/>
  <c r="M156" i="46"/>
  <c r="L156" i="46"/>
  <c r="K156" i="46"/>
  <c r="J156" i="46"/>
  <c r="I156" i="46"/>
  <c r="H156" i="46"/>
  <c r="G156" i="46"/>
  <c r="F156" i="46"/>
  <c r="O155" i="46"/>
  <c r="N155" i="46"/>
  <c r="M155" i="46"/>
  <c r="L155" i="46"/>
  <c r="K155" i="46"/>
  <c r="J155" i="46"/>
  <c r="I155" i="46"/>
  <c r="G155" i="46"/>
  <c r="F155" i="46"/>
  <c r="O154" i="46"/>
  <c r="N154" i="46"/>
  <c r="M154" i="46"/>
  <c r="L154" i="46"/>
  <c r="K154" i="46"/>
  <c r="J154" i="46"/>
  <c r="I154" i="46"/>
  <c r="H154" i="46"/>
  <c r="G154" i="46"/>
  <c r="F154" i="46"/>
  <c r="O153" i="46"/>
  <c r="N153" i="46"/>
  <c r="M153" i="46"/>
  <c r="L153" i="46"/>
  <c r="K153" i="46"/>
  <c r="J153" i="46"/>
  <c r="I153" i="46"/>
  <c r="H153" i="46"/>
  <c r="G153" i="46"/>
  <c r="F153" i="46"/>
  <c r="O152" i="46"/>
  <c r="N152" i="46"/>
  <c r="M152" i="46"/>
  <c r="L152" i="46"/>
  <c r="K152" i="46"/>
  <c r="J152" i="46"/>
  <c r="I152" i="46"/>
  <c r="H152" i="46"/>
  <c r="G152" i="46"/>
  <c r="F152" i="46"/>
  <c r="O151" i="46"/>
  <c r="M28" i="81" s="1"/>
  <c r="N151" i="46"/>
  <c r="L28" i="81" s="1"/>
  <c r="M151" i="46"/>
  <c r="K28" i="81" s="1"/>
  <c r="L151" i="46"/>
  <c r="J28" i="81" s="1"/>
  <c r="K151" i="46"/>
  <c r="I28" i="81" s="1"/>
  <c r="J151" i="46"/>
  <c r="H28" i="81" s="1"/>
  <c r="I151" i="46"/>
  <c r="G28" i="81" s="1"/>
  <c r="H151" i="46"/>
  <c r="F28" i="81" s="1"/>
  <c r="G151" i="46"/>
  <c r="E28" i="81" s="1"/>
  <c r="F151" i="46"/>
  <c r="D28" i="81" s="1"/>
  <c r="E183" i="46"/>
  <c r="E182" i="46"/>
  <c r="E181" i="46"/>
  <c r="E180" i="46"/>
  <c r="E179" i="46"/>
  <c r="E178" i="46"/>
  <c r="E177" i="46"/>
  <c r="E176" i="46"/>
  <c r="E175" i="46"/>
  <c r="E174" i="46"/>
  <c r="E173" i="46"/>
  <c r="E172" i="46"/>
  <c r="E171" i="46"/>
  <c r="E170" i="46"/>
  <c r="E169" i="46"/>
  <c r="E168" i="46"/>
  <c r="E167" i="46"/>
  <c r="E166" i="46"/>
  <c r="E165" i="46"/>
  <c r="E164" i="46"/>
  <c r="E163" i="46"/>
  <c r="E162" i="46"/>
  <c r="E161" i="46"/>
  <c r="E160" i="46"/>
  <c r="E159" i="46"/>
  <c r="E158" i="46"/>
  <c r="E157" i="46"/>
  <c r="E156" i="46"/>
  <c r="E155" i="46"/>
  <c r="E154" i="46"/>
  <c r="E153" i="46"/>
  <c r="E152" i="46"/>
  <c r="E151" i="46"/>
  <c r="C28" i="81" s="1"/>
  <c r="N28" i="81" l="1"/>
  <c r="D156" i="46"/>
  <c r="P156" i="46" s="1"/>
  <c r="D164" i="46"/>
  <c r="P164" i="46" s="1"/>
  <c r="D172" i="46"/>
  <c r="P172" i="46" s="1"/>
  <c r="D176" i="46"/>
  <c r="P176" i="46" s="1"/>
  <c r="D180" i="46"/>
  <c r="P180" i="46" s="1"/>
  <c r="D152" i="46"/>
  <c r="D157" i="46"/>
  <c r="P157" i="46" s="1"/>
  <c r="Q157" i="46" s="1"/>
  <c r="D161" i="46"/>
  <c r="P161" i="46" s="1"/>
  <c r="D165" i="46"/>
  <c r="P165" i="46" s="1"/>
  <c r="D169" i="46"/>
  <c r="P169" i="46" s="1"/>
  <c r="D173" i="46"/>
  <c r="P173" i="46" s="1"/>
  <c r="D177" i="46"/>
  <c r="P177" i="46" s="1"/>
  <c r="D181" i="46"/>
  <c r="P181" i="46" s="1"/>
  <c r="D160" i="46"/>
  <c r="P160" i="46" s="1"/>
  <c r="D168" i="46"/>
  <c r="P168" i="46" s="1"/>
  <c r="D153" i="46"/>
  <c r="P153" i="46" s="1"/>
  <c r="D158" i="46"/>
  <c r="P158" i="46" s="1"/>
  <c r="D162" i="46"/>
  <c r="P162" i="46" s="1"/>
  <c r="D166" i="46"/>
  <c r="P166" i="46" s="1"/>
  <c r="D170" i="46"/>
  <c r="P170" i="46" s="1"/>
  <c r="D174" i="46"/>
  <c r="P174" i="46" s="1"/>
  <c r="D178" i="46"/>
  <c r="P178" i="46" s="1"/>
  <c r="D182" i="46"/>
  <c r="P182" i="46" s="1"/>
  <c r="D155" i="46"/>
  <c r="P155" i="46" s="1"/>
  <c r="D159" i="46"/>
  <c r="P159" i="46" s="1"/>
  <c r="D163" i="46"/>
  <c r="P163" i="46" s="1"/>
  <c r="D167" i="46"/>
  <c r="P167" i="46" s="1"/>
  <c r="D171" i="46"/>
  <c r="P171" i="46" s="1"/>
  <c r="D175" i="46"/>
  <c r="P175" i="46" s="1"/>
  <c r="D179" i="46"/>
  <c r="P179" i="46" s="1"/>
  <c r="D183" i="46"/>
  <c r="P183" i="46" s="1"/>
  <c r="I150" i="46"/>
  <c r="F150" i="46"/>
  <c r="J150" i="46"/>
  <c r="G150" i="46"/>
  <c r="K150" i="46"/>
  <c r="H150" i="46"/>
  <c r="L150" i="46"/>
  <c r="E150" i="46"/>
  <c r="C29" i="81" s="1"/>
  <c r="C60" i="81" s="1"/>
  <c r="M150" i="46"/>
  <c r="P154" i="46"/>
  <c r="N150" i="46"/>
  <c r="O150" i="46"/>
  <c r="L202" i="46"/>
  <c r="N202" i="46"/>
  <c r="H202" i="46"/>
  <c r="O202" i="46"/>
  <c r="I202" i="46"/>
  <c r="G202" i="46"/>
  <c r="E202" i="46"/>
  <c r="F202" i="46"/>
  <c r="M202" i="46"/>
  <c r="K202" i="46"/>
  <c r="J202" i="46"/>
  <c r="P152" i="46" l="1"/>
  <c r="Q152" i="46" s="1"/>
  <c r="D150" i="46"/>
  <c r="B29" i="81" s="1"/>
  <c r="B60" i="81" s="1"/>
  <c r="Q154" i="46"/>
  <c r="Q153" i="46"/>
  <c r="Q155" i="46"/>
  <c r="Q161" i="46"/>
  <c r="Q183" i="46"/>
  <c r="Q182" i="46"/>
  <c r="Q168" i="46"/>
  <c r="Q172" i="46"/>
  <c r="Q162" i="46"/>
  <c r="Q179" i="46"/>
  <c r="Q163" i="46"/>
  <c r="Q178" i="46"/>
  <c r="Q160" i="46"/>
  <c r="Q169" i="46"/>
  <c r="Q164" i="46"/>
  <c r="Q171" i="46"/>
  <c r="Q170" i="46"/>
  <c r="Q177" i="46"/>
  <c r="Q176" i="46"/>
  <c r="Q167" i="46"/>
  <c r="Q166" i="46"/>
  <c r="Q173" i="46"/>
  <c r="Q158" i="46"/>
  <c r="Q175" i="46"/>
  <c r="Q159" i="46"/>
  <c r="Q174" i="46"/>
  <c r="Q181" i="46"/>
  <c r="Q165" i="46"/>
  <c r="Q180" i="46"/>
  <c r="Q156" i="46"/>
  <c r="K200" i="46"/>
  <c r="I29" i="81"/>
  <c r="I60" i="81" s="1"/>
  <c r="I200" i="46"/>
  <c r="G29" i="81"/>
  <c r="G60" i="81" s="1"/>
  <c r="G200" i="46"/>
  <c r="E29" i="81"/>
  <c r="E60" i="81" s="1"/>
  <c r="O200" i="46"/>
  <c r="M29" i="81"/>
  <c r="M60" i="81" s="1"/>
  <c r="L200" i="46"/>
  <c r="J29" i="81"/>
  <c r="J60" i="81" s="1"/>
  <c r="J200" i="46"/>
  <c r="H29" i="81"/>
  <c r="H60" i="81" s="1"/>
  <c r="M200" i="46"/>
  <c r="K29" i="81"/>
  <c r="K60" i="81" s="1"/>
  <c r="N200" i="46"/>
  <c r="L29" i="81"/>
  <c r="L60" i="81" s="1"/>
  <c r="H200" i="46"/>
  <c r="F29" i="81"/>
  <c r="F60" i="81" s="1"/>
  <c r="F200" i="46"/>
  <c r="D29" i="81"/>
  <c r="D60" i="81" s="1"/>
  <c r="P151" i="46"/>
  <c r="E200" i="46"/>
  <c r="N60" i="81" l="1"/>
  <c r="Q151" i="46"/>
  <c r="D200" i="46"/>
  <c r="P150" i="46"/>
  <c r="R150" i="46" s="1"/>
  <c r="P202" i="46" l="1"/>
  <c r="Q202" i="46" s="1"/>
  <c r="P200" i="46"/>
  <c r="Q200" i="46" s="1"/>
  <c r="Q150" i="46"/>
  <c r="N29" i="81" l="1"/>
  <c r="F95" i="5" l="1"/>
  <c r="F26" i="5"/>
  <c r="F49" i="5" s="1"/>
  <c r="F51" i="5" s="1"/>
  <c r="K95" i="5"/>
  <c r="K97" i="5" s="1"/>
  <c r="K26" i="5"/>
  <c r="K49" i="5" s="1"/>
  <c r="K51" i="5" s="1"/>
  <c r="O95" i="5"/>
  <c r="O97" i="5" s="1"/>
  <c r="O26" i="5"/>
  <c r="O49" i="5" s="1"/>
  <c r="O51" i="5" s="1"/>
  <c r="G95" i="5"/>
  <c r="G97" i="5" s="1"/>
  <c r="G26" i="5"/>
  <c r="G49" i="5" s="1"/>
  <c r="G51" i="5" s="1"/>
  <c r="I95" i="5"/>
  <c r="I97" i="5" s="1"/>
  <c r="I26" i="5"/>
  <c r="I49" i="5" s="1"/>
  <c r="I51" i="5" s="1"/>
  <c r="J95" i="5"/>
  <c r="J97" i="5" s="1"/>
  <c r="J26" i="5"/>
  <c r="E95" i="5"/>
  <c r="E97" i="5" s="1"/>
  <c r="E26" i="5"/>
  <c r="E49" i="5" s="1"/>
  <c r="E51" i="5" s="1"/>
  <c r="N95" i="5"/>
  <c r="N97" i="5" s="1"/>
  <c r="N26" i="5"/>
  <c r="N49" i="5" s="1"/>
  <c r="N51" i="5" s="1"/>
  <c r="M95" i="5"/>
  <c r="M97" i="5" s="1"/>
  <c r="M26" i="5"/>
  <c r="M49" i="5" s="1"/>
  <c r="M51" i="5" s="1"/>
  <c r="H95" i="5"/>
  <c r="H97" i="5" s="1"/>
  <c r="H26" i="5"/>
  <c r="H49" i="5" s="1"/>
  <c r="H51" i="5" s="1"/>
  <c r="L95" i="5"/>
  <c r="L97" i="5" s="1"/>
  <c r="L26" i="5"/>
  <c r="L49" i="5" s="1"/>
  <c r="L51" i="5" s="1"/>
  <c r="G7" i="5"/>
  <c r="O7" i="5"/>
  <c r="J7" i="5"/>
  <c r="E7" i="5"/>
  <c r="N7" i="5"/>
  <c r="F97" i="5"/>
  <c r="F7" i="5"/>
  <c r="H7" i="5"/>
  <c r="L7" i="5"/>
  <c r="I7" i="5"/>
  <c r="M7" i="5"/>
  <c r="K7" i="5"/>
  <c r="M28" i="5" l="1"/>
  <c r="O28" i="5"/>
  <c r="J28" i="5"/>
  <c r="J49" i="5"/>
  <c r="J51" i="5" s="1"/>
  <c r="M72" i="5"/>
  <c r="M118" i="5" s="1"/>
  <c r="M120" i="5" s="1"/>
  <c r="H28" i="5"/>
  <c r="K28" i="5"/>
  <c r="G28" i="5"/>
  <c r="O72" i="5"/>
  <c r="F28" i="5"/>
  <c r="I28" i="5"/>
  <c r="L28" i="5"/>
  <c r="N28" i="5"/>
  <c r="E28" i="5"/>
  <c r="J72" i="5" l="1"/>
  <c r="J74" i="5" s="1"/>
  <c r="M74" i="5"/>
  <c r="H72" i="5"/>
  <c r="H74" i="5" s="1"/>
  <c r="K72" i="5"/>
  <c r="K74" i="5" s="1"/>
  <c r="N72" i="5"/>
  <c r="N118" i="5" s="1"/>
  <c r="N120" i="5" s="1"/>
  <c r="F72" i="5"/>
  <c r="F118" i="5" s="1"/>
  <c r="F120" i="5" s="1"/>
  <c r="I72" i="5"/>
  <c r="I118" i="5" s="1"/>
  <c r="I120" i="5" s="1"/>
  <c r="L72" i="5"/>
  <c r="O74" i="5"/>
  <c r="O118" i="5"/>
  <c r="O120" i="5" s="1"/>
  <c r="E72" i="5"/>
  <c r="G72" i="5"/>
  <c r="J118" i="5" l="1"/>
  <c r="J120" i="5" s="1"/>
  <c r="K118" i="5"/>
  <c r="K120" i="5" s="1"/>
  <c r="H118" i="5"/>
  <c r="H120" i="5" s="1"/>
  <c r="F74" i="5"/>
  <c r="I74" i="5"/>
  <c r="N74" i="5"/>
  <c r="E74" i="5"/>
  <c r="E118" i="5"/>
  <c r="G118" i="5"/>
  <c r="G120" i="5" s="1"/>
  <c r="G74" i="5"/>
  <c r="L118" i="5"/>
  <c r="L120" i="5" s="1"/>
  <c r="L74" i="5"/>
  <c r="E120" i="5" l="1"/>
  <c r="N99" i="5" l="1"/>
  <c r="N103" i="5" s="1"/>
  <c r="N94" i="5" s="1"/>
  <c r="N113" i="5" s="1"/>
  <c r="N181" i="5" s="1"/>
  <c r="N30" i="5"/>
  <c r="N53" i="5" s="1"/>
  <c r="N57" i="5" s="1"/>
  <c r="G99" i="5"/>
  <c r="G30" i="5"/>
  <c r="G53" i="5" s="1"/>
  <c r="G57" i="5" s="1"/>
  <c r="K99" i="5"/>
  <c r="K103" i="5" s="1"/>
  <c r="K94" i="5" s="1"/>
  <c r="K113" i="5" s="1"/>
  <c r="K181" i="5" s="1"/>
  <c r="K30" i="5"/>
  <c r="K53" i="5" s="1"/>
  <c r="K57" i="5" s="1"/>
  <c r="O99" i="5"/>
  <c r="O103" i="5" s="1"/>
  <c r="O94" i="5" s="1"/>
  <c r="O113" i="5" s="1"/>
  <c r="O181" i="5" s="1"/>
  <c r="O30" i="5"/>
  <c r="E99" i="5"/>
  <c r="E103" i="5" s="1"/>
  <c r="E94" i="5" s="1"/>
  <c r="E113" i="5" s="1"/>
  <c r="E181" i="5" s="1"/>
  <c r="E30" i="5"/>
  <c r="E53" i="5" s="1"/>
  <c r="E57" i="5" s="1"/>
  <c r="F99" i="5"/>
  <c r="F103" i="5" s="1"/>
  <c r="F94" i="5" s="1"/>
  <c r="F113" i="5" s="1"/>
  <c r="F181" i="5" s="1"/>
  <c r="F30" i="5"/>
  <c r="J99" i="5"/>
  <c r="J103" i="5" s="1"/>
  <c r="J94" i="5" s="1"/>
  <c r="J113" i="5" s="1"/>
  <c r="J181" i="5" s="1"/>
  <c r="J30" i="5"/>
  <c r="J53" i="5" s="1"/>
  <c r="J57" i="5" s="1"/>
  <c r="H99" i="5"/>
  <c r="H103" i="5" s="1"/>
  <c r="H94" i="5" s="1"/>
  <c r="H113" i="5" s="1"/>
  <c r="H181" i="5" s="1"/>
  <c r="H30" i="5"/>
  <c r="H53" i="5" s="1"/>
  <c r="H57" i="5" s="1"/>
  <c r="H48" i="5" s="1"/>
  <c r="H67" i="5" s="1"/>
  <c r="H178" i="5" s="1"/>
  <c r="M99" i="5"/>
  <c r="M103" i="5" s="1"/>
  <c r="M94" i="5" s="1"/>
  <c r="M113" i="5" s="1"/>
  <c r="M181" i="5" s="1"/>
  <c r="M30" i="5"/>
  <c r="L99" i="5"/>
  <c r="L103" i="5" s="1"/>
  <c r="L94" i="5" s="1"/>
  <c r="L113" i="5" s="1"/>
  <c r="L181" i="5" s="1"/>
  <c r="L30" i="5"/>
  <c r="I99" i="5"/>
  <c r="I103" i="5" s="1"/>
  <c r="I94" i="5" s="1"/>
  <c r="I113" i="5" s="1"/>
  <c r="I181" i="5" s="1"/>
  <c r="I30" i="5"/>
  <c r="L13" i="5"/>
  <c r="L4" i="5" s="1"/>
  <c r="K13" i="5"/>
  <c r="K4" i="5" s="1"/>
  <c r="O13" i="5"/>
  <c r="O4" i="5" s="1"/>
  <c r="E13" i="5"/>
  <c r="E4" i="5" s="1"/>
  <c r="G103" i="5"/>
  <c r="G94" i="5" s="1"/>
  <c r="G113" i="5" s="1"/>
  <c r="G181" i="5" s="1"/>
  <c r="F13" i="5"/>
  <c r="F4" i="5" s="1"/>
  <c r="J13" i="5"/>
  <c r="J4" i="5" s="1"/>
  <c r="M13" i="5"/>
  <c r="M4" i="5" s="1"/>
  <c r="I13" i="5"/>
  <c r="I4" i="5" s="1"/>
  <c r="H13" i="5"/>
  <c r="H4" i="5" s="1"/>
  <c r="G13" i="5"/>
  <c r="G4" i="5" s="1"/>
  <c r="N13" i="5"/>
  <c r="N4" i="5" s="1"/>
  <c r="H34" i="5" l="1"/>
  <c r="H25" i="5" s="1"/>
  <c r="H44" i="5" s="1"/>
  <c r="H177" i="5" s="1"/>
  <c r="I34" i="5"/>
  <c r="I25" i="5" s="1"/>
  <c r="I44" i="5" s="1"/>
  <c r="I177" i="5" s="1"/>
  <c r="I53" i="5"/>
  <c r="I57" i="5" s="1"/>
  <c r="I48" i="5" s="1"/>
  <c r="I67" i="5" s="1"/>
  <c r="I178" i="5" s="1"/>
  <c r="M53" i="5"/>
  <c r="M57" i="5" s="1"/>
  <c r="M48" i="5" s="1"/>
  <c r="M67" i="5" s="1"/>
  <c r="M178" i="5" s="1"/>
  <c r="O53" i="5"/>
  <c r="O57" i="5" s="1"/>
  <c r="O48" i="5" s="1"/>
  <c r="O67" i="5" s="1"/>
  <c r="O178" i="5" s="1"/>
  <c r="L34" i="5"/>
  <c r="L25" i="5" s="1"/>
  <c r="L44" i="5" s="1"/>
  <c r="L177" i="5" s="1"/>
  <c r="L53" i="5"/>
  <c r="L57" i="5" s="1"/>
  <c r="L48" i="5" s="1"/>
  <c r="L67" i="5" s="1"/>
  <c r="L178" i="5" s="1"/>
  <c r="F34" i="5"/>
  <c r="F25" i="5" s="1"/>
  <c r="F44" i="5" s="1"/>
  <c r="F177" i="5" s="1"/>
  <c r="F53" i="5"/>
  <c r="F57" i="5" s="1"/>
  <c r="F48" i="5" s="1"/>
  <c r="F67" i="5" s="1"/>
  <c r="F178" i="5" s="1"/>
  <c r="M34" i="5"/>
  <c r="M25" i="5" s="1"/>
  <c r="M44" i="5" s="1"/>
  <c r="M177" i="5" s="1"/>
  <c r="O34" i="5"/>
  <c r="O25" i="5" s="1"/>
  <c r="O44" i="5" s="1"/>
  <c r="O177" i="5" s="1"/>
  <c r="E48" i="5"/>
  <c r="E67" i="5" s="1"/>
  <c r="E178" i="5" s="1"/>
  <c r="E34" i="5"/>
  <c r="E25" i="5" s="1"/>
  <c r="E44" i="5" s="1"/>
  <c r="E177" i="5" s="1"/>
  <c r="G34" i="5"/>
  <c r="G25" i="5" s="1"/>
  <c r="G44" i="5" s="1"/>
  <c r="G177" i="5" s="1"/>
  <c r="G48" i="5"/>
  <c r="G67" i="5" s="1"/>
  <c r="G178" i="5" s="1"/>
  <c r="J34" i="5"/>
  <c r="J25" i="5" s="1"/>
  <c r="J44" i="5" s="1"/>
  <c r="J177" i="5" s="1"/>
  <c r="J48" i="5"/>
  <c r="J67" i="5" s="1"/>
  <c r="J178" i="5" s="1"/>
  <c r="K34" i="5"/>
  <c r="K25" i="5" s="1"/>
  <c r="K44" i="5" s="1"/>
  <c r="K177" i="5" s="1"/>
  <c r="K48" i="5"/>
  <c r="K67" i="5" s="1"/>
  <c r="K178" i="5" s="1"/>
  <c r="N48" i="5"/>
  <c r="N67" i="5" s="1"/>
  <c r="N178" i="5" s="1"/>
  <c r="N34" i="5"/>
  <c r="N25" i="5" s="1"/>
  <c r="N44" i="5" s="1"/>
  <c r="N177" i="5" s="1"/>
  <c r="H76" i="5"/>
  <c r="F76" i="5" l="1"/>
  <c r="F80" i="5" s="1"/>
  <c r="F71" i="5" s="1"/>
  <c r="F90" i="5" s="1"/>
  <c r="O76" i="5"/>
  <c r="O122" i="5" s="1"/>
  <c r="O126" i="5" s="1"/>
  <c r="M76" i="5"/>
  <c r="M80" i="5" s="1"/>
  <c r="M71" i="5" s="1"/>
  <c r="M90" i="5" s="1"/>
  <c r="L76" i="5"/>
  <c r="L122" i="5" s="1"/>
  <c r="L126" i="5" s="1"/>
  <c r="G76" i="5"/>
  <c r="G80" i="5" s="1"/>
  <c r="G71" i="5" s="1"/>
  <c r="G90" i="5" s="1"/>
  <c r="E76" i="5"/>
  <c r="E122" i="5" s="1"/>
  <c r="E126" i="5" s="1"/>
  <c r="I76" i="5"/>
  <c r="H80" i="5"/>
  <c r="H71" i="5" s="1"/>
  <c r="H90" i="5" s="1"/>
  <c r="H122" i="5"/>
  <c r="H126" i="5" s="1"/>
  <c r="K76" i="5"/>
  <c r="N76" i="5"/>
  <c r="J76" i="5"/>
  <c r="H180" i="5" l="1"/>
  <c r="H185" i="5" s="1"/>
  <c r="M180" i="5"/>
  <c r="M185" i="5" s="1"/>
  <c r="G180" i="5"/>
  <c r="G185" i="5" s="1"/>
  <c r="F180" i="5"/>
  <c r="F185" i="5" s="1"/>
  <c r="F122" i="5"/>
  <c r="F126" i="5" s="1"/>
  <c r="O80" i="5"/>
  <c r="O71" i="5" s="1"/>
  <c r="O90" i="5" s="1"/>
  <c r="M122" i="5"/>
  <c r="M126" i="5" s="1"/>
  <c r="G122" i="5"/>
  <c r="G126" i="5" s="1"/>
  <c r="L80" i="5"/>
  <c r="L71" i="5" s="1"/>
  <c r="L90" i="5" s="1"/>
  <c r="E80" i="5"/>
  <c r="E71" i="5" s="1"/>
  <c r="E90" i="5" s="1"/>
  <c r="I122" i="5"/>
  <c r="I126" i="5" s="1"/>
  <c r="I80" i="5"/>
  <c r="I71" i="5" s="1"/>
  <c r="I90" i="5" s="1"/>
  <c r="N80" i="5"/>
  <c r="N71" i="5" s="1"/>
  <c r="N90" i="5" s="1"/>
  <c r="N122" i="5"/>
  <c r="N126" i="5" s="1"/>
  <c r="J80" i="5"/>
  <c r="J71" i="5" s="1"/>
  <c r="J90" i="5" s="1"/>
  <c r="J122" i="5"/>
  <c r="J126" i="5" s="1"/>
  <c r="K80" i="5"/>
  <c r="K71" i="5" s="1"/>
  <c r="K90" i="5" s="1"/>
  <c r="K122" i="5"/>
  <c r="K126" i="5" s="1"/>
  <c r="P7" i="39"/>
  <c r="Q7" i="39" l="1"/>
  <c r="N180" i="5"/>
  <c r="N185" i="5" s="1"/>
  <c r="K180" i="5"/>
  <c r="K185" i="5" s="1"/>
  <c r="O180" i="5"/>
  <c r="O185" i="5" s="1"/>
  <c r="J180" i="5"/>
  <c r="J185" i="5" s="1"/>
  <c r="I180" i="5"/>
  <c r="I185" i="5" s="1"/>
  <c r="L180" i="5"/>
  <c r="L185" i="5" s="1"/>
  <c r="E180" i="5"/>
  <c r="E185" i="5" s="1"/>
  <c r="I5" i="7" l="1"/>
  <c r="H5" i="7"/>
  <c r="E5" i="7"/>
  <c r="M5" i="7"/>
  <c r="F5" i="7"/>
  <c r="J5" i="7"/>
  <c r="N5" i="7"/>
  <c r="G5" i="7"/>
  <c r="K5" i="7"/>
  <c r="L5" i="7"/>
  <c r="O5" i="7"/>
  <c r="O95" i="7" l="1"/>
  <c r="O26" i="7"/>
  <c r="N95" i="7"/>
  <c r="N26" i="7"/>
  <c r="M95" i="7"/>
  <c r="M26" i="7"/>
  <c r="I95" i="7"/>
  <c r="I26" i="7"/>
  <c r="E95" i="7"/>
  <c r="E26" i="7"/>
  <c r="G95" i="7"/>
  <c r="G26" i="7"/>
  <c r="L95" i="7"/>
  <c r="L26" i="7"/>
  <c r="J95" i="7"/>
  <c r="J26" i="7"/>
  <c r="K95" i="7"/>
  <c r="K26" i="7"/>
  <c r="F95" i="7"/>
  <c r="F26" i="7"/>
  <c r="H95" i="7"/>
  <c r="H26" i="7"/>
  <c r="L7" i="7"/>
  <c r="J7" i="7"/>
  <c r="K7" i="7"/>
  <c r="H7" i="7"/>
  <c r="F7" i="7"/>
  <c r="N7" i="7"/>
  <c r="I7" i="7"/>
  <c r="G7" i="7"/>
  <c r="M7" i="7"/>
  <c r="O7" i="7"/>
  <c r="E7" i="7"/>
  <c r="L97" i="7" l="1"/>
  <c r="L28" i="7"/>
  <c r="F49" i="7"/>
  <c r="F51" i="7" s="1"/>
  <c r="N49" i="7"/>
  <c r="N51" i="7" s="1"/>
  <c r="O49" i="7"/>
  <c r="O51" i="7" s="1"/>
  <c r="M49" i="7"/>
  <c r="M51" i="7" s="1"/>
  <c r="G49" i="7"/>
  <c r="G51" i="7" s="1"/>
  <c r="J97" i="7"/>
  <c r="H97" i="7"/>
  <c r="E49" i="7"/>
  <c r="E51" i="7" s="1"/>
  <c r="H49" i="7"/>
  <c r="H51" i="7" s="1"/>
  <c r="J28" i="7"/>
  <c r="J49" i="7"/>
  <c r="J51" i="7" s="1"/>
  <c r="K49" i="7"/>
  <c r="K51" i="7" s="1"/>
  <c r="F28" i="7"/>
  <c r="I49" i="7"/>
  <c r="I51" i="7" s="1"/>
  <c r="L49" i="7"/>
  <c r="L51" i="7" s="1"/>
  <c r="I28" i="7"/>
  <c r="H28" i="7"/>
  <c r="K28" i="7"/>
  <c r="N97" i="7"/>
  <c r="O28" i="7"/>
  <c r="F97" i="7"/>
  <c r="E97" i="7"/>
  <c r="G97" i="7"/>
  <c r="K97" i="7"/>
  <c r="M97" i="7"/>
  <c r="E28" i="7"/>
  <c r="M28" i="7"/>
  <c r="G28" i="7"/>
  <c r="I97" i="7"/>
  <c r="N28" i="7"/>
  <c r="O97" i="7"/>
  <c r="I72" i="7" l="1"/>
  <c r="I118" i="7" s="1"/>
  <c r="I120" i="7" s="1"/>
  <c r="F72" i="7"/>
  <c r="F118" i="7" s="1"/>
  <c r="F120" i="7" s="1"/>
  <c r="L72" i="7"/>
  <c r="L118" i="7" s="1"/>
  <c r="L120" i="7" s="1"/>
  <c r="J72" i="7"/>
  <c r="J74" i="7" s="1"/>
  <c r="H72" i="7"/>
  <c r="N72" i="7"/>
  <c r="N74" i="7" s="1"/>
  <c r="E72" i="7"/>
  <c r="E118" i="7" s="1"/>
  <c r="E120" i="7" s="1"/>
  <c r="K72" i="7"/>
  <c r="M72" i="7"/>
  <c r="G72" i="7"/>
  <c r="O72" i="7"/>
  <c r="I74" i="7" l="1"/>
  <c r="F74" i="7"/>
  <c r="L74" i="7"/>
  <c r="J118" i="7"/>
  <c r="J120" i="7" s="1"/>
  <c r="N118" i="7"/>
  <c r="N120" i="7" s="1"/>
  <c r="H74" i="7"/>
  <c r="H118" i="7"/>
  <c r="H120" i="7" s="1"/>
  <c r="E74" i="7"/>
  <c r="K118" i="7"/>
  <c r="K120" i="7" s="1"/>
  <c r="K74" i="7"/>
  <c r="M118" i="7"/>
  <c r="M120" i="7" s="1"/>
  <c r="M74" i="7"/>
  <c r="O74" i="7"/>
  <c r="O118" i="7"/>
  <c r="O120" i="7" s="1"/>
  <c r="G118" i="7"/>
  <c r="G120" i="7" s="1"/>
  <c r="G74" i="7"/>
  <c r="H9" i="7" l="1"/>
  <c r="J9" i="7"/>
  <c r="I9" i="7"/>
  <c r="N9" i="7"/>
  <c r="L9" i="7"/>
  <c r="E9" i="7"/>
  <c r="K9" i="7"/>
  <c r="G9" i="7"/>
  <c r="F9" i="7"/>
  <c r="M9" i="7"/>
  <c r="O9" i="7"/>
  <c r="E99" i="7" l="1"/>
  <c r="E30" i="7"/>
  <c r="E53" i="7" s="1"/>
  <c r="E57" i="7" s="1"/>
  <c r="E48" i="7" s="1"/>
  <c r="E67" i="7" s="1"/>
  <c r="E178" i="7" s="1"/>
  <c r="O99" i="7"/>
  <c r="O30" i="7"/>
  <c r="K99" i="7"/>
  <c r="K30" i="7"/>
  <c r="K53" i="7" s="1"/>
  <c r="K57" i="7" s="1"/>
  <c r="I99" i="7"/>
  <c r="I30" i="7"/>
  <c r="I53" i="7" s="1"/>
  <c r="I57" i="7" s="1"/>
  <c r="I48" i="7" s="1"/>
  <c r="I67" i="7" s="1"/>
  <c r="I178" i="7" s="1"/>
  <c r="J99" i="7"/>
  <c r="J30" i="7"/>
  <c r="M99" i="7"/>
  <c r="M30" i="7"/>
  <c r="M53" i="7" s="1"/>
  <c r="M57" i="7" s="1"/>
  <c r="M48" i="7" s="1"/>
  <c r="M67" i="7" s="1"/>
  <c r="M178" i="7" s="1"/>
  <c r="F99" i="7"/>
  <c r="F30" i="7"/>
  <c r="F34" i="7" s="1"/>
  <c r="F25" i="7" s="1"/>
  <c r="F44" i="7" s="1"/>
  <c r="F177" i="7" s="1"/>
  <c r="L99" i="7"/>
  <c r="L30" i="7"/>
  <c r="L53" i="7" s="1"/>
  <c r="L57" i="7" s="1"/>
  <c r="G99" i="7"/>
  <c r="G30" i="7"/>
  <c r="G53" i="7" s="1"/>
  <c r="G57" i="7" s="1"/>
  <c r="G48" i="7" s="1"/>
  <c r="G67" i="7" s="1"/>
  <c r="G178" i="7" s="1"/>
  <c r="N99" i="7"/>
  <c r="N30" i="7"/>
  <c r="N53" i="7" s="1"/>
  <c r="N57" i="7" s="1"/>
  <c r="N48" i="7" s="1"/>
  <c r="N67" i="7" s="1"/>
  <c r="N178" i="7" s="1"/>
  <c r="H99" i="7"/>
  <c r="H103" i="7" s="1"/>
  <c r="H94" i="7" s="1"/>
  <c r="H113" i="7" s="1"/>
  <c r="H181" i="7" s="1"/>
  <c r="H30" i="7"/>
  <c r="H53" i="7" s="1"/>
  <c r="H57" i="7" s="1"/>
  <c r="J13" i="7"/>
  <c r="J4" i="7" s="1"/>
  <c r="O53" i="7"/>
  <c r="O57" i="7" s="1"/>
  <c r="O48" i="7" s="1"/>
  <c r="O67" i="7" s="1"/>
  <c r="O178" i="7" s="1"/>
  <c r="E13" i="7"/>
  <c r="E4" i="7" s="1"/>
  <c r="M13" i="7"/>
  <c r="M4" i="7" s="1"/>
  <c r="G13" i="7"/>
  <c r="G4" i="7" s="1"/>
  <c r="K13" i="7"/>
  <c r="K4" i="7" s="1"/>
  <c r="I13" i="7"/>
  <c r="I4" i="7" s="1"/>
  <c r="L13" i="7"/>
  <c r="L4" i="7" s="1"/>
  <c r="O13" i="7"/>
  <c r="O4" i="7" s="1"/>
  <c r="N13" i="7"/>
  <c r="N4" i="7" s="1"/>
  <c r="H13" i="7"/>
  <c r="H4" i="7" s="1"/>
  <c r="F13" i="7"/>
  <c r="F4" i="7" s="1"/>
  <c r="M34" i="7" l="1"/>
  <c r="M25" i="7" s="1"/>
  <c r="M44" i="7" s="1"/>
  <c r="M177" i="7" s="1"/>
  <c r="E34" i="7"/>
  <c r="E25" i="7" s="1"/>
  <c r="E44" i="7" s="1"/>
  <c r="E177" i="7" s="1"/>
  <c r="G34" i="7"/>
  <c r="G25" i="7" s="1"/>
  <c r="G44" i="7" s="1"/>
  <c r="G177" i="7" s="1"/>
  <c r="F53" i="7"/>
  <c r="F57" i="7" s="1"/>
  <c r="F48" i="7" s="1"/>
  <c r="F67" i="7" s="1"/>
  <c r="F178" i="7" s="1"/>
  <c r="K34" i="7"/>
  <c r="K25" i="7" s="1"/>
  <c r="K44" i="7" s="1"/>
  <c r="K177" i="7" s="1"/>
  <c r="O34" i="7"/>
  <c r="O25" i="7" s="1"/>
  <c r="O44" i="7" s="1"/>
  <c r="O177" i="7" s="1"/>
  <c r="M76" i="7"/>
  <c r="M122" i="7" s="1"/>
  <c r="M126" i="7" s="1"/>
  <c r="M117" i="7" s="1"/>
  <c r="M136" i="7" s="1"/>
  <c r="M182" i="7" s="1"/>
  <c r="I34" i="7"/>
  <c r="I25" i="7" s="1"/>
  <c r="I44" i="7" s="1"/>
  <c r="I177" i="7" s="1"/>
  <c r="N34" i="7"/>
  <c r="N25" i="7" s="1"/>
  <c r="N44" i="7" s="1"/>
  <c r="N177" i="7" s="1"/>
  <c r="J53" i="7"/>
  <c r="J57" i="7" s="1"/>
  <c r="J48" i="7" s="1"/>
  <c r="J67" i="7" s="1"/>
  <c r="J178" i="7" s="1"/>
  <c r="J34" i="7"/>
  <c r="J25" i="7" s="1"/>
  <c r="J44" i="7" s="1"/>
  <c r="J177" i="7" s="1"/>
  <c r="I76" i="7"/>
  <c r="I80" i="7" s="1"/>
  <c r="I71" i="7" s="1"/>
  <c r="I90" i="7" s="1"/>
  <c r="N76" i="7"/>
  <c r="N80" i="7" s="1"/>
  <c r="N71" i="7" s="1"/>
  <c r="N90" i="7" s="1"/>
  <c r="O76" i="7"/>
  <c r="O80" i="7" s="1"/>
  <c r="O71" i="7" s="1"/>
  <c r="O90" i="7" s="1"/>
  <c r="L34" i="7"/>
  <c r="L25" i="7" s="1"/>
  <c r="L44" i="7" s="1"/>
  <c r="L177" i="7" s="1"/>
  <c r="L48" i="7"/>
  <c r="L67" i="7" s="1"/>
  <c r="L178" i="7" s="1"/>
  <c r="F103" i="7"/>
  <c r="F94" i="7" s="1"/>
  <c r="F113" i="7" s="1"/>
  <c r="F181" i="7" s="1"/>
  <c r="E103" i="7"/>
  <c r="E94" i="7" s="1"/>
  <c r="E113" i="7" s="1"/>
  <c r="E181" i="7" s="1"/>
  <c r="M103" i="7"/>
  <c r="M94" i="7" s="1"/>
  <c r="M113" i="7" s="1"/>
  <c r="M181" i="7" s="1"/>
  <c r="H48" i="7"/>
  <c r="H67" i="7" s="1"/>
  <c r="H178" i="7" s="1"/>
  <c r="H34" i="7"/>
  <c r="H25" i="7" s="1"/>
  <c r="H44" i="7" s="1"/>
  <c r="H177" i="7" s="1"/>
  <c r="N103" i="7"/>
  <c r="N94" i="7" s="1"/>
  <c r="N113" i="7" s="1"/>
  <c r="N181" i="7" s="1"/>
  <c r="K103" i="7"/>
  <c r="K94" i="7" s="1"/>
  <c r="K113" i="7" s="1"/>
  <c r="K181" i="7" s="1"/>
  <c r="K48" i="7"/>
  <c r="K67" i="7" s="1"/>
  <c r="K178" i="7" s="1"/>
  <c r="K76" i="7"/>
  <c r="E76" i="7"/>
  <c r="J103" i="7"/>
  <c r="J94" i="7" s="1"/>
  <c r="J113" i="7" s="1"/>
  <c r="J181" i="7" s="1"/>
  <c r="G76" i="7"/>
  <c r="O103" i="7"/>
  <c r="O94" i="7" s="1"/>
  <c r="O113" i="7" s="1"/>
  <c r="O181" i="7" s="1"/>
  <c r="L103" i="7"/>
  <c r="L94" i="7" s="1"/>
  <c r="L113" i="7" s="1"/>
  <c r="L181" i="7" s="1"/>
  <c r="I103" i="7"/>
  <c r="I94" i="7" s="1"/>
  <c r="I113" i="7" s="1"/>
  <c r="I181" i="7" s="1"/>
  <c r="G103" i="7"/>
  <c r="G94" i="7" s="1"/>
  <c r="G113" i="7" s="1"/>
  <c r="G181" i="7" s="1"/>
  <c r="F76" i="7" l="1"/>
  <c r="F80" i="7" s="1"/>
  <c r="F71" i="7" s="1"/>
  <c r="F90" i="7" s="1"/>
  <c r="F180" i="7" s="1"/>
  <c r="F185" i="7" s="1"/>
  <c r="I122" i="7"/>
  <c r="I126" i="7" s="1"/>
  <c r="I117" i="7" s="1"/>
  <c r="I136" i="7" s="1"/>
  <c r="I182" i="7" s="1"/>
  <c r="I186" i="7" s="1"/>
  <c r="O180" i="7"/>
  <c r="O185" i="7" s="1"/>
  <c r="N180" i="7"/>
  <c r="N185" i="7" s="1"/>
  <c r="I180" i="7"/>
  <c r="I185" i="7" s="1"/>
  <c r="M80" i="7"/>
  <c r="M71" i="7" s="1"/>
  <c r="M90" i="7" s="1"/>
  <c r="J76" i="7"/>
  <c r="J122" i="7" s="1"/>
  <c r="J126" i="7" s="1"/>
  <c r="J117" i="7" s="1"/>
  <c r="J136" i="7" s="1"/>
  <c r="J182" i="7" s="1"/>
  <c r="J186" i="7" s="1"/>
  <c r="O122" i="7"/>
  <c r="O126" i="7" s="1"/>
  <c r="O117" i="7" s="1"/>
  <c r="O136" i="7" s="1"/>
  <c r="O182" i="7" s="1"/>
  <c r="H76" i="7"/>
  <c r="H122" i="7" s="1"/>
  <c r="H126" i="7" s="1"/>
  <c r="H117" i="7" s="1"/>
  <c r="H136" i="7" s="1"/>
  <c r="H182" i="7" s="1"/>
  <c r="N122" i="7"/>
  <c r="N126" i="7" s="1"/>
  <c r="N117" i="7" s="1"/>
  <c r="N136" i="7" s="1"/>
  <c r="N182" i="7" s="1"/>
  <c r="G122" i="7"/>
  <c r="G126" i="7" s="1"/>
  <c r="G117" i="7" s="1"/>
  <c r="G136" i="7" s="1"/>
  <c r="G182" i="7" s="1"/>
  <c r="G80" i="7"/>
  <c r="G71" i="7" s="1"/>
  <c r="G90" i="7" s="1"/>
  <c r="L76" i="7"/>
  <c r="E122" i="7"/>
  <c r="E126" i="7" s="1"/>
  <c r="E117" i="7" s="1"/>
  <c r="E136" i="7" s="1"/>
  <c r="E182" i="7" s="1"/>
  <c r="E80" i="7"/>
  <c r="E71" i="7" s="1"/>
  <c r="E90" i="7" s="1"/>
  <c r="M186" i="7"/>
  <c r="K122" i="7"/>
  <c r="K126" i="7" s="1"/>
  <c r="K117" i="7" s="1"/>
  <c r="K136" i="7" s="1"/>
  <c r="K182" i="7" s="1"/>
  <c r="K80" i="7"/>
  <c r="K71" i="7" s="1"/>
  <c r="K90" i="7" s="1"/>
  <c r="F122" i="7" l="1"/>
  <c r="F126" i="7" s="1"/>
  <c r="F117" i="7" s="1"/>
  <c r="F136" i="7" s="1"/>
  <c r="F182" i="7" s="1"/>
  <c r="F186" i="7" s="1"/>
  <c r="F187" i="7" s="1"/>
  <c r="O183" i="7"/>
  <c r="I183" i="7"/>
  <c r="I187" i="7"/>
  <c r="N183" i="7"/>
  <c r="G180" i="7"/>
  <c r="G185" i="7" s="1"/>
  <c r="E180" i="7"/>
  <c r="E185" i="7" s="1"/>
  <c r="K180" i="7"/>
  <c r="K185" i="7" s="1"/>
  <c r="M180" i="7"/>
  <c r="M183" i="7" s="1"/>
  <c r="J80" i="7"/>
  <c r="J71" i="7" s="1"/>
  <c r="J90" i="7" s="1"/>
  <c r="O186" i="7"/>
  <c r="O187" i="7" s="1"/>
  <c r="H80" i="7"/>
  <c r="H71" i="7" s="1"/>
  <c r="H90" i="7" s="1"/>
  <c r="N186" i="7"/>
  <c r="N187" i="7" s="1"/>
  <c r="L80" i="7"/>
  <c r="L122" i="7"/>
  <c r="L126" i="7" s="1"/>
  <c r="L117" i="7" s="1"/>
  <c r="L136" i="7" s="1"/>
  <c r="L182" i="7" s="1"/>
  <c r="K186" i="7"/>
  <c r="H186" i="7"/>
  <c r="G186" i="7"/>
  <c r="E186" i="7"/>
  <c r="P8" i="39"/>
  <c r="K183" i="7" l="1"/>
  <c r="F183" i="7"/>
  <c r="E183" i="7"/>
  <c r="E187" i="7"/>
  <c r="K187" i="7"/>
  <c r="Q8" i="39"/>
  <c r="G187" i="7"/>
  <c r="M185" i="7"/>
  <c r="G183" i="7"/>
  <c r="H180" i="7"/>
  <c r="H185" i="7" s="1"/>
  <c r="J180" i="7"/>
  <c r="J187" i="7" s="1"/>
  <c r="M187" i="7"/>
  <c r="L71" i="7"/>
  <c r="L186" i="7"/>
  <c r="H183" i="7" l="1"/>
  <c r="J183" i="7"/>
  <c r="J185" i="7"/>
  <c r="H187" i="7"/>
  <c r="L90" i="7"/>
  <c r="L180" i="7" s="1"/>
  <c r="L185" i="7" l="1"/>
  <c r="L183" i="7"/>
  <c r="L187" i="7"/>
  <c r="D30" i="36" l="1"/>
  <c r="D53" i="36" l="1"/>
  <c r="D76" i="36" s="1"/>
  <c r="D99" i="36"/>
  <c r="P9" i="36"/>
  <c r="Q9" i="36" s="1"/>
  <c r="D13" i="36"/>
  <c r="D57" i="36" l="1"/>
  <c r="P30" i="36"/>
  <c r="D34" i="36"/>
  <c r="D103" i="36"/>
  <c r="P99" i="36"/>
  <c r="D4" i="36"/>
  <c r="P13" i="36"/>
  <c r="Q13" i="36" s="1"/>
  <c r="Q30" i="36" l="1"/>
  <c r="P22" i="39"/>
  <c r="D6" i="2"/>
  <c r="P6" i="2" s="1"/>
  <c r="Q6" i="2" s="1"/>
  <c r="D122" i="36"/>
  <c r="P53" i="36"/>
  <c r="Q53" i="36" s="1"/>
  <c r="P4" i="36"/>
  <c r="D48" i="36"/>
  <c r="D67" i="36" s="1"/>
  <c r="Q99" i="36"/>
  <c r="P103" i="36"/>
  <c r="P34" i="36"/>
  <c r="Q34" i="36" s="1"/>
  <c r="D25" i="36"/>
  <c r="D44" i="36" s="1"/>
  <c r="P44" i="36" s="1"/>
  <c r="D94" i="36"/>
  <c r="Q22" i="39" l="1"/>
  <c r="P76" i="36"/>
  <c r="D80" i="36"/>
  <c r="D71" i="36" s="1"/>
  <c r="P48" i="36"/>
  <c r="D28" i="46"/>
  <c r="P94" i="36"/>
  <c r="Q103" i="36"/>
  <c r="D113" i="36"/>
  <c r="D181" i="36" s="1"/>
  <c r="P25" i="36"/>
  <c r="Q25" i="36" s="1"/>
  <c r="P57" i="36"/>
  <c r="Q57" i="36" s="1"/>
  <c r="P122" i="36"/>
  <c r="D126" i="36"/>
  <c r="D117" i="36" s="1"/>
  <c r="D136" i="36" s="1"/>
  <c r="D182" i="36" s="1"/>
  <c r="Q4" i="36"/>
  <c r="Q76" i="36" l="1"/>
  <c r="P80" i="36"/>
  <c r="Q80" i="36" s="1"/>
  <c r="Q122" i="36"/>
  <c r="P126" i="36"/>
  <c r="D177" i="36"/>
  <c r="D90" i="36"/>
  <c r="D180" i="36" s="1"/>
  <c r="P71" i="36"/>
  <c r="Q71" i="36" s="1"/>
  <c r="Q48" i="36"/>
  <c r="D186" i="36"/>
  <c r="Q94" i="36"/>
  <c r="P113" i="36"/>
  <c r="P181" i="36" s="1"/>
  <c r="P28" i="46"/>
  <c r="Q181" i="36" l="1"/>
  <c r="Q113" i="36"/>
  <c r="Q44" i="36"/>
  <c r="P177" i="36"/>
  <c r="Q177" i="36" s="1"/>
  <c r="D178" i="36"/>
  <c r="P67" i="36"/>
  <c r="P178" i="36" s="1"/>
  <c r="D187" i="36"/>
  <c r="P90" i="36"/>
  <c r="P180" i="36" s="1"/>
  <c r="Q126" i="36"/>
  <c r="P117" i="36"/>
  <c r="Q28" i="46"/>
  <c r="Q90" i="36" l="1"/>
  <c r="P136" i="36"/>
  <c r="Q117" i="36"/>
  <c r="Q67" i="36"/>
  <c r="Q178" i="36"/>
  <c r="D185" i="36"/>
  <c r="D183" i="36"/>
  <c r="P182" i="36" l="1"/>
  <c r="Q136" i="36"/>
  <c r="Q180" i="36"/>
  <c r="P185" i="36"/>
  <c r="Q185" i="36" s="1"/>
  <c r="P183" i="36" l="1"/>
  <c r="Q183" i="36" s="1"/>
  <c r="Q182" i="36"/>
  <c r="P186" i="36"/>
  <c r="Q186" i="36" l="1"/>
  <c r="P187" i="36"/>
  <c r="Q187" i="36" s="1"/>
  <c r="P11" i="39" l="1"/>
  <c r="Q11" i="39" s="1"/>
  <c r="E99" i="17" l="1"/>
  <c r="F13" i="17"/>
  <c r="F4" i="17" s="1"/>
  <c r="L99" i="17"/>
  <c r="N30" i="17"/>
  <c r="H99" i="17"/>
  <c r="N53" i="17" l="1"/>
  <c r="N57" i="17" s="1"/>
  <c r="N48" i="17" s="1"/>
  <c r="N67" i="17" s="1"/>
  <c r="N178" i="17" s="1"/>
  <c r="N34" i="17"/>
  <c r="N25" i="17" s="1"/>
  <c r="N44" i="17" s="1"/>
  <c r="N177" i="17" s="1"/>
  <c r="L103" i="17"/>
  <c r="L94" i="17" s="1"/>
  <c r="L113" i="17" s="1"/>
  <c r="L181" i="17" s="1"/>
  <c r="J13" i="17"/>
  <c r="J4" i="17" s="1"/>
  <c r="J99" i="17"/>
  <c r="J30" i="17"/>
  <c r="L13" i="17"/>
  <c r="L4" i="17" s="1"/>
  <c r="L30" i="17"/>
  <c r="M13" i="17"/>
  <c r="M4" i="17" s="1"/>
  <c r="M30" i="17"/>
  <c r="G13" i="17"/>
  <c r="G4" i="17" s="1"/>
  <c r="G99" i="17"/>
  <c r="G30" i="17"/>
  <c r="H103" i="17"/>
  <c r="H94" i="17" s="1"/>
  <c r="H113" i="17" s="1"/>
  <c r="H181" i="17" s="1"/>
  <c r="E103" i="17"/>
  <c r="E94" i="17" s="1"/>
  <c r="E113" i="17" s="1"/>
  <c r="E181" i="17" s="1"/>
  <c r="H13" i="17"/>
  <c r="H4" i="17" s="1"/>
  <c r="H30" i="17"/>
  <c r="O99" i="17"/>
  <c r="O13" i="17"/>
  <c r="O4" i="17" s="1"/>
  <c r="O30" i="17"/>
  <c r="F30" i="17"/>
  <c r="K13" i="17"/>
  <c r="K4" i="17" s="1"/>
  <c r="K99" i="17"/>
  <c r="K30" i="17"/>
  <c r="F99" i="17"/>
  <c r="I13" i="17"/>
  <c r="I4" i="17" s="1"/>
  <c r="I99" i="17"/>
  <c r="N13" i="17"/>
  <c r="N4" i="17" s="1"/>
  <c r="N99" i="17"/>
  <c r="I30" i="17"/>
  <c r="E13" i="17"/>
  <c r="E4" i="17" s="1"/>
  <c r="E30" i="17"/>
  <c r="M99" i="17"/>
  <c r="F53" i="17" l="1"/>
  <c r="F57" i="17" s="1"/>
  <c r="H53" i="17"/>
  <c r="H57" i="17" s="1"/>
  <c r="H48" i="17" s="1"/>
  <c r="H67" i="17" s="1"/>
  <c r="H178" i="17" s="1"/>
  <c r="G53" i="17"/>
  <c r="G57" i="17" s="1"/>
  <c r="G48" i="17" s="1"/>
  <c r="G67" i="17" s="1"/>
  <c r="G178" i="17" s="1"/>
  <c r="E53" i="17"/>
  <c r="E57" i="17" s="1"/>
  <c r="E48" i="17" s="1"/>
  <c r="E67" i="17" s="1"/>
  <c r="E178" i="17" s="1"/>
  <c r="K53" i="17"/>
  <c r="K57" i="17" s="1"/>
  <c r="K48" i="17" s="1"/>
  <c r="K67" i="17" s="1"/>
  <c r="K178" i="17" s="1"/>
  <c r="O53" i="17"/>
  <c r="O57" i="17" s="1"/>
  <c r="O48" i="17" s="1"/>
  <c r="L53" i="17"/>
  <c r="L57" i="17" s="1"/>
  <c r="L48" i="17" s="1"/>
  <c r="L67" i="17" s="1"/>
  <c r="L178" i="17" s="1"/>
  <c r="I53" i="17"/>
  <c r="I57" i="17" s="1"/>
  <c r="I48" i="17" s="1"/>
  <c r="I67" i="17" s="1"/>
  <c r="I178" i="17" s="1"/>
  <c r="M53" i="17"/>
  <c r="M57" i="17" s="1"/>
  <c r="M48" i="17" s="1"/>
  <c r="M67" i="17" s="1"/>
  <c r="M178" i="17" s="1"/>
  <c r="J53" i="17"/>
  <c r="J57" i="17" s="1"/>
  <c r="J48" i="17" s="1"/>
  <c r="J67" i="17" s="1"/>
  <c r="J178" i="17" s="1"/>
  <c r="N76" i="17"/>
  <c r="N122" i="17" s="1"/>
  <c r="N126" i="17" s="1"/>
  <c r="N117" i="17" s="1"/>
  <c r="N136" i="17" s="1"/>
  <c r="N182" i="17" s="1"/>
  <c r="E34" i="17"/>
  <c r="E25" i="17" s="1"/>
  <c r="E44" i="17" s="1"/>
  <c r="E177" i="17" s="1"/>
  <c r="K103" i="17"/>
  <c r="K94" i="17" s="1"/>
  <c r="K113" i="17" s="1"/>
  <c r="K181" i="17" s="1"/>
  <c r="M103" i="17"/>
  <c r="M94" i="17" s="1"/>
  <c r="M113" i="17" s="1"/>
  <c r="M181" i="17" s="1"/>
  <c r="J103" i="17"/>
  <c r="J94" i="17" s="1"/>
  <c r="J113" i="17" s="1"/>
  <c r="J181" i="17" s="1"/>
  <c r="F103" i="17"/>
  <c r="F94" i="17" s="1"/>
  <c r="F113" i="17" s="1"/>
  <c r="F181" i="17" s="1"/>
  <c r="O103" i="17"/>
  <c r="O94" i="17" s="1"/>
  <c r="O113" i="17" s="1"/>
  <c r="O181" i="17" s="1"/>
  <c r="G34" i="17"/>
  <c r="G25" i="17" s="1"/>
  <c r="G44" i="17" s="1"/>
  <c r="G177" i="17" s="1"/>
  <c r="M34" i="17"/>
  <c r="M25" i="17" s="1"/>
  <c r="M44" i="17" s="1"/>
  <c r="M177" i="17" s="1"/>
  <c r="N103" i="17"/>
  <c r="N94" i="17" s="1"/>
  <c r="N113" i="17" s="1"/>
  <c r="N181" i="17" s="1"/>
  <c r="O34" i="17"/>
  <c r="O25" i="17" s="1"/>
  <c r="O44" i="17" s="1"/>
  <c r="O177" i="17" s="1"/>
  <c r="H34" i="17"/>
  <c r="H25" i="17" s="1"/>
  <c r="H44" i="17" s="1"/>
  <c r="H177" i="17" s="1"/>
  <c r="L34" i="17"/>
  <c r="L25" i="17" s="1"/>
  <c r="L44" i="17" s="1"/>
  <c r="L177" i="17" s="1"/>
  <c r="I103" i="17"/>
  <c r="I94" i="17" s="1"/>
  <c r="I113" i="17" s="1"/>
  <c r="I181" i="17" s="1"/>
  <c r="I34" i="17"/>
  <c r="I25" i="17" s="1"/>
  <c r="I44" i="17" s="1"/>
  <c r="I177" i="17" s="1"/>
  <c r="K34" i="17"/>
  <c r="K25" i="17" s="1"/>
  <c r="K44" i="17" s="1"/>
  <c r="K177" i="17" s="1"/>
  <c r="F34" i="17"/>
  <c r="F25" i="17" s="1"/>
  <c r="F44" i="17" s="1"/>
  <c r="F177" i="17" s="1"/>
  <c r="F48" i="17"/>
  <c r="F67" i="17" s="1"/>
  <c r="F178" i="17" s="1"/>
  <c r="G103" i="17"/>
  <c r="G94" i="17" s="1"/>
  <c r="G113" i="17" s="1"/>
  <c r="G181" i="17" s="1"/>
  <c r="J34" i="17"/>
  <c r="J25" i="17" s="1"/>
  <c r="J44" i="17" s="1"/>
  <c r="J177" i="17" s="1"/>
  <c r="N80" i="17" l="1"/>
  <c r="N71" i="17" s="1"/>
  <c r="N90" i="17" s="1"/>
  <c r="O67" i="17"/>
  <c r="O178" i="17" s="1"/>
  <c r="J76" i="17"/>
  <c r="J122" i="17" s="1"/>
  <c r="J126" i="17" s="1"/>
  <c r="J117" i="17" s="1"/>
  <c r="J136" i="17" s="1"/>
  <c r="J182" i="17" s="1"/>
  <c r="J186" i="17" s="1"/>
  <c r="O76" i="17"/>
  <c r="O80" i="17" s="1"/>
  <c r="O71" i="17" s="1"/>
  <c r="O90" i="17" s="1"/>
  <c r="I76" i="17"/>
  <c r="I122" i="17" s="1"/>
  <c r="I126" i="17" s="1"/>
  <c r="I117" i="17" s="1"/>
  <c r="I136" i="17" s="1"/>
  <c r="I182" i="17" s="1"/>
  <c r="L76" i="17"/>
  <c r="H76" i="17"/>
  <c r="P16" i="39"/>
  <c r="M76" i="17"/>
  <c r="G76" i="17"/>
  <c r="N186" i="17"/>
  <c r="F76" i="17"/>
  <c r="K76" i="17"/>
  <c r="E76" i="17"/>
  <c r="Q16" i="39" l="1"/>
  <c r="N180" i="17"/>
  <c r="N185" i="17" s="1"/>
  <c r="O180" i="17"/>
  <c r="O185" i="17" s="1"/>
  <c r="J80" i="17"/>
  <c r="J71" i="17" s="1"/>
  <c r="J90" i="17" s="1"/>
  <c r="O122" i="17"/>
  <c r="O126" i="17" s="1"/>
  <c r="O117" i="17" s="1"/>
  <c r="O136" i="17" s="1"/>
  <c r="O182" i="17" s="1"/>
  <c r="I80" i="17"/>
  <c r="I71" i="17" s="1"/>
  <c r="I90" i="17" s="1"/>
  <c r="F80" i="17"/>
  <c r="F71" i="17" s="1"/>
  <c r="F90" i="17" s="1"/>
  <c r="F122" i="17"/>
  <c r="F126" i="17" s="1"/>
  <c r="F117" i="17" s="1"/>
  <c r="F136" i="17" s="1"/>
  <c r="F182" i="17" s="1"/>
  <c r="H80" i="17"/>
  <c r="H71" i="17" s="1"/>
  <c r="H90" i="17" s="1"/>
  <c r="H122" i="17"/>
  <c r="H126" i="17" s="1"/>
  <c r="H117" i="17" s="1"/>
  <c r="H136" i="17" s="1"/>
  <c r="H182" i="17" s="1"/>
  <c r="M80" i="17"/>
  <c r="M71" i="17" s="1"/>
  <c r="M90" i="17" s="1"/>
  <c r="M122" i="17"/>
  <c r="M126" i="17" s="1"/>
  <c r="M117" i="17" s="1"/>
  <c r="M136" i="17" s="1"/>
  <c r="M182" i="17" s="1"/>
  <c r="L80" i="17"/>
  <c r="L71" i="17" s="1"/>
  <c r="L90" i="17" s="1"/>
  <c r="L122" i="17"/>
  <c r="L126" i="17" s="1"/>
  <c r="L117" i="17" s="1"/>
  <c r="L136" i="17" s="1"/>
  <c r="L182" i="17" s="1"/>
  <c r="E122" i="17"/>
  <c r="E126" i="17" s="1"/>
  <c r="E117" i="17" s="1"/>
  <c r="E136" i="17" s="1"/>
  <c r="E182" i="17" s="1"/>
  <c r="E80" i="17"/>
  <c r="E71" i="17" s="1"/>
  <c r="E90" i="17" s="1"/>
  <c r="I186" i="17"/>
  <c r="G80" i="17"/>
  <c r="G71" i="17" s="1"/>
  <c r="G90" i="17" s="1"/>
  <c r="G122" i="17"/>
  <c r="G126" i="17" s="1"/>
  <c r="G117" i="17" s="1"/>
  <c r="G136" i="17" s="1"/>
  <c r="G182" i="17" s="1"/>
  <c r="K80" i="17"/>
  <c r="K71" i="17" s="1"/>
  <c r="K90" i="17" s="1"/>
  <c r="K122" i="17"/>
  <c r="K126" i="17" s="1"/>
  <c r="K117" i="17" s="1"/>
  <c r="K136" i="17" s="1"/>
  <c r="K182" i="17" s="1"/>
  <c r="O183" i="17" l="1"/>
  <c r="N183" i="17"/>
  <c r="G180" i="17"/>
  <c r="G185" i="17" s="1"/>
  <c r="F180" i="17"/>
  <c r="F185" i="17" s="1"/>
  <c r="L180" i="17"/>
  <c r="L185" i="17" s="1"/>
  <c r="I180" i="17"/>
  <c r="I185" i="17" s="1"/>
  <c r="E180" i="17"/>
  <c r="E185" i="17" s="1"/>
  <c r="H180" i="17"/>
  <c r="H185" i="17" s="1"/>
  <c r="K180" i="17"/>
  <c r="K185" i="17" s="1"/>
  <c r="M180" i="17"/>
  <c r="M185" i="17" s="1"/>
  <c r="J180" i="17"/>
  <c r="J185" i="17" s="1"/>
  <c r="N187" i="17"/>
  <c r="O186" i="17"/>
  <c r="O187" i="17" s="1"/>
  <c r="M186" i="17"/>
  <c r="E186" i="17"/>
  <c r="K186" i="17"/>
  <c r="G186" i="17"/>
  <c r="L186" i="17"/>
  <c r="F186" i="17"/>
  <c r="H186" i="17"/>
  <c r="E187" i="17" l="1"/>
  <c r="F187" i="17"/>
  <c r="G183" i="17"/>
  <c r="E183" i="17"/>
  <c r="H183" i="17"/>
  <c r="G187" i="17"/>
  <c r="J187" i="17"/>
  <c r="H187" i="17"/>
  <c r="F183" i="17"/>
  <c r="K183" i="17"/>
  <c r="M183" i="17"/>
  <c r="L187" i="17"/>
  <c r="I187" i="17"/>
  <c r="L183" i="17"/>
  <c r="K187" i="17"/>
  <c r="M187" i="17"/>
  <c r="I183" i="17"/>
  <c r="J183" i="17"/>
  <c r="G9" i="15" l="1"/>
  <c r="H9" i="15"/>
  <c r="O9" i="15"/>
  <c r="L9" i="15"/>
  <c r="N9" i="15" l="1"/>
  <c r="O99" i="15"/>
  <c r="O30" i="15"/>
  <c r="O13" i="15"/>
  <c r="O4" i="15" s="1"/>
  <c r="H99" i="15"/>
  <c r="H13" i="15"/>
  <c r="H4" i="15" s="1"/>
  <c r="H30" i="15"/>
  <c r="L13" i="15"/>
  <c r="L4" i="15" s="1"/>
  <c r="L99" i="15"/>
  <c r="L30" i="15"/>
  <c r="K9" i="15"/>
  <c r="E9" i="15"/>
  <c r="I9" i="15"/>
  <c r="F9" i="15"/>
  <c r="M9" i="15"/>
  <c r="G13" i="15"/>
  <c r="G4" i="15" s="1"/>
  <c r="G99" i="15"/>
  <c r="G30" i="15"/>
  <c r="J9" i="15"/>
  <c r="H53" i="15" l="1"/>
  <c r="H57" i="15" s="1"/>
  <c r="H48" i="15" s="1"/>
  <c r="H67" i="15" s="1"/>
  <c r="H178" i="15" s="1"/>
  <c r="O53" i="15"/>
  <c r="O57" i="15" s="1"/>
  <c r="O48" i="15" s="1"/>
  <c r="O67" i="15" s="1"/>
  <c r="O178" i="15" s="1"/>
  <c r="L53" i="15"/>
  <c r="L57" i="15" s="1"/>
  <c r="L48" i="15" s="1"/>
  <c r="L67" i="15" s="1"/>
  <c r="L178" i="15" s="1"/>
  <c r="G53" i="15"/>
  <c r="G57" i="15" s="1"/>
  <c r="G48" i="15" s="1"/>
  <c r="G67" i="15" s="1"/>
  <c r="G178" i="15" s="1"/>
  <c r="F13" i="15"/>
  <c r="F4" i="15" s="1"/>
  <c r="F99" i="15"/>
  <c r="F30" i="15"/>
  <c r="O34" i="15"/>
  <c r="O25" i="15" s="1"/>
  <c r="O44" i="15" s="1"/>
  <c r="O177" i="15" s="1"/>
  <c r="O103" i="15"/>
  <c r="O94" i="15" s="1"/>
  <c r="O113" i="15" s="1"/>
  <c r="O181" i="15" s="1"/>
  <c r="J13" i="15"/>
  <c r="J4" i="15" s="1"/>
  <c r="J99" i="15"/>
  <c r="J30" i="15"/>
  <c r="I13" i="15"/>
  <c r="I4" i="15" s="1"/>
  <c r="I99" i="15"/>
  <c r="I30" i="15"/>
  <c r="L34" i="15"/>
  <c r="L25" i="15" s="1"/>
  <c r="L44" i="15" s="1"/>
  <c r="L177" i="15" s="1"/>
  <c r="N99" i="15"/>
  <c r="N30" i="15"/>
  <c r="N13" i="15"/>
  <c r="N4" i="15" s="1"/>
  <c r="E13" i="15"/>
  <c r="E4" i="15" s="1"/>
  <c r="E99" i="15"/>
  <c r="E30" i="15"/>
  <c r="K13" i="15"/>
  <c r="K4" i="15" s="1"/>
  <c r="K99" i="15"/>
  <c r="K30" i="15"/>
  <c r="G103" i="15"/>
  <c r="G94" i="15" s="1"/>
  <c r="G113" i="15" s="1"/>
  <c r="G181" i="15" s="1"/>
  <c r="H103" i="15"/>
  <c r="H94" i="15" s="1"/>
  <c r="H113" i="15" s="1"/>
  <c r="H181" i="15" s="1"/>
  <c r="G34" i="15"/>
  <c r="G25" i="15" s="1"/>
  <c r="G44" i="15" s="1"/>
  <c r="G177" i="15" s="1"/>
  <c r="M13" i="15"/>
  <c r="M4" i="15" s="1"/>
  <c r="M99" i="15"/>
  <c r="M30" i="15"/>
  <c r="L103" i="15"/>
  <c r="L94" i="15" s="1"/>
  <c r="L113" i="15" s="1"/>
  <c r="L181" i="15" s="1"/>
  <c r="H34" i="15"/>
  <c r="H25" i="15" s="1"/>
  <c r="H44" i="15" s="1"/>
  <c r="H177" i="15" s="1"/>
  <c r="E53" i="15" l="1"/>
  <c r="E57" i="15" s="1"/>
  <c r="E48" i="15" s="1"/>
  <c r="E67" i="15" s="1"/>
  <c r="E178" i="15" s="1"/>
  <c r="N53" i="15"/>
  <c r="N57" i="15" s="1"/>
  <c r="N48" i="15" s="1"/>
  <c r="N67" i="15" s="1"/>
  <c r="N178" i="15" s="1"/>
  <c r="F53" i="15"/>
  <c r="F57" i="15" s="1"/>
  <c r="F48" i="15" s="1"/>
  <c r="F67" i="15" s="1"/>
  <c r="F178" i="15" s="1"/>
  <c r="K53" i="15"/>
  <c r="K57" i="15" s="1"/>
  <c r="K48" i="15" s="1"/>
  <c r="K67" i="15" s="1"/>
  <c r="K178" i="15" s="1"/>
  <c r="M53" i="15"/>
  <c r="M57" i="15" s="1"/>
  <c r="M48" i="15" s="1"/>
  <c r="M67" i="15" s="1"/>
  <c r="M178" i="15" s="1"/>
  <c r="J53" i="15"/>
  <c r="J57" i="15" s="1"/>
  <c r="J48" i="15" s="1"/>
  <c r="J67" i="15" s="1"/>
  <c r="J178" i="15" s="1"/>
  <c r="I53" i="15"/>
  <c r="I57" i="15" s="1"/>
  <c r="I48" i="15" s="1"/>
  <c r="I67" i="15" s="1"/>
  <c r="I178" i="15" s="1"/>
  <c r="L76" i="15"/>
  <c r="L80" i="15" s="1"/>
  <c r="L71" i="15" s="1"/>
  <c r="L90" i="15" s="1"/>
  <c r="G76" i="15"/>
  <c r="G122" i="15" s="1"/>
  <c r="G126" i="15" s="1"/>
  <c r="G117" i="15" s="1"/>
  <c r="G136" i="15" s="1"/>
  <c r="G182" i="15" s="1"/>
  <c r="O76" i="15"/>
  <c r="O80" i="15" s="1"/>
  <c r="O71" i="15" s="1"/>
  <c r="O90" i="15" s="1"/>
  <c r="N103" i="15"/>
  <c r="N94" i="15" s="1"/>
  <c r="N113" i="15" s="1"/>
  <c r="N181" i="15" s="1"/>
  <c r="J103" i="15"/>
  <c r="J94" i="15" s="1"/>
  <c r="J113" i="15" s="1"/>
  <c r="J181" i="15" s="1"/>
  <c r="F34" i="15"/>
  <c r="F25" i="15" s="1"/>
  <c r="F44" i="15" s="1"/>
  <c r="F177" i="15" s="1"/>
  <c r="E34" i="15"/>
  <c r="E25" i="15" s="1"/>
  <c r="E44" i="15" s="1"/>
  <c r="E177" i="15" s="1"/>
  <c r="M103" i="15"/>
  <c r="M94" i="15" s="1"/>
  <c r="M113" i="15" s="1"/>
  <c r="M181" i="15" s="1"/>
  <c r="K103" i="15"/>
  <c r="K94" i="15" s="1"/>
  <c r="K113" i="15" s="1"/>
  <c r="K181" i="15" s="1"/>
  <c r="N34" i="15"/>
  <c r="N25" i="15" s="1"/>
  <c r="N44" i="15" s="1"/>
  <c r="N177" i="15" s="1"/>
  <c r="I34" i="15"/>
  <c r="I25" i="15" s="1"/>
  <c r="I44" i="15" s="1"/>
  <c r="I177" i="15" s="1"/>
  <c r="F103" i="15"/>
  <c r="F94" i="15" s="1"/>
  <c r="F113" i="15" s="1"/>
  <c r="F181" i="15" s="1"/>
  <c r="M34" i="15"/>
  <c r="M25" i="15" s="1"/>
  <c r="M44" i="15" s="1"/>
  <c r="M177" i="15" s="1"/>
  <c r="K34" i="15"/>
  <c r="K25" i="15" s="1"/>
  <c r="K44" i="15" s="1"/>
  <c r="K177" i="15" s="1"/>
  <c r="H76" i="15"/>
  <c r="E103" i="15"/>
  <c r="E94" i="15" s="1"/>
  <c r="E113" i="15" s="1"/>
  <c r="E181" i="15" s="1"/>
  <c r="I103" i="15"/>
  <c r="I94" i="15" s="1"/>
  <c r="I113" i="15" s="1"/>
  <c r="I181" i="15" s="1"/>
  <c r="J34" i="15"/>
  <c r="J25" i="15" s="1"/>
  <c r="J44" i="15" s="1"/>
  <c r="J177" i="15" s="1"/>
  <c r="O180" i="15" l="1"/>
  <c r="O185" i="15" s="1"/>
  <c r="L180" i="15"/>
  <c r="L185" i="15" s="1"/>
  <c r="O122" i="15"/>
  <c r="O126" i="15" s="1"/>
  <c r="O117" i="15" s="1"/>
  <c r="O136" i="15" s="1"/>
  <c r="O182" i="15" s="1"/>
  <c r="G80" i="15"/>
  <c r="G71" i="15" s="1"/>
  <c r="G90" i="15" s="1"/>
  <c r="L122" i="15"/>
  <c r="L126" i="15" s="1"/>
  <c r="L117" i="15" s="1"/>
  <c r="L136" i="15" s="1"/>
  <c r="L182" i="15" s="1"/>
  <c r="L186" i="15" s="1"/>
  <c r="F76" i="15"/>
  <c r="F122" i="15" s="1"/>
  <c r="F126" i="15" s="1"/>
  <c r="F117" i="15" s="1"/>
  <c r="F136" i="15" s="1"/>
  <c r="F182" i="15" s="1"/>
  <c r="I76" i="15"/>
  <c r="I122" i="15" s="1"/>
  <c r="I126" i="15" s="1"/>
  <c r="I117" i="15" s="1"/>
  <c r="I136" i="15" s="1"/>
  <c r="I182" i="15" s="1"/>
  <c r="M76" i="15"/>
  <c r="M122" i="15" s="1"/>
  <c r="M126" i="15" s="1"/>
  <c r="M117" i="15" s="1"/>
  <c r="M136" i="15" s="1"/>
  <c r="M182" i="15" s="1"/>
  <c r="E76" i="15"/>
  <c r="E80" i="15" s="1"/>
  <c r="E71" i="15" s="1"/>
  <c r="E90" i="15" s="1"/>
  <c r="J76" i="15"/>
  <c r="P15" i="39"/>
  <c r="K76" i="15"/>
  <c r="N76" i="15"/>
  <c r="H80" i="15"/>
  <c r="H71" i="15" s="1"/>
  <c r="H90" i="15" s="1"/>
  <c r="H122" i="15"/>
  <c r="H126" i="15" s="1"/>
  <c r="H117" i="15" s="1"/>
  <c r="H136" i="15" s="1"/>
  <c r="H182" i="15" s="1"/>
  <c r="G186" i="15"/>
  <c r="L187" i="15" l="1"/>
  <c r="O183" i="15"/>
  <c r="Q15" i="39"/>
  <c r="E180" i="15"/>
  <c r="E185" i="15" s="1"/>
  <c r="G180" i="15"/>
  <c r="G185" i="15" s="1"/>
  <c r="H180" i="15"/>
  <c r="H185" i="15" s="1"/>
  <c r="O186" i="15"/>
  <c r="O187" i="15" s="1"/>
  <c r="F80" i="15"/>
  <c r="F71" i="15" s="1"/>
  <c r="F90" i="15" s="1"/>
  <c r="I80" i="15"/>
  <c r="I71" i="15" s="1"/>
  <c r="I90" i="15" s="1"/>
  <c r="L183" i="15"/>
  <c r="E122" i="15"/>
  <c r="E126" i="15" s="1"/>
  <c r="E117" i="15" s="1"/>
  <c r="E136" i="15" s="1"/>
  <c r="E182" i="15" s="1"/>
  <c r="E186" i="15" s="1"/>
  <c r="M80" i="15"/>
  <c r="M71" i="15" s="1"/>
  <c r="M90" i="15" s="1"/>
  <c r="M186" i="15"/>
  <c r="H186" i="15"/>
  <c r="N122" i="15"/>
  <c r="N126" i="15" s="1"/>
  <c r="N117" i="15" s="1"/>
  <c r="N136" i="15" s="1"/>
  <c r="N182" i="15" s="1"/>
  <c r="N80" i="15"/>
  <c r="N71" i="15" s="1"/>
  <c r="N90" i="15" s="1"/>
  <c r="J122" i="15"/>
  <c r="J126" i="15" s="1"/>
  <c r="J117" i="15" s="1"/>
  <c r="J136" i="15" s="1"/>
  <c r="J182" i="15" s="1"/>
  <c r="J80" i="15"/>
  <c r="J71" i="15" s="1"/>
  <c r="J90" i="15" s="1"/>
  <c r="K122" i="15"/>
  <c r="K126" i="15" s="1"/>
  <c r="K117" i="15" s="1"/>
  <c r="K136" i="15" s="1"/>
  <c r="K182" i="15" s="1"/>
  <c r="K80" i="15"/>
  <c r="K71" i="15" s="1"/>
  <c r="K90" i="15" s="1"/>
  <c r="I186" i="15"/>
  <c r="F186" i="15"/>
  <c r="E187" i="15" l="1"/>
  <c r="G187" i="15"/>
  <c r="G183" i="15"/>
  <c r="H187" i="15"/>
  <c r="H183" i="15"/>
  <c r="N180" i="15"/>
  <c r="N185" i="15" s="1"/>
  <c r="K180" i="15"/>
  <c r="K185" i="15" s="1"/>
  <c r="I180" i="15"/>
  <c r="I185" i="15" s="1"/>
  <c r="J180" i="15"/>
  <c r="J185" i="15" s="1"/>
  <c r="M180" i="15"/>
  <c r="M185" i="15" s="1"/>
  <c r="F180" i="15"/>
  <c r="F187" i="15" s="1"/>
  <c r="E183" i="15"/>
  <c r="J186" i="15"/>
  <c r="K186" i="15"/>
  <c r="N186" i="15"/>
  <c r="J187" i="15" l="1"/>
  <c r="I183" i="15"/>
  <c r="J183" i="15"/>
  <c r="I187" i="15"/>
  <c r="N187" i="15"/>
  <c r="M187" i="15"/>
  <c r="F183" i="15"/>
  <c r="K187" i="15"/>
  <c r="N183" i="15"/>
  <c r="K183" i="15"/>
  <c r="M183" i="15"/>
  <c r="F185" i="15"/>
  <c r="K9" i="12" l="1"/>
  <c r="K9" i="20" s="1"/>
  <c r="O9" i="12"/>
  <c r="O9" i="20" s="1"/>
  <c r="D9" i="12"/>
  <c r="I9" i="12"/>
  <c r="I9" i="20" s="1"/>
  <c r="E9" i="12"/>
  <c r="E9" i="20" s="1"/>
  <c r="L9" i="12"/>
  <c r="L9" i="20" s="1"/>
  <c r="H9" i="12"/>
  <c r="H9" i="20" s="1"/>
  <c r="L30" i="12" l="1"/>
  <c r="L30" i="20" s="1"/>
  <c r="L53" i="20" s="1"/>
  <c r="K30" i="12"/>
  <c r="K30" i="20" s="1"/>
  <c r="K53" i="20" s="1"/>
  <c r="E30" i="12"/>
  <c r="E30" i="20" s="1"/>
  <c r="E53" i="20" s="1"/>
  <c r="I13" i="12"/>
  <c r="I4" i="12" s="1"/>
  <c r="I4" i="39" s="1"/>
  <c r="I9" i="28"/>
  <c r="I13" i="28" s="1"/>
  <c r="I99" i="12"/>
  <c r="I99" i="20" s="1"/>
  <c r="I30" i="12"/>
  <c r="I34" i="12" s="1"/>
  <c r="I25" i="12" s="1"/>
  <c r="I44" i="12" s="1"/>
  <c r="I177" i="12" s="1"/>
  <c r="J9" i="12"/>
  <c r="J9" i="20" s="1"/>
  <c r="H13" i="12"/>
  <c r="H4" i="12" s="1"/>
  <c r="H4" i="39" s="1"/>
  <c r="H99" i="12"/>
  <c r="H99" i="20" s="1"/>
  <c r="G9" i="12"/>
  <c r="G9" i="20" s="1"/>
  <c r="D13" i="12"/>
  <c r="D99" i="12"/>
  <c r="D30" i="12"/>
  <c r="O99" i="12"/>
  <c r="O99" i="20" s="1"/>
  <c r="O13" i="12"/>
  <c r="O4" i="12" s="1"/>
  <c r="O4" i="39" s="1"/>
  <c r="O30" i="12"/>
  <c r="K34" i="12"/>
  <c r="K25" i="12" s="1"/>
  <c r="K44" i="12" s="1"/>
  <c r="K177" i="12" s="1"/>
  <c r="L99" i="12"/>
  <c r="L99" i="20" s="1"/>
  <c r="L13" i="12"/>
  <c r="L4" i="12" s="1"/>
  <c r="L4" i="39" s="1"/>
  <c r="E13" i="12"/>
  <c r="E4" i="12" s="1"/>
  <c r="E4" i="39" s="1"/>
  <c r="E99" i="12"/>
  <c r="E99" i="20" s="1"/>
  <c r="N9" i="12"/>
  <c r="N9" i="20" s="1"/>
  <c r="H30" i="12"/>
  <c r="M9" i="12"/>
  <c r="M9" i="20" s="1"/>
  <c r="K13" i="12"/>
  <c r="K4" i="12" s="1"/>
  <c r="K4" i="39" s="1"/>
  <c r="F9" i="12"/>
  <c r="F9" i="20" s="1"/>
  <c r="K99" i="12"/>
  <c r="K99" i="20" s="1"/>
  <c r="L34" i="12" l="1"/>
  <c r="L25" i="12" s="1"/>
  <c r="L44" i="12" s="1"/>
  <c r="L177" i="12" s="1"/>
  <c r="E34" i="12"/>
  <c r="E25" i="12" s="1"/>
  <c r="E44" i="12" s="1"/>
  <c r="E177" i="12" s="1"/>
  <c r="L53" i="12"/>
  <c r="L57" i="12" s="1"/>
  <c r="L48" i="12" s="1"/>
  <c r="L67" i="12" s="1"/>
  <c r="L178" i="12" s="1"/>
  <c r="E57" i="20"/>
  <c r="E53" i="28"/>
  <c r="K57" i="20"/>
  <c r="K53" i="28"/>
  <c r="L57" i="20"/>
  <c r="L53" i="28"/>
  <c r="K53" i="12"/>
  <c r="K57" i="12" s="1"/>
  <c r="K48" i="12" s="1"/>
  <c r="K67" i="12" s="1"/>
  <c r="K178" i="12" s="1"/>
  <c r="E53" i="12"/>
  <c r="E57" i="12" s="1"/>
  <c r="E48" i="12" s="1"/>
  <c r="E67" i="12" s="1"/>
  <c r="E178" i="12" s="1"/>
  <c r="I103" i="12"/>
  <c r="I94" i="12" s="1"/>
  <c r="I113" i="12" s="1"/>
  <c r="I181" i="12" s="1"/>
  <c r="I53" i="12"/>
  <c r="I30" i="20"/>
  <c r="I53" i="20" s="1"/>
  <c r="D53" i="12"/>
  <c r="D57" i="12" s="1"/>
  <c r="H53" i="12"/>
  <c r="H57" i="12" s="1"/>
  <c r="H48" i="12" s="1"/>
  <c r="H67" i="12" s="1"/>
  <c r="H178" i="12" s="1"/>
  <c r="H30" i="20"/>
  <c r="H53" i="20" s="1"/>
  <c r="O53" i="12"/>
  <c r="O57" i="12" s="1"/>
  <c r="O48" i="12" s="1"/>
  <c r="O67" i="12" s="1"/>
  <c r="O178" i="12" s="1"/>
  <c r="O30" i="20"/>
  <c r="O53" i="20" s="1"/>
  <c r="P9" i="12"/>
  <c r="Q9" i="12" s="1"/>
  <c r="I9" i="46"/>
  <c r="I13" i="20"/>
  <c r="L76" i="12"/>
  <c r="L122" i="12" s="1"/>
  <c r="L126" i="12" s="1"/>
  <c r="L117" i="12" s="1"/>
  <c r="L136" i="12" s="1"/>
  <c r="L182" i="12" s="1"/>
  <c r="K76" i="12"/>
  <c r="H103" i="12"/>
  <c r="H94" i="12" s="1"/>
  <c r="H113" i="12" s="1"/>
  <c r="H181" i="12" s="1"/>
  <c r="L34" i="20"/>
  <c r="L30" i="28"/>
  <c r="M13" i="12"/>
  <c r="M4" i="12" s="1"/>
  <c r="M4" i="39" s="1"/>
  <c r="M99" i="12"/>
  <c r="M99" i="20" s="1"/>
  <c r="M30" i="12"/>
  <c r="D103" i="12"/>
  <c r="D94" i="12" s="1"/>
  <c r="D113" i="12" s="1"/>
  <c r="D181" i="12" s="1"/>
  <c r="E30" i="28"/>
  <c r="E34" i="20"/>
  <c r="K103" i="12"/>
  <c r="K94" i="12" s="1"/>
  <c r="K113" i="12" s="1"/>
  <c r="K181" i="12" s="1"/>
  <c r="K9" i="28"/>
  <c r="K13" i="20"/>
  <c r="H34" i="12"/>
  <c r="H25" i="12" s="1"/>
  <c r="H44" i="12" s="1"/>
  <c r="H177" i="12" s="1"/>
  <c r="I13" i="46"/>
  <c r="L9" i="28"/>
  <c r="L13" i="20"/>
  <c r="K34" i="20"/>
  <c r="K30" i="28"/>
  <c r="O103" i="12"/>
  <c r="O94" i="12" s="1"/>
  <c r="O113" i="12" s="1"/>
  <c r="O181" i="12" s="1"/>
  <c r="G13" i="12"/>
  <c r="G4" i="12" s="1"/>
  <c r="G4" i="39" s="1"/>
  <c r="G99" i="12"/>
  <c r="G99" i="20" s="1"/>
  <c r="G30" i="12"/>
  <c r="J13" i="12"/>
  <c r="J4" i="12" s="1"/>
  <c r="J4" i="39" s="1"/>
  <c r="J99" i="12"/>
  <c r="J99" i="20" s="1"/>
  <c r="J30" i="12"/>
  <c r="E13" i="20"/>
  <c r="E9" i="28"/>
  <c r="L103" i="12"/>
  <c r="L94" i="12" s="1"/>
  <c r="L113" i="12" s="1"/>
  <c r="L181" i="12" s="1"/>
  <c r="O34" i="12"/>
  <c r="O25" i="12" s="1"/>
  <c r="O44" i="12" s="1"/>
  <c r="O177" i="12" s="1"/>
  <c r="D34" i="12"/>
  <c r="F13" i="12"/>
  <c r="F4" i="12" s="1"/>
  <c r="F4" i="39" s="1"/>
  <c r="F99" i="12"/>
  <c r="F99" i="20" s="1"/>
  <c r="F30" i="12"/>
  <c r="N99" i="12"/>
  <c r="N99" i="20" s="1"/>
  <c r="N13" i="12"/>
  <c r="N4" i="12" s="1"/>
  <c r="N4" i="39" s="1"/>
  <c r="N30" i="12"/>
  <c r="E103" i="12"/>
  <c r="E94" i="12" s="1"/>
  <c r="E113" i="12" s="1"/>
  <c r="E181" i="12" s="1"/>
  <c r="O13" i="20"/>
  <c r="D4" i="12"/>
  <c r="I99" i="28"/>
  <c r="I109" i="46" s="1"/>
  <c r="I103" i="20"/>
  <c r="H9" i="28"/>
  <c r="H13" i="20"/>
  <c r="D76" i="12" l="1"/>
  <c r="D80" i="12" s="1"/>
  <c r="E76" i="12"/>
  <c r="H57" i="20"/>
  <c r="H53" i="28"/>
  <c r="I57" i="20"/>
  <c r="I53" i="28"/>
  <c r="O57" i="20"/>
  <c r="I34" i="20"/>
  <c r="I30" i="28"/>
  <c r="F53" i="12"/>
  <c r="F57" i="12" s="1"/>
  <c r="F48" i="12" s="1"/>
  <c r="F67" i="12" s="1"/>
  <c r="F178" i="12" s="1"/>
  <c r="F30" i="20"/>
  <c r="F53" i="20" s="1"/>
  <c r="M53" i="12"/>
  <c r="M57" i="12" s="1"/>
  <c r="M48" i="12" s="1"/>
  <c r="M67" i="12" s="1"/>
  <c r="M178" i="12" s="1"/>
  <c r="M30" i="20"/>
  <c r="M53" i="20" s="1"/>
  <c r="N53" i="12"/>
  <c r="N57" i="12" s="1"/>
  <c r="N30" i="20"/>
  <c r="N53" i="20" s="1"/>
  <c r="G53" i="12"/>
  <c r="G57" i="12" s="1"/>
  <c r="G48" i="12" s="1"/>
  <c r="G67" i="12" s="1"/>
  <c r="G178" i="12" s="1"/>
  <c r="G30" i="20"/>
  <c r="G53" i="20" s="1"/>
  <c r="J53" i="12"/>
  <c r="J57" i="12" s="1"/>
  <c r="J30" i="20"/>
  <c r="J53" i="20" s="1"/>
  <c r="I57" i="12"/>
  <c r="I48" i="12" s="1"/>
  <c r="I67" i="12" s="1"/>
  <c r="I178" i="12" s="1"/>
  <c r="I76" i="12"/>
  <c r="L80" i="12"/>
  <c r="L71" i="12" s="1"/>
  <c r="L90" i="12" s="1"/>
  <c r="L76" i="20"/>
  <c r="L122" i="20" s="1"/>
  <c r="L126" i="20" s="1"/>
  <c r="P30" i="12"/>
  <c r="Q30" i="12" s="1"/>
  <c r="K80" i="12"/>
  <c r="K71" i="12" s="1"/>
  <c r="K90" i="12" s="1"/>
  <c r="K122" i="12"/>
  <c r="K126" i="12" s="1"/>
  <c r="K117" i="12" s="1"/>
  <c r="K136" i="12" s="1"/>
  <c r="K182" i="12" s="1"/>
  <c r="O76" i="12"/>
  <c r="O80" i="12" s="1"/>
  <c r="O71" i="12" s="1"/>
  <c r="O90" i="12" s="1"/>
  <c r="E76" i="20"/>
  <c r="E80" i="20" s="1"/>
  <c r="I76" i="20"/>
  <c r="I122" i="20" s="1"/>
  <c r="I126" i="20" s="1"/>
  <c r="I103" i="28"/>
  <c r="I113" i="46" s="1"/>
  <c r="J48" i="12"/>
  <c r="J67" i="12" s="1"/>
  <c r="J178" i="12" s="1"/>
  <c r="J34" i="12"/>
  <c r="J25" i="12" s="1"/>
  <c r="J44" i="12" s="1"/>
  <c r="J177" i="12" s="1"/>
  <c r="G34" i="12"/>
  <c r="G25" i="12" s="1"/>
  <c r="G44" i="12" s="1"/>
  <c r="G177" i="12" s="1"/>
  <c r="N9" i="28"/>
  <c r="N13" i="20"/>
  <c r="F9" i="28"/>
  <c r="F13" i="20"/>
  <c r="L99" i="28"/>
  <c r="L109" i="46" s="1"/>
  <c r="L103" i="20"/>
  <c r="J13" i="20"/>
  <c r="J9" i="28"/>
  <c r="K40" i="46"/>
  <c r="K76" i="28"/>
  <c r="K34" i="28"/>
  <c r="P13" i="12"/>
  <c r="Q13" i="12" s="1"/>
  <c r="E99" i="28"/>
  <c r="E109" i="46" s="1"/>
  <c r="E103" i="20"/>
  <c r="F103" i="12"/>
  <c r="F94" i="12" s="1"/>
  <c r="F113" i="12" s="1"/>
  <c r="F181" i="12" s="1"/>
  <c r="D25" i="12"/>
  <c r="J103" i="12"/>
  <c r="J94" i="12" s="1"/>
  <c r="J113" i="12" s="1"/>
  <c r="J181" i="12" s="1"/>
  <c r="G13" i="20"/>
  <c r="G9" i="28"/>
  <c r="L9" i="46"/>
  <c r="L13" i="28"/>
  <c r="H30" i="28"/>
  <c r="H34" i="20"/>
  <c r="K13" i="28"/>
  <c r="K9" i="46"/>
  <c r="E40" i="46"/>
  <c r="E34" i="28"/>
  <c r="M34" i="12"/>
  <c r="M25" i="12" s="1"/>
  <c r="M44" i="12" s="1"/>
  <c r="M177" i="12" s="1"/>
  <c r="L40" i="46"/>
  <c r="L34" i="28"/>
  <c r="L76" i="28"/>
  <c r="H99" i="28"/>
  <c r="H109" i="46" s="1"/>
  <c r="H103" i="20"/>
  <c r="N34" i="12"/>
  <c r="N25" i="12" s="1"/>
  <c r="N44" i="12" s="1"/>
  <c r="N177" i="12" s="1"/>
  <c r="N48" i="12"/>
  <c r="N67" i="12" s="1"/>
  <c r="N178" i="12" s="1"/>
  <c r="F34" i="12"/>
  <c r="F25" i="12" s="1"/>
  <c r="F44" i="12" s="1"/>
  <c r="F177" i="12" s="1"/>
  <c r="O103" i="20"/>
  <c r="M103" i="12"/>
  <c r="M94" i="12" s="1"/>
  <c r="M113" i="12" s="1"/>
  <c r="M181" i="12" s="1"/>
  <c r="O34" i="20"/>
  <c r="G103" i="12"/>
  <c r="G94" i="12" s="1"/>
  <c r="G113" i="12" s="1"/>
  <c r="G181" i="12" s="1"/>
  <c r="L186" i="12"/>
  <c r="H13" i="28"/>
  <c r="H9" i="46"/>
  <c r="P4" i="12"/>
  <c r="Q4" i="12" s="1"/>
  <c r="N103" i="12"/>
  <c r="N94" i="12" s="1"/>
  <c r="N113" i="12" s="1"/>
  <c r="N181" i="12" s="1"/>
  <c r="E13" i="28"/>
  <c r="E9" i="46"/>
  <c r="E122" i="12"/>
  <c r="E126" i="12" s="1"/>
  <c r="E117" i="12" s="1"/>
  <c r="E136" i="12" s="1"/>
  <c r="E182" i="12" s="1"/>
  <c r="E80" i="12"/>
  <c r="E71" i="12" s="1"/>
  <c r="E90" i="12" s="1"/>
  <c r="K76" i="20"/>
  <c r="H76" i="12"/>
  <c r="K103" i="20"/>
  <c r="K99" i="28"/>
  <c r="K109" i="46" s="1"/>
  <c r="P99" i="12"/>
  <c r="Q99" i="12" s="1"/>
  <c r="M13" i="20"/>
  <c r="M9" i="28"/>
  <c r="D122" i="12" l="1"/>
  <c r="G57" i="20"/>
  <c r="G53" i="28"/>
  <c r="M57" i="20"/>
  <c r="M53" i="28"/>
  <c r="J57" i="20"/>
  <c r="J53" i="28"/>
  <c r="N57" i="20"/>
  <c r="N53" i="28"/>
  <c r="F57" i="20"/>
  <c r="F53" i="28"/>
  <c r="E180" i="12"/>
  <c r="E185" i="12" s="1"/>
  <c r="O180" i="12"/>
  <c r="O185" i="12" s="1"/>
  <c r="L180" i="12"/>
  <c r="L185" i="12" s="1"/>
  <c r="K180" i="12"/>
  <c r="K185" i="12" s="1"/>
  <c r="I40" i="46"/>
  <c r="I76" i="28"/>
  <c r="I80" i="28" s="1"/>
  <c r="I34" i="28"/>
  <c r="O122" i="12"/>
  <c r="O126" i="12" s="1"/>
  <c r="O117" i="12" s="1"/>
  <c r="O136" i="12" s="1"/>
  <c r="O182" i="12" s="1"/>
  <c r="I122" i="12"/>
  <c r="I126" i="12" s="1"/>
  <c r="I117" i="12" s="1"/>
  <c r="I136" i="12" s="1"/>
  <c r="I182" i="12" s="1"/>
  <c r="I80" i="12"/>
  <c r="I71" i="12" s="1"/>
  <c r="I90" i="12" s="1"/>
  <c r="L80" i="20"/>
  <c r="F76" i="12"/>
  <c r="F80" i="12" s="1"/>
  <c r="F71" i="12" s="1"/>
  <c r="F90" i="12" s="1"/>
  <c r="P53" i="12"/>
  <c r="Q53" i="12" s="1"/>
  <c r="N76" i="12"/>
  <c r="N80" i="12" s="1"/>
  <c r="N71" i="12" s="1"/>
  <c r="N90" i="12" s="1"/>
  <c r="E122" i="20"/>
  <c r="E126" i="20" s="1"/>
  <c r="K186" i="12"/>
  <c r="M76" i="12"/>
  <c r="M80" i="12" s="1"/>
  <c r="M71" i="12" s="1"/>
  <c r="M90" i="12" s="1"/>
  <c r="I80" i="20"/>
  <c r="O76" i="20"/>
  <c r="O122" i="20" s="1"/>
  <c r="O126" i="20" s="1"/>
  <c r="N34" i="20"/>
  <c r="N30" i="28"/>
  <c r="L80" i="28"/>
  <c r="L122" i="28"/>
  <c r="L126" i="28" s="1"/>
  <c r="L86" i="46"/>
  <c r="L132" i="46" s="1"/>
  <c r="L136" i="46" s="1"/>
  <c r="E63" i="46"/>
  <c r="E57" i="28"/>
  <c r="P103" i="12"/>
  <c r="Q103" i="12" s="1"/>
  <c r="K122" i="20"/>
  <c r="K126" i="20" s="1"/>
  <c r="K80" i="20"/>
  <c r="E13" i="46"/>
  <c r="P57" i="12"/>
  <c r="Q57" i="12" s="1"/>
  <c r="D48" i="12"/>
  <c r="D4" i="39"/>
  <c r="P12" i="39"/>
  <c r="G99" i="28"/>
  <c r="G109" i="46" s="1"/>
  <c r="G103" i="20"/>
  <c r="M34" i="20"/>
  <c r="M30" i="28"/>
  <c r="E76" i="28"/>
  <c r="K13" i="46"/>
  <c r="D44" i="12"/>
  <c r="P25" i="12"/>
  <c r="Q25" i="12" s="1"/>
  <c r="E103" i="28"/>
  <c r="E113" i="46" s="1"/>
  <c r="J9" i="46"/>
  <c r="J13" i="28"/>
  <c r="D126" i="12"/>
  <c r="D117" i="12" s="1"/>
  <c r="D136" i="12" s="1"/>
  <c r="D182" i="12" s="1"/>
  <c r="F9" i="46"/>
  <c r="F13" i="28"/>
  <c r="J30" i="28"/>
  <c r="J34" i="20"/>
  <c r="I63" i="46"/>
  <c r="I57" i="28"/>
  <c r="N99" i="28"/>
  <c r="N109" i="46" s="1"/>
  <c r="N103" i="20"/>
  <c r="F34" i="20"/>
  <c r="F30" i="28"/>
  <c r="H103" i="28"/>
  <c r="H113" i="46" s="1"/>
  <c r="L44" i="46"/>
  <c r="E44" i="46"/>
  <c r="L13" i="46"/>
  <c r="P34" i="12"/>
  <c r="Q34" i="12" s="1"/>
  <c r="K44" i="46"/>
  <c r="G34" i="20"/>
  <c r="G30" i="28"/>
  <c r="J76" i="12"/>
  <c r="H80" i="12"/>
  <c r="H71" i="12" s="1"/>
  <c r="H90" i="12" s="1"/>
  <c r="H122" i="12"/>
  <c r="H126" i="12" s="1"/>
  <c r="H117" i="12" s="1"/>
  <c r="H136" i="12" s="1"/>
  <c r="H182" i="12" s="1"/>
  <c r="M99" i="28"/>
  <c r="M109" i="46" s="1"/>
  <c r="M103" i="20"/>
  <c r="H40" i="46"/>
  <c r="H34" i="28"/>
  <c r="H76" i="28"/>
  <c r="L63" i="46"/>
  <c r="L57" i="28"/>
  <c r="J99" i="28"/>
  <c r="J109" i="46" s="1"/>
  <c r="J103" i="20"/>
  <c r="K86" i="46"/>
  <c r="K132" i="46" s="1"/>
  <c r="K136" i="46" s="1"/>
  <c r="K80" i="28"/>
  <c r="K122" i="28"/>
  <c r="K126" i="28" s="1"/>
  <c r="M9" i="46"/>
  <c r="M13" i="28"/>
  <c r="K103" i="28"/>
  <c r="K113" i="46" s="1"/>
  <c r="E186" i="12"/>
  <c r="H13" i="46"/>
  <c r="H76" i="20"/>
  <c r="G9" i="46"/>
  <c r="G13" i="28"/>
  <c r="F103" i="20"/>
  <c r="F99" i="28"/>
  <c r="F109" i="46" s="1"/>
  <c r="K63" i="46"/>
  <c r="K57" i="28"/>
  <c r="L103" i="28"/>
  <c r="L113" i="46" s="1"/>
  <c r="D71" i="12"/>
  <c r="N9" i="46"/>
  <c r="N13" i="28"/>
  <c r="G76" i="12"/>
  <c r="E187" i="12" l="1"/>
  <c r="E183" i="12"/>
  <c r="M57" i="28"/>
  <c r="L187" i="12"/>
  <c r="O183" i="12"/>
  <c r="Q12" i="39"/>
  <c r="K183" i="12"/>
  <c r="K187" i="12"/>
  <c r="L183" i="12"/>
  <c r="H180" i="12"/>
  <c r="H185" i="12" s="1"/>
  <c r="M180" i="12"/>
  <c r="M185" i="12" s="1"/>
  <c r="N180" i="12"/>
  <c r="N185" i="12" s="1"/>
  <c r="I180" i="12"/>
  <c r="I185" i="12" s="1"/>
  <c r="F180" i="12"/>
  <c r="F185" i="12" s="1"/>
  <c r="I122" i="28"/>
  <c r="I126" i="28" s="1"/>
  <c r="I44" i="46"/>
  <c r="I86" i="46"/>
  <c r="I132" i="46" s="1"/>
  <c r="I136" i="46" s="1"/>
  <c r="O186" i="12"/>
  <c r="O187" i="12" s="1"/>
  <c r="I186" i="12"/>
  <c r="F122" i="12"/>
  <c r="F126" i="12" s="1"/>
  <c r="F117" i="12" s="1"/>
  <c r="F136" i="12" s="1"/>
  <c r="F182" i="12" s="1"/>
  <c r="M122" i="12"/>
  <c r="M126" i="12" s="1"/>
  <c r="M117" i="12" s="1"/>
  <c r="M136" i="12" s="1"/>
  <c r="M182" i="12" s="1"/>
  <c r="N122" i="12"/>
  <c r="N126" i="12" s="1"/>
  <c r="N117" i="12" s="1"/>
  <c r="N136" i="12" s="1"/>
  <c r="N182" i="12" s="1"/>
  <c r="N186" i="12" s="1"/>
  <c r="M76" i="20"/>
  <c r="M80" i="20" s="1"/>
  <c r="O80" i="20"/>
  <c r="J76" i="20"/>
  <c r="J122" i="20" s="1"/>
  <c r="J126" i="20" s="1"/>
  <c r="F76" i="28"/>
  <c r="F34" i="28"/>
  <c r="F40" i="46"/>
  <c r="G103" i="28"/>
  <c r="G113" i="46" s="1"/>
  <c r="P48" i="12"/>
  <c r="Q48" i="12" s="1"/>
  <c r="D67" i="12"/>
  <c r="L90" i="46"/>
  <c r="J80" i="12"/>
  <c r="J71" i="12" s="1"/>
  <c r="J90" i="12" s="1"/>
  <c r="J122" i="12"/>
  <c r="J126" i="12" s="1"/>
  <c r="J117" i="12" s="1"/>
  <c r="J136" i="12" s="1"/>
  <c r="J182" i="12" s="1"/>
  <c r="G76" i="20"/>
  <c r="M40" i="46"/>
  <c r="M34" i="28"/>
  <c r="N76" i="20"/>
  <c r="F103" i="28"/>
  <c r="F113" i="46" s="1"/>
  <c r="M13" i="46"/>
  <c r="H63" i="46"/>
  <c r="H57" i="28"/>
  <c r="G40" i="46"/>
  <c r="G76" i="28"/>
  <c r="G34" i="28"/>
  <c r="F76" i="20"/>
  <c r="J40" i="46"/>
  <c r="J76" i="28"/>
  <c r="J34" i="28"/>
  <c r="D186" i="12"/>
  <c r="P94" i="12"/>
  <c r="Q94" i="12" s="1"/>
  <c r="N40" i="46"/>
  <c r="N34" i="28"/>
  <c r="N76" i="28"/>
  <c r="F13" i="46"/>
  <c r="J13" i="46"/>
  <c r="D177" i="12"/>
  <c r="P44" i="12"/>
  <c r="Q44" i="12" s="1"/>
  <c r="E67" i="46"/>
  <c r="D90" i="12"/>
  <c r="D180" i="12" s="1"/>
  <c r="K67" i="46"/>
  <c r="H122" i="20"/>
  <c r="H126" i="20" s="1"/>
  <c r="H80" i="20"/>
  <c r="K90" i="46"/>
  <c r="L67" i="46"/>
  <c r="H80" i="28"/>
  <c r="H86" i="46"/>
  <c r="H132" i="46" s="1"/>
  <c r="H136" i="46" s="1"/>
  <c r="H122" i="28"/>
  <c r="H126" i="28" s="1"/>
  <c r="G122" i="12"/>
  <c r="G126" i="12" s="1"/>
  <c r="G117" i="12" s="1"/>
  <c r="G136" i="12" s="1"/>
  <c r="G182" i="12" s="1"/>
  <c r="G80" i="12"/>
  <c r="G71" i="12" s="1"/>
  <c r="G90" i="12" s="1"/>
  <c r="N13" i="46"/>
  <c r="G13" i="46"/>
  <c r="J103" i="28"/>
  <c r="J113" i="46" s="1"/>
  <c r="I90" i="46"/>
  <c r="H44" i="46"/>
  <c r="M103" i="28"/>
  <c r="M113" i="46" s="1"/>
  <c r="H186" i="12"/>
  <c r="N103" i="28"/>
  <c r="N113" i="46" s="1"/>
  <c r="I67" i="46"/>
  <c r="E86" i="46"/>
  <c r="E132" i="46" s="1"/>
  <c r="E136" i="46" s="1"/>
  <c r="E80" i="28"/>
  <c r="E122" i="28"/>
  <c r="E126" i="28" s="1"/>
  <c r="P76" i="12"/>
  <c r="Q76" i="12" s="1"/>
  <c r="M183" i="12" l="1"/>
  <c r="N187" i="12"/>
  <c r="I187" i="12"/>
  <c r="F183" i="12"/>
  <c r="H183" i="12"/>
  <c r="I183" i="12"/>
  <c r="H187" i="12"/>
  <c r="J180" i="12"/>
  <c r="J185" i="12" s="1"/>
  <c r="G180" i="12"/>
  <c r="G185" i="12" s="1"/>
  <c r="F186" i="12"/>
  <c r="F187" i="12" s="1"/>
  <c r="N183" i="12"/>
  <c r="M186" i="12"/>
  <c r="M187" i="12" s="1"/>
  <c r="P122" i="12"/>
  <c r="Q122" i="12" s="1"/>
  <c r="M122" i="20"/>
  <c r="M126" i="20" s="1"/>
  <c r="J80" i="20"/>
  <c r="N80" i="28"/>
  <c r="N86" i="46"/>
  <c r="N132" i="46" s="1"/>
  <c r="N136" i="46" s="1"/>
  <c r="N122" i="28"/>
  <c r="N126" i="28" s="1"/>
  <c r="J86" i="46"/>
  <c r="J132" i="46" s="1"/>
  <c r="J136" i="46" s="1"/>
  <c r="J122" i="28"/>
  <c r="J126" i="28" s="1"/>
  <c r="J80" i="28"/>
  <c r="N44" i="46"/>
  <c r="P113" i="12"/>
  <c r="Q113" i="12" s="1"/>
  <c r="F44" i="46"/>
  <c r="G63" i="46"/>
  <c r="G57" i="28"/>
  <c r="M44" i="46"/>
  <c r="D178" i="12"/>
  <c r="P67" i="12"/>
  <c r="Q67" i="12" s="1"/>
  <c r="F122" i="28"/>
  <c r="F126" i="28" s="1"/>
  <c r="F80" i="28"/>
  <c r="F86" i="46"/>
  <c r="F132" i="46" s="1"/>
  <c r="F136" i="46" s="1"/>
  <c r="E90" i="46"/>
  <c r="H90" i="46"/>
  <c r="G122" i="20"/>
  <c r="G126" i="20" s="1"/>
  <c r="G80" i="20"/>
  <c r="F63" i="46"/>
  <c r="F57" i="28"/>
  <c r="P90" i="12"/>
  <c r="Q90" i="12" s="1"/>
  <c r="D187" i="12"/>
  <c r="J63" i="46"/>
  <c r="J57" i="28"/>
  <c r="G122" i="28"/>
  <c r="G126" i="28" s="1"/>
  <c r="G86" i="46"/>
  <c r="G132" i="46" s="1"/>
  <c r="G136" i="46" s="1"/>
  <c r="G80" i="28"/>
  <c r="M63" i="46"/>
  <c r="P71" i="12"/>
  <c r="Q71" i="12" s="1"/>
  <c r="P177" i="12"/>
  <c r="Q177" i="12" s="1"/>
  <c r="G186" i="12"/>
  <c r="N63" i="46"/>
  <c r="N57" i="28"/>
  <c r="J44" i="46"/>
  <c r="F80" i="20"/>
  <c r="F122" i="20"/>
  <c r="G44" i="46"/>
  <c r="H67" i="46"/>
  <c r="P80" i="12"/>
  <c r="Q80" i="12" s="1"/>
  <c r="N122" i="20"/>
  <c r="N126" i="20" s="1"/>
  <c r="N80" i="20"/>
  <c r="M76" i="28"/>
  <c r="J186" i="12"/>
  <c r="J183" i="12" l="1"/>
  <c r="J187" i="12"/>
  <c r="G183" i="12"/>
  <c r="G187" i="12"/>
  <c r="P180" i="12"/>
  <c r="Q180" i="12" s="1"/>
  <c r="P126" i="12"/>
  <c r="Q126" i="12" s="1"/>
  <c r="F126" i="20"/>
  <c r="M67" i="46"/>
  <c r="J67" i="46"/>
  <c r="G67" i="46"/>
  <c r="P181" i="12"/>
  <c r="Q181" i="12" s="1"/>
  <c r="J90" i="46"/>
  <c r="N67" i="46"/>
  <c r="G90" i="46"/>
  <c r="D185" i="12"/>
  <c r="D183" i="12"/>
  <c r="F67" i="46"/>
  <c r="P178" i="12"/>
  <c r="Q178" i="12" s="1"/>
  <c r="N90" i="46"/>
  <c r="F90" i="46"/>
  <c r="M122" i="28"/>
  <c r="M126" i="28" s="1"/>
  <c r="M80" i="28"/>
  <c r="M86" i="46"/>
  <c r="M132" i="46" s="1"/>
  <c r="M136" i="46" s="1"/>
  <c r="P117" i="12" l="1"/>
  <c r="Q117" i="12" s="1"/>
  <c r="P185" i="12"/>
  <c r="Q185" i="12" s="1"/>
  <c r="M90" i="46"/>
  <c r="P136" i="12" l="1"/>
  <c r="Q136" i="12" s="1"/>
  <c r="P182" i="12" l="1"/>
  <c r="Q182" i="12" s="1"/>
  <c r="P183" i="12" l="1"/>
  <c r="Q183" i="12" s="1"/>
  <c r="P186" i="12"/>
  <c r="Q186" i="12" s="1"/>
  <c r="P187" i="12" l="1"/>
  <c r="Q187" i="12" s="1"/>
  <c r="Q46" i="46" l="1"/>
  <c r="C16" i="28"/>
  <c r="C106" i="20" l="1"/>
  <c r="C106" i="28" s="1"/>
  <c r="C116" i="46" s="1"/>
  <c r="Q116" i="46" s="1"/>
  <c r="Q16" i="28"/>
  <c r="C16" i="46"/>
  <c r="Q16" i="20"/>
  <c r="Q16" i="46" l="1"/>
  <c r="Q106" i="20"/>
  <c r="Q106" i="28"/>
  <c r="Q83" i="20" l="1"/>
  <c r="Q37" i="28"/>
  <c r="Q47" i="46"/>
  <c r="Q93" i="46" l="1"/>
  <c r="C15" i="28"/>
  <c r="C36" i="20" l="1"/>
  <c r="C36" i="28" s="1"/>
  <c r="C105" i="20"/>
  <c r="C14" i="28"/>
  <c r="Q14" i="28" s="1"/>
  <c r="C15" i="46"/>
  <c r="C14" i="20"/>
  <c r="Q14" i="20" s="1"/>
  <c r="C14" i="46" l="1"/>
  <c r="Q14" i="46" s="1"/>
  <c r="C105" i="28"/>
  <c r="C115" i="46" s="1"/>
  <c r="C104" i="20"/>
  <c r="C82" i="20"/>
  <c r="C128" i="20" s="1"/>
  <c r="C46" i="46"/>
  <c r="C82" i="28"/>
  <c r="Q35" i="20" l="1"/>
  <c r="C128" i="28"/>
  <c r="Q104" i="20"/>
  <c r="C113" i="20"/>
  <c r="C104" i="28"/>
  <c r="C92" i="46"/>
  <c r="C138" i="46" s="1"/>
  <c r="Q35" i="28"/>
  <c r="C114" i="46" l="1"/>
  <c r="C123" i="46" s="1"/>
  <c r="C195" i="46" s="1"/>
  <c r="C113" i="28"/>
  <c r="Q104" i="28"/>
  <c r="Q81" i="20"/>
  <c r="C181" i="20"/>
  <c r="Q81" i="28"/>
  <c r="Q45" i="46"/>
  <c r="Q127" i="20" l="1"/>
  <c r="C181" i="28"/>
  <c r="Q114" i="46"/>
  <c r="Q91" i="46"/>
  <c r="Q127" i="28"/>
  <c r="C185" i="46" l="1"/>
  <c r="Q137" i="46"/>
  <c r="F79" i="4" l="1"/>
  <c r="G79" i="4"/>
  <c r="D73" i="4"/>
  <c r="D119" i="4" s="1"/>
  <c r="E73" i="4"/>
  <c r="F73" i="4"/>
  <c r="G73" i="4"/>
  <c r="H73" i="4"/>
  <c r="I73" i="4"/>
  <c r="J73" i="4"/>
  <c r="K73" i="4"/>
  <c r="L73" i="4"/>
  <c r="L119" i="4" s="1"/>
  <c r="M73" i="4"/>
  <c r="N73" i="4"/>
  <c r="O73" i="4"/>
  <c r="D77" i="4"/>
  <c r="D123" i="4" s="1"/>
  <c r="E77" i="4"/>
  <c r="F77" i="4"/>
  <c r="G77" i="4"/>
  <c r="G123" i="4" s="1"/>
  <c r="H77" i="4"/>
  <c r="H123" i="4" s="1"/>
  <c r="I77" i="4"/>
  <c r="J77" i="4"/>
  <c r="J123" i="4" s="1"/>
  <c r="K77" i="4"/>
  <c r="K123" i="4" s="1"/>
  <c r="L77" i="4"/>
  <c r="L123" i="4" s="1"/>
  <c r="M77" i="4"/>
  <c r="M123" i="4" s="1"/>
  <c r="N77" i="4"/>
  <c r="N123" i="4" s="1"/>
  <c r="O77" i="4"/>
  <c r="O123" i="4" s="1"/>
  <c r="D79" i="4"/>
  <c r="E79" i="4"/>
  <c r="H79" i="4"/>
  <c r="I79" i="4"/>
  <c r="J79" i="4"/>
  <c r="J125" i="4" s="1"/>
  <c r="K79" i="4"/>
  <c r="K125" i="4" s="1"/>
  <c r="L79" i="4"/>
  <c r="M79" i="4"/>
  <c r="N79" i="4"/>
  <c r="N125" i="4" s="1"/>
  <c r="O79" i="4"/>
  <c r="O125" i="4" s="1"/>
  <c r="E119" i="4"/>
  <c r="I119" i="4"/>
  <c r="E123" i="4"/>
  <c r="I123" i="4"/>
  <c r="G125" i="4"/>
  <c r="G80" i="4" l="1"/>
  <c r="L80" i="4"/>
  <c r="H80" i="4"/>
  <c r="M119" i="4"/>
  <c r="K80" i="4"/>
  <c r="H119" i="4"/>
  <c r="N80" i="4"/>
  <c r="J80" i="4"/>
  <c r="O80" i="4"/>
  <c r="N126" i="4"/>
  <c r="J126" i="4"/>
  <c r="P77" i="4"/>
  <c r="F80" i="4"/>
  <c r="F125" i="4"/>
  <c r="P79" i="4"/>
  <c r="E80" i="4"/>
  <c r="E125" i="4"/>
  <c r="E126" i="4" s="1"/>
  <c r="O119" i="4"/>
  <c r="K119" i="4"/>
  <c r="G119" i="4"/>
  <c r="M80" i="4"/>
  <c r="M125" i="4"/>
  <c r="M126" i="4" s="1"/>
  <c r="I80" i="4"/>
  <c r="I125" i="4"/>
  <c r="I126" i="4" s="1"/>
  <c r="O126" i="4"/>
  <c r="K126" i="4"/>
  <c r="G126" i="4"/>
  <c r="P73" i="4"/>
  <c r="L125" i="4"/>
  <c r="L126" i="4" s="1"/>
  <c r="H125" i="4"/>
  <c r="H126" i="4" s="1"/>
  <c r="D125" i="4"/>
  <c r="F123" i="4"/>
  <c r="N119" i="4"/>
  <c r="J119" i="4"/>
  <c r="F119" i="4"/>
  <c r="P56" i="4"/>
  <c r="R56" i="20" s="1"/>
  <c r="P54" i="4"/>
  <c r="R54" i="20" s="1"/>
  <c r="P50" i="4"/>
  <c r="R50" i="20" s="1"/>
  <c r="Q73" i="4" l="1"/>
  <c r="R73" i="20"/>
  <c r="Q77" i="4"/>
  <c r="R77" i="20"/>
  <c r="Q79" i="4"/>
  <c r="R79" i="20"/>
  <c r="Q50" i="4"/>
  <c r="Q54" i="4"/>
  <c r="Q56" i="4"/>
  <c r="F126" i="4"/>
  <c r="P125" i="4"/>
  <c r="P123" i="4"/>
  <c r="R123" i="20" s="1"/>
  <c r="P119" i="4"/>
  <c r="Q125" i="4" l="1"/>
  <c r="R125" i="20"/>
  <c r="Q119" i="4"/>
  <c r="R119" i="20"/>
  <c r="Q123" i="4"/>
  <c r="O6" i="70" l="1"/>
  <c r="N5" i="70"/>
  <c r="O9" i="25" s="1"/>
  <c r="O99" i="25" l="1"/>
  <c r="O30" i="25"/>
  <c r="O13" i="25"/>
  <c r="P9" i="25"/>
  <c r="Q9" i="25" s="1"/>
  <c r="O9" i="28"/>
  <c r="P5" i="70"/>
  <c r="O5" i="70"/>
  <c r="P30" i="25" l="1"/>
  <c r="Q30" i="25" s="1"/>
  <c r="O53" i="25"/>
  <c r="O34" i="25"/>
  <c r="O30" i="28"/>
  <c r="O103" i="25"/>
  <c r="P99" i="25"/>
  <c r="O99" i="28"/>
  <c r="O13" i="28"/>
  <c r="O9" i="46"/>
  <c r="O4" i="25"/>
  <c r="P13" i="25"/>
  <c r="Q13" i="25" s="1"/>
  <c r="O76" i="25" l="1"/>
  <c r="O80" i="25" s="1"/>
  <c r="O53" i="28"/>
  <c r="P4" i="25"/>
  <c r="Q4" i="25" s="1"/>
  <c r="O8" i="2"/>
  <c r="P103" i="25"/>
  <c r="Q99" i="25"/>
  <c r="P34" i="25"/>
  <c r="Q34" i="25" s="1"/>
  <c r="O25" i="25"/>
  <c r="O103" i="28"/>
  <c r="O113" i="46" s="1"/>
  <c r="O94" i="25"/>
  <c r="O57" i="25"/>
  <c r="P53" i="25"/>
  <c r="O109" i="46"/>
  <c r="O13" i="46"/>
  <c r="O40" i="46"/>
  <c r="O34" i="28"/>
  <c r="P76" i="25" l="1"/>
  <c r="Q76" i="25" s="1"/>
  <c r="O122" i="25"/>
  <c r="P122" i="25" s="1"/>
  <c r="O76" i="28"/>
  <c r="O86" i="46" s="1"/>
  <c r="Q103" i="25"/>
  <c r="P94" i="25"/>
  <c r="O44" i="46"/>
  <c r="O71" i="25"/>
  <c r="P80" i="25"/>
  <c r="Q80" i="25" s="1"/>
  <c r="Q53" i="25"/>
  <c r="P25" i="25"/>
  <c r="Q25" i="25" s="1"/>
  <c r="O44" i="25"/>
  <c r="P8" i="2"/>
  <c r="Q8" i="2" s="1"/>
  <c r="O30" i="46"/>
  <c r="O113" i="25"/>
  <c r="O181" i="25" s="1"/>
  <c r="O63" i="46"/>
  <c r="O57" i="28"/>
  <c r="O48" i="25"/>
  <c r="P57" i="25"/>
  <c r="O80" i="28" l="1"/>
  <c r="O90" i="46" s="1"/>
  <c r="O126" i="25"/>
  <c r="O117" i="25" s="1"/>
  <c r="O136" i="25" s="1"/>
  <c r="O182" i="25" s="1"/>
  <c r="O186" i="25" s="1"/>
  <c r="O122" i="28"/>
  <c r="O126" i="28" s="1"/>
  <c r="Q57" i="25"/>
  <c r="O67" i="46"/>
  <c r="Q94" i="25"/>
  <c r="P113" i="25"/>
  <c r="P71" i="25"/>
  <c r="Q71" i="25" s="1"/>
  <c r="O90" i="25"/>
  <c r="P30" i="46"/>
  <c r="P48" i="25"/>
  <c r="O67" i="25"/>
  <c r="O132" i="46"/>
  <c r="P44" i="25"/>
  <c r="O177" i="25"/>
  <c r="Q122" i="25"/>
  <c r="P126" i="25"/>
  <c r="O136" i="46" l="1"/>
  <c r="P181" i="25"/>
  <c r="Q181" i="25" s="1"/>
  <c r="Q113" i="25"/>
  <c r="O178" i="25"/>
  <c r="P67" i="25"/>
  <c r="Q30" i="46"/>
  <c r="O180" i="25"/>
  <c r="O187" i="25" s="1"/>
  <c r="P90" i="25"/>
  <c r="P180" i="25" s="1"/>
  <c r="Q126" i="25"/>
  <c r="P117" i="25"/>
  <c r="Q44" i="25"/>
  <c r="P177" i="25"/>
  <c r="Q177" i="25" s="1"/>
  <c r="Q48" i="25"/>
  <c r="P178" i="25" l="1"/>
  <c r="Q178" i="25" s="1"/>
  <c r="Q67" i="25"/>
  <c r="Q90" i="25"/>
  <c r="Q117" i="25"/>
  <c r="P136" i="25"/>
  <c r="O185" i="25"/>
  <c r="O183" i="25"/>
  <c r="Q136" i="25" l="1"/>
  <c r="P182" i="25"/>
  <c r="Q180" i="25"/>
  <c r="P185" i="25"/>
  <c r="Q185" i="25" s="1"/>
  <c r="P183" i="25" l="1"/>
  <c r="Q183" i="25" s="1"/>
  <c r="Q182" i="25"/>
  <c r="P186" i="25"/>
  <c r="P187" i="25" l="1"/>
  <c r="Q187" i="25" s="1"/>
  <c r="Q186" i="25"/>
  <c r="C117" i="10" l="1"/>
  <c r="E117" i="10"/>
  <c r="E136" i="10" s="1"/>
  <c r="E182" i="10" s="1"/>
  <c r="O117" i="10"/>
  <c r="O136" i="10" s="1"/>
  <c r="O182" i="10" s="1"/>
  <c r="K117" i="10"/>
  <c r="K136" i="10" s="1"/>
  <c r="K182" i="10" s="1"/>
  <c r="G117" i="10"/>
  <c r="G136" i="10" s="1"/>
  <c r="G182" i="10" s="1"/>
  <c r="N117" i="10"/>
  <c r="N136" i="10" s="1"/>
  <c r="N182" i="10" s="1"/>
  <c r="J117" i="10"/>
  <c r="J136" i="10" s="1"/>
  <c r="J182" i="10" s="1"/>
  <c r="F117" i="10"/>
  <c r="F136" i="10" s="1"/>
  <c r="F182" i="10" s="1"/>
  <c r="B117" i="10"/>
  <c r="B136" i="10" s="1"/>
  <c r="B182" i="10" s="1"/>
  <c r="M117" i="10"/>
  <c r="M136" i="10" s="1"/>
  <c r="M182" i="10" s="1"/>
  <c r="I117" i="10"/>
  <c r="I136" i="10" s="1"/>
  <c r="I182" i="10" s="1"/>
  <c r="L117" i="10"/>
  <c r="L136" i="10" s="1"/>
  <c r="L182" i="10" s="1"/>
  <c r="H117" i="10"/>
  <c r="H136" i="10" s="1"/>
  <c r="H182" i="10" s="1"/>
  <c r="F183" i="10" l="1"/>
  <c r="F186" i="10"/>
  <c r="F187" i="10" s="1"/>
  <c r="I186" i="10"/>
  <c r="I187" i="10" s="1"/>
  <c r="I183" i="10"/>
  <c r="N183" i="10"/>
  <c r="N186" i="10"/>
  <c r="N187" i="10" s="1"/>
  <c r="E186" i="10"/>
  <c r="E187" i="10" s="1"/>
  <c r="E183" i="10"/>
  <c r="H186" i="10"/>
  <c r="H187" i="10" s="1"/>
  <c r="H183" i="10"/>
  <c r="G186" i="10"/>
  <c r="G187" i="10" s="1"/>
  <c r="G183" i="10"/>
  <c r="M186" i="10"/>
  <c r="M187" i="10" s="1"/>
  <c r="M183" i="10"/>
  <c r="J183" i="10"/>
  <c r="J186" i="10"/>
  <c r="J187" i="10" s="1"/>
  <c r="K186" i="10"/>
  <c r="K187" i="10" s="1"/>
  <c r="K183" i="10"/>
  <c r="L186" i="10"/>
  <c r="L187" i="10" s="1"/>
  <c r="L183" i="10"/>
  <c r="B183" i="10"/>
  <c r="B186" i="10"/>
  <c r="B187" i="10" s="1"/>
  <c r="O186" i="10"/>
  <c r="O187" i="10" s="1"/>
  <c r="O183" i="10"/>
  <c r="O117" i="5" l="1"/>
  <c r="O136" i="5" s="1"/>
  <c r="O182" i="5" s="1"/>
  <c r="K117" i="5"/>
  <c r="K136" i="5" s="1"/>
  <c r="K182" i="5" s="1"/>
  <c r="G117" i="5"/>
  <c r="G136" i="5" s="1"/>
  <c r="G182" i="5" s="1"/>
  <c r="F117" i="5"/>
  <c r="F136" i="5" s="1"/>
  <c r="F182" i="5" s="1"/>
  <c r="M117" i="5"/>
  <c r="M136" i="5" s="1"/>
  <c r="M182" i="5" s="1"/>
  <c r="H117" i="5"/>
  <c r="H136" i="5" s="1"/>
  <c r="H182" i="5" s="1"/>
  <c r="I117" i="5"/>
  <c r="I136" i="5" s="1"/>
  <c r="I182" i="5" s="1"/>
  <c r="L117" i="5"/>
  <c r="L136" i="5" s="1"/>
  <c r="L182" i="5" s="1"/>
  <c r="J117" i="5"/>
  <c r="J136" i="5" s="1"/>
  <c r="J182" i="5" s="1"/>
  <c r="C117" i="5"/>
  <c r="C136" i="5" s="1"/>
  <c r="C182" i="5" s="1"/>
  <c r="N117" i="5"/>
  <c r="N136" i="5" s="1"/>
  <c r="N182" i="5" s="1"/>
  <c r="B117" i="5"/>
  <c r="B136" i="5" s="1"/>
  <c r="B182" i="5" s="1"/>
  <c r="E117" i="5"/>
  <c r="E136" i="5" s="1"/>
  <c r="E182" i="5" s="1"/>
  <c r="F183" i="5" l="1"/>
  <c r="F186" i="5"/>
  <c r="F187" i="5" s="1"/>
  <c r="C186" i="5"/>
  <c r="C187" i="5" s="1"/>
  <c r="C183" i="5"/>
  <c r="J183" i="5"/>
  <c r="J186" i="5"/>
  <c r="J187" i="5" s="1"/>
  <c r="I186" i="5"/>
  <c r="I187" i="5" s="1"/>
  <c r="I183" i="5"/>
  <c r="G186" i="5"/>
  <c r="G187" i="5" s="1"/>
  <c r="G183" i="5"/>
  <c r="N183" i="5"/>
  <c r="N186" i="5"/>
  <c r="N187" i="5" s="1"/>
  <c r="E186" i="5"/>
  <c r="E187" i="5" s="1"/>
  <c r="E183" i="5"/>
  <c r="H186" i="5"/>
  <c r="H187" i="5" s="1"/>
  <c r="H183" i="5"/>
  <c r="K186" i="5"/>
  <c r="K187" i="5" s="1"/>
  <c r="K183" i="5"/>
  <c r="B183" i="5"/>
  <c r="B186" i="5"/>
  <c r="B187" i="5" s="1"/>
  <c r="L186" i="5"/>
  <c r="L187" i="5" s="1"/>
  <c r="L183" i="5"/>
  <c r="M186" i="5"/>
  <c r="M187" i="5" s="1"/>
  <c r="M183" i="5"/>
  <c r="O186" i="5"/>
  <c r="O187" i="5" s="1"/>
  <c r="O183" i="5"/>
  <c r="D5" i="4" l="1"/>
  <c r="D26" i="4" s="1"/>
  <c r="D11" i="4"/>
  <c r="O4" i="80"/>
  <c r="D95" i="4" l="1"/>
  <c r="D97" i="4" s="1"/>
  <c r="D7" i="4"/>
  <c r="D13" i="4"/>
  <c r="P13" i="4" s="1"/>
  <c r="Q13" i="4" s="1"/>
  <c r="D32" i="4"/>
  <c r="P11" i="4"/>
  <c r="Q11" i="4" s="1"/>
  <c r="D101" i="4"/>
  <c r="D28" i="4"/>
  <c r="D49" i="4"/>
  <c r="D72" i="4" s="1"/>
  <c r="D4" i="4" l="1"/>
  <c r="D103" i="4"/>
  <c r="D94" i="4" s="1"/>
  <c r="D113" i="4" s="1"/>
  <c r="D181" i="4" s="1"/>
  <c r="P101" i="4"/>
  <c r="D55" i="4"/>
  <c r="D78" i="4" s="1"/>
  <c r="P32" i="4"/>
  <c r="Q32" i="4" s="1"/>
  <c r="D34" i="4"/>
  <c r="P34" i="4" s="1"/>
  <c r="Q34" i="4" s="1"/>
  <c r="D51" i="4"/>
  <c r="D118" i="4"/>
  <c r="D74" i="4"/>
  <c r="D25" i="4" l="1"/>
  <c r="D44" i="4" s="1"/>
  <c r="P78" i="4"/>
  <c r="Q78" i="4" s="1"/>
  <c r="D124" i="4"/>
  <c r="D80" i="4"/>
  <c r="P80" i="4" s="1"/>
  <c r="Q80" i="4" s="1"/>
  <c r="D57" i="4"/>
  <c r="P57" i="4" s="1"/>
  <c r="P55" i="4"/>
  <c r="Q55" i="4" s="1"/>
  <c r="Q101" i="4"/>
  <c r="P103" i="4"/>
  <c r="Q103" i="4" s="1"/>
  <c r="D120" i="4"/>
  <c r="D48" i="4" l="1"/>
  <c r="D67" i="4" s="1"/>
  <c r="Q57" i="4"/>
  <c r="D71" i="4"/>
  <c r="D90" i="4" s="1"/>
  <c r="P124" i="4"/>
  <c r="D126" i="4"/>
  <c r="D117" i="4" s="1"/>
  <c r="D136" i="4" s="1"/>
  <c r="D182" i="4" s="1"/>
  <c r="D177" i="4"/>
  <c r="Q124" i="4" l="1"/>
  <c r="P126" i="4"/>
  <c r="Q126" i="4" s="1"/>
  <c r="D180" i="4"/>
  <c r="D185" i="4" s="1"/>
  <c r="D186" i="4"/>
  <c r="D178" i="4"/>
  <c r="D187" i="4" l="1"/>
  <c r="D183" i="4"/>
  <c r="E95" i="80" l="1"/>
  <c r="E92" i="80" s="1"/>
  <c r="F95" i="80"/>
  <c r="F92" i="80" s="1"/>
  <c r="G5" i="4"/>
  <c r="G95" i="4" s="1"/>
  <c r="G97" i="4" s="1"/>
  <c r="G94" i="4" s="1"/>
  <c r="G113" i="4" s="1"/>
  <c r="G181" i="4" s="1"/>
  <c r="G95" i="80"/>
  <c r="G92" i="80" s="1"/>
  <c r="H5" i="4"/>
  <c r="H26" i="4" s="1"/>
  <c r="H95" i="80"/>
  <c r="H92" i="80" s="1"/>
  <c r="I95" i="80"/>
  <c r="I92" i="80" s="1"/>
  <c r="J5" i="4"/>
  <c r="J95" i="80"/>
  <c r="J92" i="80" s="1"/>
  <c r="K95" i="80"/>
  <c r="K92" i="80" s="1"/>
  <c r="L95" i="80"/>
  <c r="L92" i="80" s="1"/>
  <c r="M5" i="4"/>
  <c r="M26" i="4" s="1"/>
  <c r="M95" i="80"/>
  <c r="M92" i="80" s="1"/>
  <c r="N95" i="80"/>
  <c r="N92" i="80" s="1"/>
  <c r="O5" i="4"/>
  <c r="O95" i="4" s="1"/>
  <c r="E5" i="4"/>
  <c r="O26" i="4" l="1"/>
  <c r="O26" i="20" s="1"/>
  <c r="O49" i="20" s="1"/>
  <c r="H28" i="4"/>
  <c r="H25" i="4" s="1"/>
  <c r="H44" i="4" s="1"/>
  <c r="H177" i="4" s="1"/>
  <c r="H49" i="4"/>
  <c r="H51" i="4" s="1"/>
  <c r="H48" i="4" s="1"/>
  <c r="H67" i="4" s="1"/>
  <c r="H178" i="4" s="1"/>
  <c r="H26" i="20"/>
  <c r="M28" i="4"/>
  <c r="M25" i="4" s="1"/>
  <c r="M44" i="4" s="1"/>
  <c r="M177" i="4" s="1"/>
  <c r="M49" i="4"/>
  <c r="M51" i="4" s="1"/>
  <c r="M48" i="4" s="1"/>
  <c r="M67" i="4" s="1"/>
  <c r="M178" i="4" s="1"/>
  <c r="M26" i="20"/>
  <c r="O97" i="4"/>
  <c r="O94" i="4" s="1"/>
  <c r="O113" i="4" s="1"/>
  <c r="O181" i="4" s="1"/>
  <c r="O95" i="20"/>
  <c r="M95" i="4"/>
  <c r="L5" i="4"/>
  <c r="J7" i="4"/>
  <c r="J4" i="4" s="1"/>
  <c r="J5" i="20"/>
  <c r="J26" i="4"/>
  <c r="E7" i="4"/>
  <c r="E5" i="20"/>
  <c r="E95" i="4"/>
  <c r="E26" i="4"/>
  <c r="N5" i="4"/>
  <c r="K5" i="4"/>
  <c r="I5" i="4"/>
  <c r="G95" i="20"/>
  <c r="F5" i="4"/>
  <c r="M7" i="4"/>
  <c r="M4" i="4" s="1"/>
  <c r="M5" i="20"/>
  <c r="H7" i="4"/>
  <c r="H4" i="4" s="1"/>
  <c r="H5" i="20"/>
  <c r="H95" i="4"/>
  <c r="O5" i="80"/>
  <c r="O2" i="80" s="1"/>
  <c r="D95" i="80"/>
  <c r="O7" i="4"/>
  <c r="O4" i="4" s="1"/>
  <c r="O5" i="20"/>
  <c r="J95" i="4"/>
  <c r="G7" i="4"/>
  <c r="G4" i="4" s="1"/>
  <c r="G5" i="20"/>
  <c r="G26" i="4"/>
  <c r="O49" i="4" l="1"/>
  <c r="O51" i="4" s="1"/>
  <c r="O48" i="4" s="1"/>
  <c r="O67" i="4" s="1"/>
  <c r="O178" i="4" s="1"/>
  <c r="O28" i="4"/>
  <c r="O25" i="4" s="1"/>
  <c r="O44" i="4" s="1"/>
  <c r="O177" i="4" s="1"/>
  <c r="P5" i="4"/>
  <c r="Q5" i="4" s="1"/>
  <c r="O28" i="20"/>
  <c r="O25" i="20" s="1"/>
  <c r="O44" i="20" s="1"/>
  <c r="O177" i="20" s="1"/>
  <c r="O26" i="28"/>
  <c r="O36" i="46" s="1"/>
  <c r="M72" i="4"/>
  <c r="M118" i="4" s="1"/>
  <c r="M120" i="4" s="1"/>
  <c r="M117" i="4" s="1"/>
  <c r="M136" i="4" s="1"/>
  <c r="M182" i="4" s="1"/>
  <c r="J97" i="4"/>
  <c r="J94" i="4" s="1"/>
  <c r="J113" i="4" s="1"/>
  <c r="J181" i="4" s="1"/>
  <c r="J95" i="20"/>
  <c r="G7" i="20"/>
  <c r="G4" i="20" s="1"/>
  <c r="G3" i="2" s="1"/>
  <c r="G5" i="28"/>
  <c r="G97" i="20"/>
  <c r="G95" i="28"/>
  <c r="G105" i="46" s="1"/>
  <c r="E21" i="81" s="1"/>
  <c r="E49" i="4"/>
  <c r="E28" i="4"/>
  <c r="E26" i="20"/>
  <c r="L5" i="20"/>
  <c r="L7" i="4"/>
  <c r="L4" i="4" s="1"/>
  <c r="L95" i="4"/>
  <c r="L26" i="4"/>
  <c r="M28" i="20"/>
  <c r="M25" i="20" s="1"/>
  <c r="M44" i="20" s="1"/>
  <c r="M49" i="20"/>
  <c r="M72" i="20" s="1"/>
  <c r="M26" i="28"/>
  <c r="H49" i="20"/>
  <c r="H72" i="20" s="1"/>
  <c r="H28" i="20"/>
  <c r="H25" i="20" s="1"/>
  <c r="H44" i="20" s="1"/>
  <c r="H26" i="28"/>
  <c r="H7" i="20"/>
  <c r="H4" i="20" s="1"/>
  <c r="H3" i="2" s="1"/>
  <c r="H5" i="28"/>
  <c r="D92" i="80"/>
  <c r="I7" i="4"/>
  <c r="I4" i="4" s="1"/>
  <c r="I5" i="20"/>
  <c r="I26" i="4"/>
  <c r="I95" i="4"/>
  <c r="E97" i="4"/>
  <c r="E95" i="20"/>
  <c r="J28" i="4"/>
  <c r="J25" i="4" s="1"/>
  <c r="J44" i="4" s="1"/>
  <c r="J177" i="4" s="1"/>
  <c r="J26" i="20"/>
  <c r="J49" i="4"/>
  <c r="J51" i="4" s="1"/>
  <c r="J48" i="4" s="1"/>
  <c r="J67" i="4" s="1"/>
  <c r="J178" i="4" s="1"/>
  <c r="M97" i="4"/>
  <c r="M94" i="4" s="1"/>
  <c r="M113" i="4" s="1"/>
  <c r="M181" i="4" s="1"/>
  <c r="M95" i="20"/>
  <c r="O51" i="20"/>
  <c r="O48" i="20" s="1"/>
  <c r="O67" i="20" s="1"/>
  <c r="O178" i="20" s="1"/>
  <c r="O49" i="28"/>
  <c r="E7" i="20"/>
  <c r="E5" i="28"/>
  <c r="J7" i="20"/>
  <c r="J4" i="20" s="1"/>
  <c r="J3" i="2" s="1"/>
  <c r="J5" i="28"/>
  <c r="O97" i="20"/>
  <c r="O95" i="28"/>
  <c r="O105" i="46" s="1"/>
  <c r="M21" i="81" s="1"/>
  <c r="H72" i="4"/>
  <c r="M5" i="28"/>
  <c r="M7" i="20"/>
  <c r="M4" i="20" s="1"/>
  <c r="M3" i="2" s="1"/>
  <c r="K7" i="4"/>
  <c r="K4" i="4" s="1"/>
  <c r="K5" i="20"/>
  <c r="K26" i="4"/>
  <c r="K95" i="4"/>
  <c r="G28" i="4"/>
  <c r="G25" i="4" s="1"/>
  <c r="G44" i="4" s="1"/>
  <c r="G177" i="4" s="1"/>
  <c r="G49" i="4"/>
  <c r="G51" i="4" s="1"/>
  <c r="G48" i="4" s="1"/>
  <c r="G67" i="4" s="1"/>
  <c r="G178" i="4" s="1"/>
  <c r="G26" i="20"/>
  <c r="O5" i="28"/>
  <c r="O7" i="20"/>
  <c r="O4" i="20" s="1"/>
  <c r="O3" i="2" s="1"/>
  <c r="H97" i="4"/>
  <c r="H94" i="4" s="1"/>
  <c r="H113" i="4" s="1"/>
  <c r="H181" i="4" s="1"/>
  <c r="H95" i="20"/>
  <c r="F7" i="4"/>
  <c r="F4" i="4" s="1"/>
  <c r="F5" i="20"/>
  <c r="F95" i="4"/>
  <c r="F26" i="4"/>
  <c r="N7" i="4"/>
  <c r="N4" i="4" s="1"/>
  <c r="N5" i="20"/>
  <c r="N95" i="4"/>
  <c r="N26" i="4"/>
  <c r="E4" i="4"/>
  <c r="O72" i="20"/>
  <c r="M74" i="4" l="1"/>
  <c r="M71" i="4" s="1"/>
  <c r="M90" i="4" s="1"/>
  <c r="M180" i="4" s="1"/>
  <c r="M185" i="4" s="1"/>
  <c r="O44" i="28"/>
  <c r="O54" i="46" s="1"/>
  <c r="O189" i="46" s="1"/>
  <c r="O72" i="28"/>
  <c r="O118" i="28" s="1"/>
  <c r="O120" i="28" s="1"/>
  <c r="O117" i="28" s="1"/>
  <c r="O136" i="28" s="1"/>
  <c r="O182" i="28" s="1"/>
  <c r="O72" i="4"/>
  <c r="O28" i="28"/>
  <c r="O25" i="28" s="1"/>
  <c r="P7" i="4"/>
  <c r="Q7" i="4" s="1"/>
  <c r="J72" i="4"/>
  <c r="M74" i="20"/>
  <c r="M71" i="20" s="1"/>
  <c r="M90" i="20" s="1"/>
  <c r="M180" i="20" s="1"/>
  <c r="M185" i="20" s="1"/>
  <c r="M118" i="20"/>
  <c r="M120" i="20" s="1"/>
  <c r="M117" i="20" s="1"/>
  <c r="M136" i="20" s="1"/>
  <c r="M182" i="20" s="1"/>
  <c r="N28" i="4"/>
  <c r="N25" i="4" s="1"/>
  <c r="N44" i="4" s="1"/>
  <c r="N177" i="4" s="1"/>
  <c r="N49" i="4"/>
  <c r="N51" i="4" s="1"/>
  <c r="N48" i="4" s="1"/>
  <c r="N67" i="4" s="1"/>
  <c r="N178" i="4" s="1"/>
  <c r="N26" i="20"/>
  <c r="F28" i="4"/>
  <c r="F25" i="4" s="1"/>
  <c r="F44" i="4" s="1"/>
  <c r="F177" i="4" s="1"/>
  <c r="F49" i="4"/>
  <c r="F51" i="4" s="1"/>
  <c r="F48" i="4" s="1"/>
  <c r="F67" i="4" s="1"/>
  <c r="F178" i="4" s="1"/>
  <c r="F26" i="20"/>
  <c r="O74" i="20"/>
  <c r="O71" i="20" s="1"/>
  <c r="O90" i="20" s="1"/>
  <c r="O180" i="20" s="1"/>
  <c r="O185" i="20" s="1"/>
  <c r="O118" i="20"/>
  <c r="O120" i="20" s="1"/>
  <c r="O117" i="20" s="1"/>
  <c r="O136" i="20" s="1"/>
  <c r="O182" i="20" s="1"/>
  <c r="N97" i="4"/>
  <c r="N94" i="4" s="1"/>
  <c r="N113" i="4" s="1"/>
  <c r="N181" i="4" s="1"/>
  <c r="N95" i="20"/>
  <c r="F97" i="4"/>
  <c r="F94" i="4" s="1"/>
  <c r="F113" i="4" s="1"/>
  <c r="F181" i="4" s="1"/>
  <c r="F95" i="20"/>
  <c r="K28" i="4"/>
  <c r="K25" i="4" s="1"/>
  <c r="K44" i="4" s="1"/>
  <c r="K177" i="4" s="1"/>
  <c r="K49" i="4"/>
  <c r="K51" i="4" s="1"/>
  <c r="K48" i="4" s="1"/>
  <c r="K67" i="4" s="1"/>
  <c r="K178" i="4" s="1"/>
  <c r="K26" i="20"/>
  <c r="M5" i="46"/>
  <c r="M7" i="28"/>
  <c r="M62" i="81"/>
  <c r="E5" i="46"/>
  <c r="E7" i="28"/>
  <c r="I97" i="4"/>
  <c r="I94" i="4" s="1"/>
  <c r="I113" i="4" s="1"/>
  <c r="I181" i="4" s="1"/>
  <c r="I95" i="20"/>
  <c r="H5" i="46"/>
  <c r="H7" i="28"/>
  <c r="H51" i="20"/>
  <c r="H48" i="20" s="1"/>
  <c r="H67" i="20" s="1"/>
  <c r="H178" i="20" s="1"/>
  <c r="H49" i="28"/>
  <c r="H72" i="28" s="1"/>
  <c r="L7" i="20"/>
  <c r="L4" i="20" s="1"/>
  <c r="L3" i="2" s="1"/>
  <c r="L5" i="28"/>
  <c r="E51" i="4"/>
  <c r="G5" i="46"/>
  <c r="G7" i="28"/>
  <c r="P4" i="4"/>
  <c r="Q4" i="4" s="1"/>
  <c r="N7" i="20"/>
  <c r="N4" i="20" s="1"/>
  <c r="N3" i="2" s="1"/>
  <c r="N5" i="28"/>
  <c r="F5" i="28"/>
  <c r="F7" i="20"/>
  <c r="F4" i="20" s="1"/>
  <c r="F3" i="2" s="1"/>
  <c r="O25" i="46"/>
  <c r="O29" i="46" s="1"/>
  <c r="O31" i="46" s="1"/>
  <c r="O7" i="2"/>
  <c r="O9" i="2" s="1"/>
  <c r="G72" i="4"/>
  <c r="K7" i="20"/>
  <c r="K4" i="20" s="1"/>
  <c r="K3" i="2" s="1"/>
  <c r="K5" i="28"/>
  <c r="H74" i="4"/>
  <c r="H71" i="4" s="1"/>
  <c r="H90" i="4" s="1"/>
  <c r="H180" i="4" s="1"/>
  <c r="H185" i="4" s="1"/>
  <c r="H118" i="4"/>
  <c r="H120" i="4" s="1"/>
  <c r="H117" i="4" s="1"/>
  <c r="H136" i="4" s="1"/>
  <c r="H182" i="4" s="1"/>
  <c r="O97" i="28"/>
  <c r="O107" i="46" s="1"/>
  <c r="O94" i="20"/>
  <c r="E4" i="20"/>
  <c r="M183" i="4"/>
  <c r="M186" i="4"/>
  <c r="M187" i="4" s="1"/>
  <c r="E95" i="28"/>
  <c r="E97" i="20"/>
  <c r="I28" i="4"/>
  <c r="I25" i="4" s="1"/>
  <c r="I44" i="4" s="1"/>
  <c r="I177" i="4" s="1"/>
  <c r="I49" i="4"/>
  <c r="I51" i="4" s="1"/>
  <c r="I48" i="4" s="1"/>
  <c r="I67" i="4" s="1"/>
  <c r="I178" i="4" s="1"/>
  <c r="I26" i="20"/>
  <c r="H25" i="46"/>
  <c r="H29" i="46" s="1"/>
  <c r="H31" i="46" s="1"/>
  <c r="H7" i="2"/>
  <c r="H9" i="2" s="1"/>
  <c r="H74" i="20"/>
  <c r="H71" i="20" s="1"/>
  <c r="H90" i="20" s="1"/>
  <c r="H180" i="20" s="1"/>
  <c r="H185" i="20" s="1"/>
  <c r="H118" i="20"/>
  <c r="H120" i="20" s="1"/>
  <c r="H117" i="20" s="1"/>
  <c r="H136" i="20" s="1"/>
  <c r="H182" i="20" s="1"/>
  <c r="M36" i="46"/>
  <c r="M28" i="28"/>
  <c r="L28" i="4"/>
  <c r="L25" i="4" s="1"/>
  <c r="L44" i="4" s="1"/>
  <c r="L177" i="4" s="1"/>
  <c r="L49" i="4"/>
  <c r="L51" i="4" s="1"/>
  <c r="L48" i="4" s="1"/>
  <c r="L67" i="4" s="1"/>
  <c r="L178" i="4" s="1"/>
  <c r="L26" i="20"/>
  <c r="E49" i="20"/>
  <c r="E72" i="20" s="1"/>
  <c r="E26" i="28"/>
  <c r="E28" i="20"/>
  <c r="P26" i="4"/>
  <c r="Q26" i="4" s="1"/>
  <c r="G25" i="46"/>
  <c r="G29" i="46" s="1"/>
  <c r="G31" i="46" s="1"/>
  <c r="G7" i="2"/>
  <c r="G9" i="2" s="1"/>
  <c r="O5" i="46"/>
  <c r="O7" i="28"/>
  <c r="J5" i="46"/>
  <c r="J7" i="28"/>
  <c r="J74" i="4"/>
  <c r="J71" i="4" s="1"/>
  <c r="J90" i="4" s="1"/>
  <c r="J180" i="4" s="1"/>
  <c r="J185" i="4" s="1"/>
  <c r="J118" i="4"/>
  <c r="J120" i="4" s="1"/>
  <c r="J117" i="4" s="1"/>
  <c r="J136" i="4" s="1"/>
  <c r="J182" i="4" s="1"/>
  <c r="E94" i="4"/>
  <c r="E113" i="4" s="1"/>
  <c r="E181" i="4" s="1"/>
  <c r="I5" i="28"/>
  <c r="I7" i="20"/>
  <c r="I4" i="20" s="1"/>
  <c r="I3" i="2" s="1"/>
  <c r="H36" i="46"/>
  <c r="H28" i="28"/>
  <c r="M51" i="20"/>
  <c r="M48" i="20" s="1"/>
  <c r="M67" i="20" s="1"/>
  <c r="M178" i="20" s="1"/>
  <c r="M49" i="28"/>
  <c r="L97" i="4"/>
  <c r="L94" i="4" s="1"/>
  <c r="L113" i="4" s="1"/>
  <c r="L181" i="4" s="1"/>
  <c r="L95" i="20"/>
  <c r="E25" i="4"/>
  <c r="E62" i="81"/>
  <c r="J97" i="20"/>
  <c r="J95" i="28"/>
  <c r="J105" i="46" s="1"/>
  <c r="H21" i="81" s="1"/>
  <c r="H97" i="20"/>
  <c r="H95" i="28"/>
  <c r="H105" i="46" s="1"/>
  <c r="F21" i="81" s="1"/>
  <c r="G49" i="20"/>
  <c r="G72" i="20" s="1"/>
  <c r="G26" i="28"/>
  <c r="G28" i="20"/>
  <c r="G25" i="20" s="1"/>
  <c r="G44" i="20" s="1"/>
  <c r="K97" i="4"/>
  <c r="K94" i="4" s="1"/>
  <c r="K113" i="4" s="1"/>
  <c r="K181" i="4" s="1"/>
  <c r="K95" i="20"/>
  <c r="M7" i="2"/>
  <c r="M9" i="2" s="1"/>
  <c r="M25" i="46"/>
  <c r="M29" i="46" s="1"/>
  <c r="M31" i="46" s="1"/>
  <c r="J25" i="46"/>
  <c r="J29" i="46" s="1"/>
  <c r="J31" i="46" s="1"/>
  <c r="J7" i="2"/>
  <c r="J9" i="2" s="1"/>
  <c r="O59" i="46"/>
  <c r="O51" i="28"/>
  <c r="M97" i="20"/>
  <c r="M95" i="28"/>
  <c r="M105" i="46" s="1"/>
  <c r="K21" i="81" s="1"/>
  <c r="J49" i="20"/>
  <c r="J72" i="20" s="1"/>
  <c r="J28" i="20"/>
  <c r="J25" i="20" s="1"/>
  <c r="J44" i="20" s="1"/>
  <c r="J26" i="28"/>
  <c r="P95" i="4"/>
  <c r="Q95" i="4" s="1"/>
  <c r="H177" i="20"/>
  <c r="H44" i="28"/>
  <c r="M177" i="20"/>
  <c r="M44" i="28"/>
  <c r="E72" i="4"/>
  <c r="G97" i="28"/>
  <c r="G107" i="46" s="1"/>
  <c r="G94" i="20"/>
  <c r="O38" i="46" l="1"/>
  <c r="O35" i="46" s="1"/>
  <c r="M13" i="84" s="1"/>
  <c r="M4" i="84" s="1"/>
  <c r="O190" i="46" s="1"/>
  <c r="M8" i="81" s="1"/>
  <c r="O177" i="28"/>
  <c r="O82" i="46"/>
  <c r="O128" i="46" s="1"/>
  <c r="O130" i="46" s="1"/>
  <c r="O127" i="46" s="1"/>
  <c r="O146" i="46" s="1"/>
  <c r="P28" i="4"/>
  <c r="Q28" i="4" s="1"/>
  <c r="O74" i="28"/>
  <c r="O84" i="46" s="1"/>
  <c r="O81" i="46" s="1"/>
  <c r="O100" i="46" s="1"/>
  <c r="M5" i="81" s="1"/>
  <c r="O74" i="4"/>
  <c r="O71" i="4" s="1"/>
  <c r="O90" i="4" s="1"/>
  <c r="O180" i="4" s="1"/>
  <c r="O185" i="4" s="1"/>
  <c r="O118" i="4"/>
  <c r="O120" i="4" s="1"/>
  <c r="O117" i="4" s="1"/>
  <c r="O136" i="4" s="1"/>
  <c r="O182" i="4" s="1"/>
  <c r="L72" i="4"/>
  <c r="L74" i="4" s="1"/>
  <c r="L71" i="4" s="1"/>
  <c r="L90" i="4" s="1"/>
  <c r="L180" i="4" s="1"/>
  <c r="L185" i="4" s="1"/>
  <c r="E118" i="20"/>
  <c r="E74" i="20"/>
  <c r="M177" i="28"/>
  <c r="M54" i="46"/>
  <c r="M189" i="46" s="1"/>
  <c r="J177" i="20"/>
  <c r="J44" i="28"/>
  <c r="G74" i="20"/>
  <c r="G71" i="20" s="1"/>
  <c r="G90" i="20" s="1"/>
  <c r="G180" i="20" s="1"/>
  <c r="G185" i="20" s="1"/>
  <c r="G118" i="20"/>
  <c r="G120" i="20" s="1"/>
  <c r="G117" i="20" s="1"/>
  <c r="G136" i="20" s="1"/>
  <c r="G182" i="20" s="1"/>
  <c r="J94" i="20"/>
  <c r="J97" i="28"/>
  <c r="J107" i="46" s="1"/>
  <c r="P97" i="4"/>
  <c r="G104" i="46"/>
  <c r="G123" i="46" s="1"/>
  <c r="G195" i="46" s="1"/>
  <c r="G113" i="20"/>
  <c r="G181" i="20" s="1"/>
  <c r="G94" i="28"/>
  <c r="G113" i="28" s="1"/>
  <c r="G181" i="28" s="1"/>
  <c r="J51" i="20"/>
  <c r="J48" i="20" s="1"/>
  <c r="J67" i="20" s="1"/>
  <c r="J178" i="20" s="1"/>
  <c r="J49" i="28"/>
  <c r="J72" i="28" s="1"/>
  <c r="O48" i="28"/>
  <c r="O67" i="28" s="1"/>
  <c r="O61" i="46"/>
  <c r="O58" i="46" s="1"/>
  <c r="G177" i="20"/>
  <c r="G44" i="28"/>
  <c r="F62" i="81"/>
  <c r="L97" i="20"/>
  <c r="L95" i="28"/>
  <c r="L105" i="46" s="1"/>
  <c r="J21" i="81" s="1"/>
  <c r="H82" i="46"/>
  <c r="H128" i="46" s="1"/>
  <c r="H130" i="46" s="1"/>
  <c r="H127" i="46" s="1"/>
  <c r="H146" i="46" s="1"/>
  <c r="H118" i="28"/>
  <c r="H120" i="28" s="1"/>
  <c r="H117" i="28" s="1"/>
  <c r="H136" i="28" s="1"/>
  <c r="H182" i="28" s="1"/>
  <c r="H74" i="28"/>
  <c r="J4" i="28"/>
  <c r="J7" i="46"/>
  <c r="J4" i="46" s="1"/>
  <c r="O4" i="28"/>
  <c r="O7" i="46"/>
  <c r="O4" i="46" s="1"/>
  <c r="O104" i="46"/>
  <c r="O123" i="46" s="1"/>
  <c r="O195" i="46" s="1"/>
  <c r="O113" i="20"/>
  <c r="O181" i="20" s="1"/>
  <c r="O94" i="28"/>
  <c r="O113" i="28" s="1"/>
  <c r="O181" i="28" s="1"/>
  <c r="K5" i="46"/>
  <c r="K7" i="28"/>
  <c r="N25" i="46"/>
  <c r="N29" i="46" s="1"/>
  <c r="N31" i="46" s="1"/>
  <c r="N7" i="2"/>
  <c r="N9" i="2" s="1"/>
  <c r="P51" i="4"/>
  <c r="Q51" i="4" s="1"/>
  <c r="E48" i="4"/>
  <c r="H59" i="46"/>
  <c r="H51" i="28"/>
  <c r="I97" i="20"/>
  <c r="I95" i="28"/>
  <c r="I105" i="46" s="1"/>
  <c r="G21" i="81" s="1"/>
  <c r="F72" i="4"/>
  <c r="N72" i="4"/>
  <c r="J118" i="20"/>
  <c r="J120" i="20" s="1"/>
  <c r="J117" i="20" s="1"/>
  <c r="J136" i="20" s="1"/>
  <c r="J182" i="20" s="1"/>
  <c r="J74" i="20"/>
  <c r="J71" i="20" s="1"/>
  <c r="J90" i="20" s="1"/>
  <c r="J180" i="20" s="1"/>
  <c r="J185" i="20" s="1"/>
  <c r="G36" i="46"/>
  <c r="G28" i="28"/>
  <c r="J183" i="4"/>
  <c r="J186" i="4"/>
  <c r="J187" i="4" s="1"/>
  <c r="E25" i="20"/>
  <c r="H183" i="20"/>
  <c r="H186" i="20"/>
  <c r="H187" i="20" s="1"/>
  <c r="I49" i="20"/>
  <c r="I72" i="20" s="1"/>
  <c r="I28" i="20"/>
  <c r="I25" i="20" s="1"/>
  <c r="I44" i="20" s="1"/>
  <c r="I26" i="28"/>
  <c r="E94" i="20"/>
  <c r="E97" i="28"/>
  <c r="K7" i="2"/>
  <c r="K9" i="2" s="1"/>
  <c r="K25" i="46"/>
  <c r="K29" i="46" s="1"/>
  <c r="K31" i="46" s="1"/>
  <c r="F7" i="2"/>
  <c r="F9" i="2" s="1"/>
  <c r="F25" i="46"/>
  <c r="F29" i="46" s="1"/>
  <c r="F31" i="46" s="1"/>
  <c r="P49" i="4"/>
  <c r="Q49" i="4" s="1"/>
  <c r="K49" i="20"/>
  <c r="K72" i="20" s="1"/>
  <c r="K28" i="20"/>
  <c r="K25" i="20" s="1"/>
  <c r="K44" i="20" s="1"/>
  <c r="K26" i="28"/>
  <c r="F97" i="20"/>
  <c r="F95" i="28"/>
  <c r="F105" i="46" s="1"/>
  <c r="D21" i="81" s="1"/>
  <c r="O183" i="20"/>
  <c r="O186" i="20"/>
  <c r="O187" i="20" s="1"/>
  <c r="H97" i="28"/>
  <c r="H107" i="46" s="1"/>
  <c r="H94" i="20"/>
  <c r="H25" i="28"/>
  <c r="H38" i="46"/>
  <c r="H35" i="46" s="1"/>
  <c r="F13" i="84" s="1"/>
  <c r="F4" i="84" s="1"/>
  <c r="H190" i="46" s="1"/>
  <c r="F8" i="81" s="1"/>
  <c r="I25" i="46"/>
  <c r="I29" i="46" s="1"/>
  <c r="I31" i="46" s="1"/>
  <c r="I7" i="2"/>
  <c r="I9" i="2" s="1"/>
  <c r="E118" i="4"/>
  <c r="E74" i="4"/>
  <c r="J36" i="46"/>
  <c r="J28" i="28"/>
  <c r="K62" i="81"/>
  <c r="K97" i="20"/>
  <c r="K95" i="28"/>
  <c r="K105" i="46" s="1"/>
  <c r="I21" i="81" s="1"/>
  <c r="G51" i="20"/>
  <c r="G48" i="20" s="1"/>
  <c r="G67" i="20" s="1"/>
  <c r="G178" i="20" s="1"/>
  <c r="G49" i="28"/>
  <c r="H62" i="81"/>
  <c r="E44" i="4"/>
  <c r="P25" i="4"/>
  <c r="Q25" i="4" s="1"/>
  <c r="M59" i="46"/>
  <c r="M51" i="28"/>
  <c r="I5" i="46"/>
  <c r="I7" i="28"/>
  <c r="E36" i="46"/>
  <c r="E28" i="28"/>
  <c r="L49" i="20"/>
  <c r="L72" i="20" s="1"/>
  <c r="L28" i="20"/>
  <c r="L25" i="20" s="1"/>
  <c r="L44" i="20" s="1"/>
  <c r="L26" i="28"/>
  <c r="M72" i="28"/>
  <c r="I72" i="4"/>
  <c r="E105" i="46"/>
  <c r="E3" i="2"/>
  <c r="H183" i="4"/>
  <c r="H186" i="4"/>
  <c r="H187" i="4" s="1"/>
  <c r="G74" i="4"/>
  <c r="G71" i="4" s="1"/>
  <c r="G90" i="4" s="1"/>
  <c r="G180" i="4" s="1"/>
  <c r="G185" i="4" s="1"/>
  <c r="G118" i="4"/>
  <c r="G120" i="4" s="1"/>
  <c r="G117" i="4" s="1"/>
  <c r="G136" i="4" s="1"/>
  <c r="G182" i="4" s="1"/>
  <c r="F5" i="46"/>
  <c r="F7" i="28"/>
  <c r="G4" i="28"/>
  <c r="G7" i="46"/>
  <c r="G4" i="46" s="1"/>
  <c r="L7" i="28"/>
  <c r="L5" i="46"/>
  <c r="H4" i="28"/>
  <c r="H7" i="46"/>
  <c r="H4" i="46" s="1"/>
  <c r="E7" i="46"/>
  <c r="E4" i="28"/>
  <c r="K72" i="4"/>
  <c r="H177" i="28"/>
  <c r="H54" i="46"/>
  <c r="H189" i="46" s="1"/>
  <c r="M97" i="28"/>
  <c r="M107" i="46" s="1"/>
  <c r="M94" i="20"/>
  <c r="E51" i="20"/>
  <c r="E49" i="28"/>
  <c r="M25" i="28"/>
  <c r="M38" i="46"/>
  <c r="M35" i="46" s="1"/>
  <c r="K13" i="84" s="1"/>
  <c r="K4" i="84" s="1"/>
  <c r="M190" i="46" s="1"/>
  <c r="K8" i="81" s="1"/>
  <c r="N5" i="46"/>
  <c r="N7" i="28"/>
  <c r="L7" i="2"/>
  <c r="L9" i="2" s="1"/>
  <c r="L25" i="46"/>
  <c r="L29" i="46" s="1"/>
  <c r="L31" i="46" s="1"/>
  <c r="M4" i="28"/>
  <c r="M7" i="46"/>
  <c r="M4" i="46" s="1"/>
  <c r="N97" i="20"/>
  <c r="N95" i="28"/>
  <c r="N105" i="46" s="1"/>
  <c r="L21" i="81" s="1"/>
  <c r="F49" i="20"/>
  <c r="F72" i="20" s="1"/>
  <c r="F28" i="20"/>
  <c r="F25" i="20" s="1"/>
  <c r="F44" i="20" s="1"/>
  <c r="F26" i="28"/>
  <c r="N49" i="20"/>
  <c r="N72" i="20" s="1"/>
  <c r="N28" i="20"/>
  <c r="N25" i="20" s="1"/>
  <c r="N44" i="20" s="1"/>
  <c r="N26" i="28"/>
  <c r="M186" i="20"/>
  <c r="M187" i="20" s="1"/>
  <c r="M183" i="20"/>
  <c r="O186" i="28"/>
  <c r="O188" i="46" l="1"/>
  <c r="O71" i="28"/>
  <c r="O90" i="28" s="1"/>
  <c r="O180" i="28" s="1"/>
  <c r="O185" i="28" s="1"/>
  <c r="L118" i="4"/>
  <c r="L120" i="4" s="1"/>
  <c r="L117" i="4" s="1"/>
  <c r="L136" i="4" s="1"/>
  <c r="L182" i="4" s="1"/>
  <c r="O183" i="4"/>
  <c r="O186" i="4"/>
  <c r="O187" i="4" s="1"/>
  <c r="F74" i="20"/>
  <c r="F71" i="20" s="1"/>
  <c r="F90" i="20" s="1"/>
  <c r="F180" i="20" s="1"/>
  <c r="F185" i="20" s="1"/>
  <c r="F118" i="20"/>
  <c r="F120" i="20" s="1"/>
  <c r="F117" i="20" s="1"/>
  <c r="F136" i="20" s="1"/>
  <c r="F182" i="20" s="1"/>
  <c r="L74" i="20"/>
  <c r="L71" i="20" s="1"/>
  <c r="L90" i="20" s="1"/>
  <c r="L180" i="20" s="1"/>
  <c r="L185" i="20" s="1"/>
  <c r="L118" i="20"/>
  <c r="L120" i="20" s="1"/>
  <c r="L117" i="20" s="1"/>
  <c r="L136" i="20" s="1"/>
  <c r="L182" i="20" s="1"/>
  <c r="N74" i="20"/>
  <c r="N71" i="20" s="1"/>
  <c r="N90" i="20" s="1"/>
  <c r="N180" i="20" s="1"/>
  <c r="N185" i="20" s="1"/>
  <c r="N118" i="20"/>
  <c r="N120" i="20" s="1"/>
  <c r="N117" i="20" s="1"/>
  <c r="N136" i="20" s="1"/>
  <c r="N182" i="20" s="1"/>
  <c r="F36" i="46"/>
  <c r="F28" i="28"/>
  <c r="F177" i="20"/>
  <c r="F44" i="28"/>
  <c r="E59" i="46"/>
  <c r="E51" i="28"/>
  <c r="N51" i="20"/>
  <c r="N48" i="20" s="1"/>
  <c r="N67" i="20" s="1"/>
  <c r="N178" i="20" s="1"/>
  <c r="N49" i="28"/>
  <c r="N72" i="28" s="1"/>
  <c r="E48" i="20"/>
  <c r="M94" i="28"/>
  <c r="M113" i="28" s="1"/>
  <c r="M181" i="28" s="1"/>
  <c r="M113" i="20"/>
  <c r="M181" i="20" s="1"/>
  <c r="M104" i="46"/>
  <c r="M123" i="46" s="1"/>
  <c r="M195" i="46" s="1"/>
  <c r="K118" i="4"/>
  <c r="K120" i="4" s="1"/>
  <c r="K117" i="4" s="1"/>
  <c r="K136" i="4" s="1"/>
  <c r="K182" i="4" s="1"/>
  <c r="K74" i="4"/>
  <c r="K71" i="4" s="1"/>
  <c r="K90" i="4" s="1"/>
  <c r="K180" i="4" s="1"/>
  <c r="K185" i="4" s="1"/>
  <c r="G183" i="4"/>
  <c r="G186" i="4"/>
  <c r="G187" i="4" s="1"/>
  <c r="E7" i="2"/>
  <c r="E25" i="46"/>
  <c r="I118" i="4"/>
  <c r="I120" i="4" s="1"/>
  <c r="I117" i="4" s="1"/>
  <c r="I136" i="4" s="1"/>
  <c r="I182" i="4" s="1"/>
  <c r="I74" i="4"/>
  <c r="I71" i="4" s="1"/>
  <c r="I90" i="4" s="1"/>
  <c r="I180" i="4" s="1"/>
  <c r="I185" i="4" s="1"/>
  <c r="I4" i="28"/>
  <c r="I7" i="46"/>
  <c r="I4" i="46" s="1"/>
  <c r="G59" i="46"/>
  <c r="G51" i="28"/>
  <c r="H113" i="20"/>
  <c r="H181" i="20" s="1"/>
  <c r="H104" i="46"/>
  <c r="H123" i="46" s="1"/>
  <c r="H195" i="46" s="1"/>
  <c r="H94" i="28"/>
  <c r="H113" i="28" s="1"/>
  <c r="H181" i="28" s="1"/>
  <c r="K28" i="28"/>
  <c r="K36" i="46"/>
  <c r="I36" i="46"/>
  <c r="I28" i="28"/>
  <c r="F74" i="4"/>
  <c r="F71" i="4" s="1"/>
  <c r="F90" i="4" s="1"/>
  <c r="F180" i="4" s="1"/>
  <c r="F185" i="4" s="1"/>
  <c r="F118" i="4"/>
  <c r="F120" i="4" s="1"/>
  <c r="F117" i="4" s="1"/>
  <c r="F136" i="4" s="1"/>
  <c r="F182" i="4" s="1"/>
  <c r="O178" i="28"/>
  <c r="O77" i="46"/>
  <c r="O191" i="46" s="1"/>
  <c r="O193" i="46" s="1"/>
  <c r="O196" i="46" s="1"/>
  <c r="O198" i="46" s="1"/>
  <c r="Q97" i="4"/>
  <c r="P94" i="4"/>
  <c r="M82" i="46"/>
  <c r="M128" i="46" s="1"/>
  <c r="M130" i="46" s="1"/>
  <c r="M127" i="46" s="1"/>
  <c r="M146" i="46" s="1"/>
  <c r="M118" i="28"/>
  <c r="M120" i="28" s="1"/>
  <c r="M117" i="28" s="1"/>
  <c r="M136" i="28" s="1"/>
  <c r="M182" i="28" s="1"/>
  <c r="M74" i="28"/>
  <c r="L51" i="20"/>
  <c r="L48" i="20" s="1"/>
  <c r="L67" i="20" s="1"/>
  <c r="L178" i="20" s="1"/>
  <c r="L49" i="28"/>
  <c r="L72" i="28" s="1"/>
  <c r="P44" i="4"/>
  <c r="E177" i="4"/>
  <c r="E71" i="4"/>
  <c r="K177" i="20"/>
  <c r="K44" i="28"/>
  <c r="I177" i="20"/>
  <c r="I44" i="28"/>
  <c r="G62" i="81"/>
  <c r="P48" i="4"/>
  <c r="Q48" i="4" s="1"/>
  <c r="E67" i="4"/>
  <c r="K4" i="28"/>
  <c r="K7" i="46"/>
  <c r="K4" i="46" s="1"/>
  <c r="J62" i="81"/>
  <c r="G177" i="28"/>
  <c r="G54" i="46"/>
  <c r="G189" i="46" s="1"/>
  <c r="J59" i="46"/>
  <c r="J51" i="28"/>
  <c r="J177" i="28"/>
  <c r="J54" i="46"/>
  <c r="J189" i="46" s="1"/>
  <c r="L62" i="81"/>
  <c r="H188" i="46"/>
  <c r="E4" i="46"/>
  <c r="F4" i="28"/>
  <c r="F7" i="46"/>
  <c r="F4" i="46" s="1"/>
  <c r="C21" i="81"/>
  <c r="L36" i="46"/>
  <c r="L28" i="28"/>
  <c r="E72" i="28"/>
  <c r="M61" i="46"/>
  <c r="M58" i="46" s="1"/>
  <c r="M48" i="28"/>
  <c r="M67" i="28" s="1"/>
  <c r="I62" i="81"/>
  <c r="J82" i="46"/>
  <c r="J128" i="46" s="1"/>
  <c r="J130" i="46" s="1"/>
  <c r="J127" i="46" s="1"/>
  <c r="J146" i="46" s="1"/>
  <c r="J118" i="28"/>
  <c r="J120" i="28" s="1"/>
  <c r="J117" i="28" s="1"/>
  <c r="J136" i="28" s="1"/>
  <c r="J182" i="28" s="1"/>
  <c r="J74" i="28"/>
  <c r="E120" i="4"/>
  <c r="N7" i="81"/>
  <c r="M59" i="81"/>
  <c r="M63" i="81" s="1"/>
  <c r="M25" i="81" s="1"/>
  <c r="M6" i="81"/>
  <c r="D62" i="81"/>
  <c r="K51" i="20"/>
  <c r="K48" i="20" s="1"/>
  <c r="K67" i="20" s="1"/>
  <c r="K178" i="20" s="1"/>
  <c r="K49" i="28"/>
  <c r="K72" i="28" s="1"/>
  <c r="E107" i="46"/>
  <c r="I51" i="20"/>
  <c r="I48" i="20" s="1"/>
  <c r="I67" i="20" s="1"/>
  <c r="I178" i="20" s="1"/>
  <c r="I49" i="28"/>
  <c r="E44" i="20"/>
  <c r="G72" i="28"/>
  <c r="J183" i="20"/>
  <c r="J186" i="20"/>
  <c r="J187" i="20" s="1"/>
  <c r="I97" i="28"/>
  <c r="I107" i="46" s="1"/>
  <c r="I94" i="20"/>
  <c r="H71" i="28"/>
  <c r="H90" i="28" s="1"/>
  <c r="H180" i="28" s="1"/>
  <c r="H185" i="28" s="1"/>
  <c r="H84" i="46"/>
  <c r="H81" i="46" s="1"/>
  <c r="H100" i="46" s="1"/>
  <c r="F5" i="81" s="1"/>
  <c r="L97" i="28"/>
  <c r="L107" i="46" s="1"/>
  <c r="L94" i="20"/>
  <c r="J104" i="46"/>
  <c r="J123" i="46" s="1"/>
  <c r="J195" i="46" s="1"/>
  <c r="J113" i="20"/>
  <c r="J181" i="20" s="1"/>
  <c r="J94" i="28"/>
  <c r="J113" i="28" s="1"/>
  <c r="J181" i="28" s="1"/>
  <c r="E71" i="20"/>
  <c r="F51" i="20"/>
  <c r="F48" i="20" s="1"/>
  <c r="F67" i="20" s="1"/>
  <c r="F178" i="20" s="1"/>
  <c r="F49" i="28"/>
  <c r="N4" i="28"/>
  <c r="N7" i="46"/>
  <c r="N4" i="46" s="1"/>
  <c r="N36" i="46"/>
  <c r="N28" i="28"/>
  <c r="N177" i="20"/>
  <c r="N44" i="28"/>
  <c r="N97" i="28"/>
  <c r="N107" i="46" s="1"/>
  <c r="N94" i="20"/>
  <c r="L4" i="28"/>
  <c r="L7" i="46"/>
  <c r="L4" i="46" s="1"/>
  <c r="L177" i="20"/>
  <c r="L44" i="28"/>
  <c r="E38" i="46"/>
  <c r="E25" i="28"/>
  <c r="K97" i="28"/>
  <c r="K107" i="46" s="1"/>
  <c r="K94" i="20"/>
  <c r="J25" i="28"/>
  <c r="J38" i="46"/>
  <c r="J35" i="46" s="1"/>
  <c r="H13" i="84" s="1"/>
  <c r="H4" i="84" s="1"/>
  <c r="J190" i="46" s="1"/>
  <c r="H8" i="81" s="1"/>
  <c r="P72" i="4"/>
  <c r="Q72" i="4" s="1"/>
  <c r="F97" i="28"/>
  <c r="F107" i="46" s="1"/>
  <c r="F94" i="20"/>
  <c r="K74" i="20"/>
  <c r="K71" i="20" s="1"/>
  <c r="K90" i="20" s="1"/>
  <c r="K180" i="20" s="1"/>
  <c r="K185" i="20" s="1"/>
  <c r="K118" i="20"/>
  <c r="K120" i="20" s="1"/>
  <c r="K117" i="20" s="1"/>
  <c r="K136" i="20" s="1"/>
  <c r="K182" i="20" s="1"/>
  <c r="E113" i="20"/>
  <c r="E181" i="20" s="1"/>
  <c r="E104" i="46"/>
  <c r="E123" i="46" s="1"/>
  <c r="E195" i="46" s="1"/>
  <c r="E94" i="28"/>
  <c r="E113" i="28" s="1"/>
  <c r="E181" i="28" s="1"/>
  <c r="I118" i="20"/>
  <c r="I120" i="20" s="1"/>
  <c r="I117" i="20" s="1"/>
  <c r="I136" i="20" s="1"/>
  <c r="I182" i="20" s="1"/>
  <c r="I74" i="20"/>
  <c r="I71" i="20" s="1"/>
  <c r="I90" i="20" s="1"/>
  <c r="I180" i="20" s="1"/>
  <c r="I185" i="20" s="1"/>
  <c r="G25" i="28"/>
  <c r="G38" i="46"/>
  <c r="G35" i="46" s="1"/>
  <c r="E13" i="84" s="1"/>
  <c r="E4" i="84" s="1"/>
  <c r="G190" i="46" s="1"/>
  <c r="E8" i="81" s="1"/>
  <c r="N74" i="4"/>
  <c r="N71" i="4" s="1"/>
  <c r="N90" i="4" s="1"/>
  <c r="N180" i="4" s="1"/>
  <c r="N185" i="4" s="1"/>
  <c r="N118" i="4"/>
  <c r="N120" i="4" s="1"/>
  <c r="N117" i="4" s="1"/>
  <c r="N136" i="4" s="1"/>
  <c r="N182" i="4" s="1"/>
  <c r="H61" i="46"/>
  <c r="H58" i="46" s="1"/>
  <c r="H48" i="28"/>
  <c r="H67" i="28" s="1"/>
  <c r="H186" i="28"/>
  <c r="L183" i="4"/>
  <c r="L186" i="4"/>
  <c r="L187" i="4" s="1"/>
  <c r="G183" i="20"/>
  <c r="G186" i="20"/>
  <c r="G187" i="20" s="1"/>
  <c r="M188" i="46"/>
  <c r="E120" i="20"/>
  <c r="O183" i="28" l="1"/>
  <c r="O187" i="28"/>
  <c r="O194" i="46"/>
  <c r="O203" i="46" s="1"/>
  <c r="H187" i="28"/>
  <c r="H183" i="28"/>
  <c r="K82" i="46"/>
  <c r="K128" i="46" s="1"/>
  <c r="K130" i="46" s="1"/>
  <c r="K127" i="46" s="1"/>
  <c r="K146" i="46" s="1"/>
  <c r="K118" i="28"/>
  <c r="K120" i="28" s="1"/>
  <c r="K117" i="28" s="1"/>
  <c r="K136" i="28" s="1"/>
  <c r="K182" i="28" s="1"/>
  <c r="K74" i="28"/>
  <c r="F113" i="20"/>
  <c r="F181" i="20" s="1"/>
  <c r="F104" i="46"/>
  <c r="F123" i="46" s="1"/>
  <c r="F195" i="46" s="1"/>
  <c r="F94" i="28"/>
  <c r="F113" i="28" s="1"/>
  <c r="F181" i="28" s="1"/>
  <c r="N25" i="28"/>
  <c r="N38" i="46"/>
  <c r="N35" i="46" s="1"/>
  <c r="L13" i="84" s="1"/>
  <c r="L4" i="84" s="1"/>
  <c r="N190" i="46" s="1"/>
  <c r="L8" i="81" s="1"/>
  <c r="F59" i="46"/>
  <c r="F51" i="28"/>
  <c r="E177" i="20"/>
  <c r="E44" i="28"/>
  <c r="J186" i="28"/>
  <c r="M178" i="28"/>
  <c r="M77" i="46"/>
  <c r="M191" i="46" s="1"/>
  <c r="M193" i="46" s="1"/>
  <c r="M196" i="46" s="1"/>
  <c r="M198" i="46" s="1"/>
  <c r="L25" i="28"/>
  <c r="L38" i="46"/>
  <c r="L35" i="46" s="1"/>
  <c r="J13" i="84" s="1"/>
  <c r="J4" i="84" s="1"/>
  <c r="L190" i="46" s="1"/>
  <c r="J8" i="81" s="1"/>
  <c r="J188" i="46"/>
  <c r="G188" i="46"/>
  <c r="K177" i="28"/>
  <c r="K54" i="46"/>
  <c r="K189" i="46" s="1"/>
  <c r="K183" i="4"/>
  <c r="K186" i="4"/>
  <c r="K187" i="4" s="1"/>
  <c r="N59" i="46"/>
  <c r="N51" i="28"/>
  <c r="F25" i="28"/>
  <c r="F38" i="46"/>
  <c r="F35" i="46" s="1"/>
  <c r="D13" i="84" s="1"/>
  <c r="D4" i="84" s="1"/>
  <c r="F190" i="46" s="1"/>
  <c r="D8" i="81" s="1"/>
  <c r="F183" i="20"/>
  <c r="F186" i="20"/>
  <c r="F187" i="20" s="1"/>
  <c r="H178" i="28"/>
  <c r="H77" i="46"/>
  <c r="H191" i="46" s="1"/>
  <c r="H193" i="46" s="1"/>
  <c r="H196" i="46" s="1"/>
  <c r="H198" i="46" s="1"/>
  <c r="E35" i="46"/>
  <c r="C13" i="84" s="1"/>
  <c r="C4" i="84" s="1"/>
  <c r="E190" i="46" s="1"/>
  <c r="C8" i="81" s="1"/>
  <c r="N177" i="28"/>
  <c r="N54" i="46"/>
  <c r="N189" i="46" s="1"/>
  <c r="G7" i="81"/>
  <c r="F59" i="81"/>
  <c r="F63" i="81" s="1"/>
  <c r="F25" i="81" s="1"/>
  <c r="F6" i="81"/>
  <c r="E117" i="4"/>
  <c r="E136" i="4" s="1"/>
  <c r="E182" i="4" s="1"/>
  <c r="P120" i="4"/>
  <c r="Q44" i="4"/>
  <c r="P177" i="4"/>
  <c r="Q177" i="4" s="1"/>
  <c r="M71" i="28"/>
  <c r="M90" i="28" s="1"/>
  <c r="M180" i="28" s="1"/>
  <c r="M185" i="28" s="1"/>
  <c r="M84" i="46"/>
  <c r="M81" i="46" s="1"/>
  <c r="M100" i="46" s="1"/>
  <c r="K5" i="81" s="1"/>
  <c r="I186" i="4"/>
  <c r="I187" i="4" s="1"/>
  <c r="I183" i="4"/>
  <c r="E67" i="20"/>
  <c r="F177" i="28"/>
  <c r="F54" i="46"/>
  <c r="F189" i="46" s="1"/>
  <c r="L183" i="20"/>
  <c r="L186" i="20"/>
  <c r="L187" i="20" s="1"/>
  <c r="I183" i="20"/>
  <c r="I186" i="20"/>
  <c r="I187" i="20" s="1"/>
  <c r="K94" i="28"/>
  <c r="K113" i="28" s="1"/>
  <c r="K181" i="28" s="1"/>
  <c r="K104" i="46"/>
  <c r="K123" i="46" s="1"/>
  <c r="K195" i="46" s="1"/>
  <c r="K113" i="20"/>
  <c r="K181" i="20" s="1"/>
  <c r="K183" i="20"/>
  <c r="K186" i="20"/>
  <c r="K187" i="20" s="1"/>
  <c r="E90" i="20"/>
  <c r="I59" i="46"/>
  <c r="I51" i="28"/>
  <c r="K59" i="46"/>
  <c r="K51" i="28"/>
  <c r="P118" i="4"/>
  <c r="Q118" i="4" s="1"/>
  <c r="E82" i="46"/>
  <c r="E118" i="28"/>
  <c r="E74" i="28"/>
  <c r="J61" i="46"/>
  <c r="J58" i="46" s="1"/>
  <c r="J48" i="28"/>
  <c r="J67" i="28" s="1"/>
  <c r="P67" i="4"/>
  <c r="E178" i="4"/>
  <c r="I177" i="28"/>
  <c r="I54" i="46"/>
  <c r="I189" i="46" s="1"/>
  <c r="E90" i="4"/>
  <c r="P71" i="4"/>
  <c r="Q71" i="4" s="1"/>
  <c r="M186" i="28"/>
  <c r="I72" i="28"/>
  <c r="E29" i="46"/>
  <c r="E31" i="46" s="1"/>
  <c r="E48" i="28"/>
  <c r="E61" i="46"/>
  <c r="E117" i="20"/>
  <c r="E136" i="20" s="1"/>
  <c r="E182" i="20" s="1"/>
  <c r="N183" i="4"/>
  <c r="N186" i="4"/>
  <c r="N187" i="4" s="1"/>
  <c r="L177" i="28"/>
  <c r="L54" i="46"/>
  <c r="L189" i="46" s="1"/>
  <c r="N94" i="28"/>
  <c r="N113" i="28" s="1"/>
  <c r="N181" i="28" s="1"/>
  <c r="N104" i="46"/>
  <c r="N123" i="46" s="1"/>
  <c r="N195" i="46" s="1"/>
  <c r="N113" i="20"/>
  <c r="N181" i="20" s="1"/>
  <c r="N82" i="46"/>
  <c r="N128" i="46" s="1"/>
  <c r="N130" i="46" s="1"/>
  <c r="N127" i="46" s="1"/>
  <c r="N146" i="46" s="1"/>
  <c r="N118" i="28"/>
  <c r="N120" i="28" s="1"/>
  <c r="N117" i="28" s="1"/>
  <c r="N136" i="28" s="1"/>
  <c r="N182" i="28" s="1"/>
  <c r="N74" i="28"/>
  <c r="L113" i="20"/>
  <c r="L181" i="20" s="1"/>
  <c r="L94" i="28"/>
  <c r="L113" i="28" s="1"/>
  <c r="L181" i="28" s="1"/>
  <c r="L104" i="46"/>
  <c r="L123" i="46" s="1"/>
  <c r="L195" i="46" s="1"/>
  <c r="I113" i="20"/>
  <c r="I181" i="20" s="1"/>
  <c r="I104" i="46"/>
  <c r="I123" i="46" s="1"/>
  <c r="I195" i="46" s="1"/>
  <c r="I94" i="28"/>
  <c r="I113" i="28" s="1"/>
  <c r="I181" i="28" s="1"/>
  <c r="G82" i="46"/>
  <c r="G128" i="46" s="1"/>
  <c r="G130" i="46" s="1"/>
  <c r="G127" i="46" s="1"/>
  <c r="G146" i="46" s="1"/>
  <c r="G118" i="28"/>
  <c r="G120" i="28" s="1"/>
  <c r="G117" i="28" s="1"/>
  <c r="G136" i="28" s="1"/>
  <c r="G182" i="28" s="1"/>
  <c r="G74" i="28"/>
  <c r="J71" i="28"/>
  <c r="J90" i="28" s="1"/>
  <c r="J180" i="28" s="1"/>
  <c r="J185" i="28" s="1"/>
  <c r="J84" i="46"/>
  <c r="J81" i="46" s="1"/>
  <c r="J100" i="46" s="1"/>
  <c r="H5" i="81" s="1"/>
  <c r="L82" i="46"/>
  <c r="L128" i="46" s="1"/>
  <c r="L130" i="46" s="1"/>
  <c r="L127" i="46" s="1"/>
  <c r="L146" i="46" s="1"/>
  <c r="L118" i="28"/>
  <c r="L120" i="28" s="1"/>
  <c r="L117" i="28" s="1"/>
  <c r="L136" i="28" s="1"/>
  <c r="L182" i="28" s="1"/>
  <c r="L74" i="28"/>
  <c r="C62" i="81"/>
  <c r="P74" i="4"/>
  <c r="Q74" i="4" s="1"/>
  <c r="L59" i="46"/>
  <c r="L51" i="28"/>
  <c r="Q94" i="4"/>
  <c r="P113" i="4"/>
  <c r="F183" i="4"/>
  <c r="F186" i="4"/>
  <c r="F187" i="4" s="1"/>
  <c r="I25" i="28"/>
  <c r="I38" i="46"/>
  <c r="I35" i="46" s="1"/>
  <c r="G13" i="84" s="1"/>
  <c r="G4" i="84" s="1"/>
  <c r="I190" i="46" s="1"/>
  <c r="G8" i="81" s="1"/>
  <c r="K38" i="46"/>
  <c r="K35" i="46" s="1"/>
  <c r="I13" i="84" s="1"/>
  <c r="I4" i="84" s="1"/>
  <c r="K190" i="46" s="1"/>
  <c r="I8" i="81" s="1"/>
  <c r="K25" i="28"/>
  <c r="G61" i="46"/>
  <c r="G58" i="46" s="1"/>
  <c r="G48" i="28"/>
  <c r="G67" i="28" s="1"/>
  <c r="E9" i="2"/>
  <c r="F72" i="28"/>
  <c r="N183" i="20"/>
  <c r="N186" i="20"/>
  <c r="N187" i="20" s="1"/>
  <c r="N8" i="81" l="1"/>
  <c r="O197" i="46"/>
  <c r="O199" i="46" s="1"/>
  <c r="M194" i="46"/>
  <c r="M203" i="46" s="1"/>
  <c r="M183" i="28"/>
  <c r="G77" i="46"/>
  <c r="G191" i="46" s="1"/>
  <c r="G193" i="46" s="1"/>
  <c r="G196" i="46" s="1"/>
  <c r="G198" i="46" s="1"/>
  <c r="G178" i="28"/>
  <c r="Q113" i="4"/>
  <c r="P181" i="4"/>
  <c r="Q181" i="4" s="1"/>
  <c r="G186" i="28"/>
  <c r="L71" i="28"/>
  <c r="L90" i="28" s="1"/>
  <c r="L180" i="28" s="1"/>
  <c r="L185" i="28" s="1"/>
  <c r="L84" i="46"/>
  <c r="L81" i="46" s="1"/>
  <c r="L100" i="46" s="1"/>
  <c r="J5" i="81" s="1"/>
  <c r="N71" i="28"/>
  <c r="N90" i="28" s="1"/>
  <c r="N180" i="28" s="1"/>
  <c r="N185" i="28" s="1"/>
  <c r="N84" i="46"/>
  <c r="N81" i="46" s="1"/>
  <c r="N100" i="46" s="1"/>
  <c r="L5" i="81" s="1"/>
  <c r="E58" i="46"/>
  <c r="E120" i="28"/>
  <c r="E178" i="20"/>
  <c r="L7" i="81"/>
  <c r="K59" i="81"/>
  <c r="K63" i="81" s="1"/>
  <c r="K25" i="81" s="1"/>
  <c r="K6" i="81"/>
  <c r="Q120" i="4"/>
  <c r="P117" i="4"/>
  <c r="N188" i="46"/>
  <c r="K188" i="46"/>
  <c r="J183" i="28"/>
  <c r="L61" i="46"/>
  <c r="L58" i="46" s="1"/>
  <c r="L48" i="28"/>
  <c r="L67" i="28" s="1"/>
  <c r="N186" i="28"/>
  <c r="E67" i="28"/>
  <c r="I118" i="28"/>
  <c r="I120" i="28" s="1"/>
  <c r="I117" i="28" s="1"/>
  <c r="I136" i="28" s="1"/>
  <c r="I182" i="28" s="1"/>
  <c r="I82" i="46"/>
  <c r="I128" i="46" s="1"/>
  <c r="I130" i="46" s="1"/>
  <c r="I127" i="46" s="1"/>
  <c r="I146" i="46" s="1"/>
  <c r="I74" i="28"/>
  <c r="E180" i="4"/>
  <c r="E185" i="4" s="1"/>
  <c r="P90" i="4"/>
  <c r="Q67" i="4"/>
  <c r="P178" i="4"/>
  <c r="Q178" i="4" s="1"/>
  <c r="E128" i="46"/>
  <c r="K48" i="28"/>
  <c r="K67" i="28" s="1"/>
  <c r="K61" i="46"/>
  <c r="K58" i="46" s="1"/>
  <c r="E180" i="20"/>
  <c r="E185" i="20" s="1"/>
  <c r="E186" i="4"/>
  <c r="F61" i="46"/>
  <c r="F58" i="46" s="1"/>
  <c r="F48" i="28"/>
  <c r="F67" i="28" s="1"/>
  <c r="K71" i="28"/>
  <c r="K90" i="28" s="1"/>
  <c r="K180" i="28" s="1"/>
  <c r="K185" i="28" s="1"/>
  <c r="K84" i="46"/>
  <c r="K81" i="46" s="1"/>
  <c r="K100" i="46" s="1"/>
  <c r="I5" i="81" s="1"/>
  <c r="L186" i="28"/>
  <c r="G71" i="28"/>
  <c r="G90" i="28" s="1"/>
  <c r="G180" i="28" s="1"/>
  <c r="G185" i="28" s="1"/>
  <c r="G84" i="46"/>
  <c r="G81" i="46" s="1"/>
  <c r="G100" i="46" s="1"/>
  <c r="E5" i="81" s="1"/>
  <c r="L188" i="46"/>
  <c r="M187" i="28"/>
  <c r="I188" i="46"/>
  <c r="J178" i="28"/>
  <c r="J77" i="46"/>
  <c r="J191" i="46" s="1"/>
  <c r="J193" i="46" s="1"/>
  <c r="J196" i="46" s="1"/>
  <c r="J198" i="46" s="1"/>
  <c r="F188" i="46"/>
  <c r="H194" i="46"/>
  <c r="E177" i="28"/>
  <c r="E54" i="46"/>
  <c r="K186" i="28"/>
  <c r="F82" i="46"/>
  <c r="F128" i="46" s="1"/>
  <c r="F130" i="46" s="1"/>
  <c r="F127" i="46" s="1"/>
  <c r="F146" i="46" s="1"/>
  <c r="F118" i="28"/>
  <c r="F120" i="28" s="1"/>
  <c r="F117" i="28" s="1"/>
  <c r="F136" i="28" s="1"/>
  <c r="F182" i="28" s="1"/>
  <c r="F74" i="28"/>
  <c r="H59" i="81"/>
  <c r="H63" i="81" s="1"/>
  <c r="H25" i="81" s="1"/>
  <c r="I7" i="81"/>
  <c r="H6" i="81"/>
  <c r="E186" i="20"/>
  <c r="E71" i="28"/>
  <c r="E84" i="46"/>
  <c r="I61" i="46"/>
  <c r="I58" i="46" s="1"/>
  <c r="I48" i="28"/>
  <c r="I67" i="28" s="1"/>
  <c r="N61" i="46"/>
  <c r="N58" i="46" s="1"/>
  <c r="N48" i="28"/>
  <c r="N67" i="28" s="1"/>
  <c r="J187" i="28"/>
  <c r="E187" i="4" l="1"/>
  <c r="O204" i="46"/>
  <c r="O205" i="46" s="1"/>
  <c r="G194" i="46"/>
  <c r="G197" i="46" s="1"/>
  <c r="M197" i="46"/>
  <c r="M204" i="46" s="1"/>
  <c r="K187" i="28"/>
  <c r="L183" i="28"/>
  <c r="E187" i="20"/>
  <c r="E183" i="20"/>
  <c r="L187" i="28"/>
  <c r="N187" i="28"/>
  <c r="N178" i="28"/>
  <c r="N77" i="46"/>
  <c r="N191" i="46" s="1"/>
  <c r="N193" i="46" s="1"/>
  <c r="N196" i="46" s="1"/>
  <c r="N198" i="46" s="1"/>
  <c r="E90" i="28"/>
  <c r="E189" i="46"/>
  <c r="I178" i="28"/>
  <c r="I77" i="46"/>
  <c r="I191" i="46" s="1"/>
  <c r="I193" i="46" s="1"/>
  <c r="I196" i="46" s="1"/>
  <c r="I198" i="46" s="1"/>
  <c r="F178" i="28"/>
  <c r="F77" i="46"/>
  <c r="F191" i="46" s="1"/>
  <c r="F193" i="46" s="1"/>
  <c r="F196" i="46" s="1"/>
  <c r="F198" i="46" s="1"/>
  <c r="I71" i="28"/>
  <c r="I90" i="28" s="1"/>
  <c r="I180" i="28" s="1"/>
  <c r="I185" i="28" s="1"/>
  <c r="I84" i="46"/>
  <c r="I81" i="46" s="1"/>
  <c r="I100" i="46" s="1"/>
  <c r="G5" i="81" s="1"/>
  <c r="K7" i="81"/>
  <c r="K11" i="81" s="1"/>
  <c r="K4" i="81" s="1"/>
  <c r="J59" i="81"/>
  <c r="J63" i="81" s="1"/>
  <c r="J25" i="81" s="1"/>
  <c r="J6" i="81"/>
  <c r="G187" i="28"/>
  <c r="K178" i="28"/>
  <c r="K77" i="46"/>
  <c r="K191" i="46" s="1"/>
  <c r="K193" i="46" s="1"/>
  <c r="K196" i="46" s="1"/>
  <c r="K198" i="46" s="1"/>
  <c r="G183" i="28"/>
  <c r="E81" i="46"/>
  <c r="F71" i="28"/>
  <c r="F90" i="28" s="1"/>
  <c r="F180" i="28" s="1"/>
  <c r="F185" i="28" s="1"/>
  <c r="F84" i="46"/>
  <c r="F81" i="46" s="1"/>
  <c r="F100" i="46" s="1"/>
  <c r="D5" i="81" s="1"/>
  <c r="K183" i="28"/>
  <c r="H203" i="46"/>
  <c r="H197" i="46"/>
  <c r="E59" i="81"/>
  <c r="E63" i="81" s="1"/>
  <c r="E25" i="81" s="1"/>
  <c r="F7" i="81"/>
  <c r="F11" i="81" s="1"/>
  <c r="F4" i="81" s="1"/>
  <c r="E6" i="81"/>
  <c r="I59" i="81"/>
  <c r="I63" i="81" s="1"/>
  <c r="I25" i="81" s="1"/>
  <c r="J7" i="81"/>
  <c r="I6" i="81"/>
  <c r="I11" i="81" s="1"/>
  <c r="I4" i="81" s="1"/>
  <c r="E183" i="4"/>
  <c r="E130" i="46"/>
  <c r="Q90" i="4"/>
  <c r="P180" i="4"/>
  <c r="I186" i="28"/>
  <c r="N183" i="28"/>
  <c r="J194" i="46"/>
  <c r="E117" i="28"/>
  <c r="E136" i="28" s="1"/>
  <c r="E182" i="28" s="1"/>
  <c r="M7" i="81"/>
  <c r="M11" i="81" s="1"/>
  <c r="M4" i="81" s="1"/>
  <c r="L59" i="81"/>
  <c r="L63" i="81" s="1"/>
  <c r="L25" i="81" s="1"/>
  <c r="L6" i="81"/>
  <c r="L11" i="81" s="1"/>
  <c r="L4" i="81" s="1"/>
  <c r="F186" i="28"/>
  <c r="E178" i="28"/>
  <c r="E77" i="46"/>
  <c r="L178" i="28"/>
  <c r="L77" i="46"/>
  <c r="L191" i="46" s="1"/>
  <c r="L193" i="46" s="1"/>
  <c r="L196" i="46" s="1"/>
  <c r="L198" i="46" s="1"/>
  <c r="P136" i="4"/>
  <c r="Q117" i="4"/>
  <c r="O207" i="46" l="1"/>
  <c r="G203" i="46"/>
  <c r="M199" i="46"/>
  <c r="K194" i="46"/>
  <c r="K197" i="46" s="1"/>
  <c r="I194" i="46"/>
  <c r="I203" i="46" s="1"/>
  <c r="N194" i="46"/>
  <c r="N203" i="46" s="1"/>
  <c r="I187" i="28"/>
  <c r="F183" i="28"/>
  <c r="I183" i="28"/>
  <c r="F187" i="28"/>
  <c r="E186" i="28"/>
  <c r="D59" i="81"/>
  <c r="D63" i="81" s="1"/>
  <c r="D25" i="81" s="1"/>
  <c r="E7" i="81"/>
  <c r="E11" i="81" s="1"/>
  <c r="E4" i="81" s="1"/>
  <c r="D6" i="81"/>
  <c r="E127" i="46"/>
  <c r="E146" i="46" s="1"/>
  <c r="H199" i="46"/>
  <c r="H204" i="46"/>
  <c r="J11" i="81"/>
  <c r="J4" i="81" s="1"/>
  <c r="E188" i="46"/>
  <c r="E180" i="28"/>
  <c r="E185" i="28" s="1"/>
  <c r="E191" i="46"/>
  <c r="M205" i="46"/>
  <c r="M207" i="46"/>
  <c r="K203" i="46"/>
  <c r="G199" i="46"/>
  <c r="G204" i="46"/>
  <c r="J203" i="46"/>
  <c r="J197" i="46"/>
  <c r="E100" i="46"/>
  <c r="G59" i="81"/>
  <c r="G63" i="81" s="1"/>
  <c r="G25" i="81" s="1"/>
  <c r="H7" i="81"/>
  <c r="H11" i="81" s="1"/>
  <c r="H4" i="81" s="1"/>
  <c r="G6" i="81"/>
  <c r="G11" i="81" s="1"/>
  <c r="G4" i="81" s="1"/>
  <c r="L194" i="46"/>
  <c r="F194" i="46"/>
  <c r="Q136" i="4"/>
  <c r="P182" i="4"/>
  <c r="P185" i="4"/>
  <c r="Q185" i="4" s="1"/>
  <c r="Q180" i="4"/>
  <c r="N197" i="46" l="1"/>
  <c r="N204" i="46" s="1"/>
  <c r="I197" i="46"/>
  <c r="I199" i="46" s="1"/>
  <c r="F203" i="46"/>
  <c r="F197" i="46"/>
  <c r="E193" i="46"/>
  <c r="L203" i="46"/>
  <c r="L197" i="46"/>
  <c r="J199" i="46"/>
  <c r="J204" i="46"/>
  <c r="H205" i="46"/>
  <c r="H207" i="46"/>
  <c r="P183" i="4"/>
  <c r="Q183" i="4" s="1"/>
  <c r="Q182" i="4"/>
  <c r="P186" i="4"/>
  <c r="C5" i="81"/>
  <c r="E187" i="28"/>
  <c r="G205" i="46"/>
  <c r="G207" i="46"/>
  <c r="K199" i="46"/>
  <c r="K204" i="46"/>
  <c r="E194" i="46"/>
  <c r="E183" i="28"/>
  <c r="N199" i="46" l="1"/>
  <c r="I204" i="46"/>
  <c r="I207" i="46" s="1"/>
  <c r="Q186" i="4"/>
  <c r="P187" i="4"/>
  <c r="Q187" i="4" s="1"/>
  <c r="D7" i="81"/>
  <c r="D11" i="81" s="1"/>
  <c r="D4" i="81" s="1"/>
  <c r="C59" i="81"/>
  <c r="C6" i="81"/>
  <c r="E203" i="46"/>
  <c r="E197" i="46"/>
  <c r="L199" i="46"/>
  <c r="L204" i="46"/>
  <c r="E196" i="46"/>
  <c r="E198" i="46" s="1"/>
  <c r="K205" i="46"/>
  <c r="K207" i="46"/>
  <c r="J205" i="46"/>
  <c r="J207" i="46"/>
  <c r="F199" i="46"/>
  <c r="F204" i="46"/>
  <c r="N205" i="46"/>
  <c r="N207" i="46"/>
  <c r="I205" i="46" l="1"/>
  <c r="L205" i="46"/>
  <c r="L207" i="46"/>
  <c r="E204" i="46"/>
  <c r="E199" i="46"/>
  <c r="F205" i="46"/>
  <c r="F207" i="46"/>
  <c r="C63" i="81"/>
  <c r="E205" i="46" l="1"/>
  <c r="E207" i="46"/>
  <c r="C25" i="81"/>
  <c r="C9" i="80"/>
  <c r="D9" i="6" l="1"/>
  <c r="P9" i="6" s="1"/>
  <c r="Q9" i="6" s="1"/>
  <c r="C11" i="80"/>
  <c r="O9" i="80"/>
  <c r="D99" i="6" l="1"/>
  <c r="P99" i="6" s="1"/>
  <c r="D30" i="6"/>
  <c r="D53" i="6" s="1"/>
  <c r="D76" i="6" s="1"/>
  <c r="D5" i="6"/>
  <c r="O11" i="80"/>
  <c r="D13" i="6"/>
  <c r="P13" i="6" s="1"/>
  <c r="Q13" i="6" s="1"/>
  <c r="O8" i="80"/>
  <c r="P30" i="6" l="1"/>
  <c r="Q30" i="6" s="1"/>
  <c r="D34" i="6"/>
  <c r="P34" i="6" s="1"/>
  <c r="Q34" i="6" s="1"/>
  <c r="D103" i="6"/>
  <c r="D95" i="6"/>
  <c r="D26" i="6"/>
  <c r="D7" i="6"/>
  <c r="P5" i="6"/>
  <c r="Q5" i="6" s="1"/>
  <c r="P53" i="6"/>
  <c r="Q53" i="6" s="1"/>
  <c r="D57" i="6"/>
  <c r="Q99" i="6"/>
  <c r="P103" i="6"/>
  <c r="P76" i="6"/>
  <c r="Q76" i="6" s="1"/>
  <c r="D80" i="6"/>
  <c r="D122" i="6"/>
  <c r="P7" i="6" l="1"/>
  <c r="Q7" i="6" s="1"/>
  <c r="D4" i="6"/>
  <c r="P4" i="6" s="1"/>
  <c r="Q4" i="6" s="1"/>
  <c r="D49" i="6"/>
  <c r="D72" i="6" s="1"/>
  <c r="P26" i="6"/>
  <c r="Q26" i="6" s="1"/>
  <c r="D28" i="6"/>
  <c r="D97" i="6"/>
  <c r="P95" i="6"/>
  <c r="Q95" i="6" s="1"/>
  <c r="P80" i="6"/>
  <c r="Q80" i="6" s="1"/>
  <c r="P57" i="6"/>
  <c r="Q57" i="6" s="1"/>
  <c r="P122" i="6"/>
  <c r="D126" i="6"/>
  <c r="Q103" i="6"/>
  <c r="P97" i="6" l="1"/>
  <c r="D94" i="6"/>
  <c r="D113" i="6" s="1"/>
  <c r="D181" i="6" s="1"/>
  <c r="D51" i="6"/>
  <c r="P49" i="6"/>
  <c r="Q49" i="6" s="1"/>
  <c r="D118" i="6"/>
  <c r="P72" i="6"/>
  <c r="Q72" i="6" s="1"/>
  <c r="D74" i="6"/>
  <c r="P28" i="6"/>
  <c r="Q28" i="6" s="1"/>
  <c r="D25" i="6"/>
  <c r="Q122" i="6"/>
  <c r="P126" i="6"/>
  <c r="P51" i="6" l="1"/>
  <c r="Q51" i="6" s="1"/>
  <c r="D48" i="6"/>
  <c r="D44" i="6"/>
  <c r="P25" i="6"/>
  <c r="Q25" i="6" s="1"/>
  <c r="P118" i="6"/>
  <c r="Q118" i="6" s="1"/>
  <c r="D120" i="6"/>
  <c r="Q97" i="6"/>
  <c r="P94" i="6"/>
  <c r="P74" i="6"/>
  <c r="Q74" i="6" s="1"/>
  <c r="D71" i="6"/>
  <c r="Q126" i="6"/>
  <c r="P44" i="6" l="1"/>
  <c r="D177" i="6"/>
  <c r="Q94" i="6"/>
  <c r="P113" i="6"/>
  <c r="D90" i="6"/>
  <c r="P71" i="6"/>
  <c r="Q71" i="6" s="1"/>
  <c r="P120" i="6"/>
  <c r="D117" i="6"/>
  <c r="D136" i="6" s="1"/>
  <c r="D182" i="6" s="1"/>
  <c r="D186" i="6" s="1"/>
  <c r="D67" i="6"/>
  <c r="P48" i="6"/>
  <c r="Q48" i="6" s="1"/>
  <c r="P181" i="6" l="1"/>
  <c r="Q181" i="6" s="1"/>
  <c r="Q113" i="6"/>
  <c r="Q120" i="6"/>
  <c r="P117" i="6"/>
  <c r="D178" i="6"/>
  <c r="P67" i="6"/>
  <c r="P90" i="6"/>
  <c r="D180" i="6"/>
  <c r="D185" i="6" s="1"/>
  <c r="P177" i="6"/>
  <c r="Q177" i="6" s="1"/>
  <c r="Q44" i="6"/>
  <c r="P136" i="6" l="1"/>
  <c r="Q117" i="6"/>
  <c r="D183" i="6"/>
  <c r="Q67" i="6"/>
  <c r="P178" i="6"/>
  <c r="Q178" i="6" s="1"/>
  <c r="Q90" i="6"/>
  <c r="P180" i="6"/>
  <c r="D187" i="6"/>
  <c r="Q180" i="6" l="1"/>
  <c r="P185" i="6"/>
  <c r="Q185" i="6" s="1"/>
  <c r="P182" i="6"/>
  <c r="Q136" i="6"/>
  <c r="C15" i="80"/>
  <c r="Q182" i="6" l="1"/>
  <c r="P186" i="6"/>
  <c r="P183" i="6"/>
  <c r="Q183" i="6" s="1"/>
  <c r="D9" i="5"/>
  <c r="D30" i="5" s="1"/>
  <c r="D53" i="5" s="1"/>
  <c r="C17" i="80"/>
  <c r="O15" i="80"/>
  <c r="P30" i="5" l="1"/>
  <c r="Q30" i="5" s="1"/>
  <c r="D34" i="5"/>
  <c r="P34" i="5" s="1"/>
  <c r="Q34" i="5" s="1"/>
  <c r="Q186" i="6"/>
  <c r="P187" i="6"/>
  <c r="Q187" i="6" s="1"/>
  <c r="D99" i="5"/>
  <c r="D103" i="5" s="1"/>
  <c r="D13" i="5"/>
  <c r="P9" i="5"/>
  <c r="Q9" i="5" s="1"/>
  <c r="D5" i="5"/>
  <c r="O17" i="80"/>
  <c r="O14" i="80" s="1"/>
  <c r="D57" i="5"/>
  <c r="P53" i="5"/>
  <c r="Q53" i="5" s="1"/>
  <c r="P13" i="5"/>
  <c r="Q13" i="5" s="1"/>
  <c r="D76" i="5"/>
  <c r="P99" i="5" l="1"/>
  <c r="Q99" i="5" s="1"/>
  <c r="D95" i="5"/>
  <c r="P5" i="5"/>
  <c r="Q5" i="5" s="1"/>
  <c r="D26" i="5"/>
  <c r="D7" i="5"/>
  <c r="P57" i="5"/>
  <c r="Q57" i="5" s="1"/>
  <c r="P76" i="5"/>
  <c r="Q76" i="5" s="1"/>
  <c r="D122" i="5"/>
  <c r="D80" i="5"/>
  <c r="P103" i="5" l="1"/>
  <c r="Q103" i="5" s="1"/>
  <c r="D97" i="5"/>
  <c r="P95" i="5"/>
  <c r="Q95" i="5" s="1"/>
  <c r="D49" i="5"/>
  <c r="D72" i="5" s="1"/>
  <c r="D28" i="5"/>
  <c r="P26" i="5"/>
  <c r="Q26" i="5" s="1"/>
  <c r="P7" i="5"/>
  <c r="Q7" i="5" s="1"/>
  <c r="D4" i="5"/>
  <c r="P4" i="5" s="1"/>
  <c r="Q4" i="5" s="1"/>
  <c r="P80" i="5"/>
  <c r="Q80" i="5" s="1"/>
  <c r="D126" i="5"/>
  <c r="P122" i="5"/>
  <c r="P28" i="5" l="1"/>
  <c r="Q28" i="5" s="1"/>
  <c r="D25" i="5"/>
  <c r="D51" i="5"/>
  <c r="P49" i="5"/>
  <c r="Q49" i="5" s="1"/>
  <c r="D118" i="5"/>
  <c r="D74" i="5"/>
  <c r="P72" i="5"/>
  <c r="Q72" i="5" s="1"/>
  <c r="P97" i="5"/>
  <c r="D94" i="5"/>
  <c r="D113" i="5" s="1"/>
  <c r="D181" i="5" s="1"/>
  <c r="P126" i="5"/>
  <c r="Q122" i="5"/>
  <c r="P74" i="5" l="1"/>
  <c r="Q74" i="5" s="1"/>
  <c r="D71" i="5"/>
  <c r="P51" i="5"/>
  <c r="Q51" i="5" s="1"/>
  <c r="D48" i="5"/>
  <c r="D120" i="5"/>
  <c r="P118" i="5"/>
  <c r="Q118" i="5" s="1"/>
  <c r="D44" i="5"/>
  <c r="P25" i="5"/>
  <c r="Q25" i="5" s="1"/>
  <c r="Q97" i="5"/>
  <c r="P94" i="5"/>
  <c r="Q126" i="5"/>
  <c r="P44" i="5" l="1"/>
  <c r="D177" i="5"/>
  <c r="D90" i="5"/>
  <c r="P71" i="5"/>
  <c r="Q71" i="5" s="1"/>
  <c r="P48" i="5"/>
  <c r="Q48" i="5" s="1"/>
  <c r="D67" i="5"/>
  <c r="P113" i="5"/>
  <c r="Q94" i="5"/>
  <c r="P120" i="5"/>
  <c r="D117" i="5"/>
  <c r="D136" i="5" s="1"/>
  <c r="D182" i="5" s="1"/>
  <c r="D186" i="5" s="1"/>
  <c r="P181" i="5" l="1"/>
  <c r="Q181" i="5" s="1"/>
  <c r="Q113" i="5"/>
  <c r="D180" i="5"/>
  <c r="D185" i="5" s="1"/>
  <c r="P90" i="5"/>
  <c r="P67" i="5"/>
  <c r="D178" i="5"/>
  <c r="Q120" i="5"/>
  <c r="P117" i="5"/>
  <c r="P177" i="5"/>
  <c r="Q177" i="5" s="1"/>
  <c r="Q44" i="5"/>
  <c r="P178" i="5" l="1"/>
  <c r="Q178" i="5" s="1"/>
  <c r="Q67" i="5"/>
  <c r="D183" i="5"/>
  <c r="P136" i="5"/>
  <c r="Q117" i="5"/>
  <c r="P180" i="5"/>
  <c r="Q90" i="5"/>
  <c r="D187" i="5"/>
  <c r="Q136" i="5" l="1"/>
  <c r="P182" i="5"/>
  <c r="P185" i="5"/>
  <c r="Q185" i="5" s="1"/>
  <c r="Q180" i="5"/>
  <c r="P14" i="39"/>
  <c r="C23" i="80"/>
  <c r="Q14" i="39" l="1"/>
  <c r="O23" i="80"/>
  <c r="D5" i="7"/>
  <c r="Q182" i="5"/>
  <c r="P183" i="5"/>
  <c r="Q183" i="5" s="1"/>
  <c r="P186" i="5"/>
  <c r="D9" i="7"/>
  <c r="D30" i="7" s="1"/>
  <c r="O21" i="80"/>
  <c r="D13" i="7" l="1"/>
  <c r="P13" i="7" s="1"/>
  <c r="Q13" i="7" s="1"/>
  <c r="D99" i="7"/>
  <c r="D103" i="7" s="1"/>
  <c r="P9" i="7"/>
  <c r="Q9" i="7" s="1"/>
  <c r="O20" i="80"/>
  <c r="D95" i="7"/>
  <c r="D26" i="7"/>
  <c r="D7" i="7"/>
  <c r="P7" i="7" s="1"/>
  <c r="Q7" i="7" s="1"/>
  <c r="P5" i="7"/>
  <c r="Q5" i="7" s="1"/>
  <c r="Q186" i="5"/>
  <c r="P187" i="5"/>
  <c r="Q187" i="5" s="1"/>
  <c r="D53" i="7"/>
  <c r="D76" i="7" s="1"/>
  <c r="P30" i="7"/>
  <c r="Q30" i="7" s="1"/>
  <c r="D34" i="7"/>
  <c r="P99" i="7"/>
  <c r="D49" i="7" l="1"/>
  <c r="D72" i="7" s="1"/>
  <c r="D28" i="7"/>
  <c r="P28" i="7" s="1"/>
  <c r="Q28" i="7" s="1"/>
  <c r="P26" i="7"/>
  <c r="Q26" i="7" s="1"/>
  <c r="D4" i="7"/>
  <c r="P4" i="7" s="1"/>
  <c r="Q4" i="7" s="1"/>
  <c r="P95" i="7"/>
  <c r="Q95" i="7" s="1"/>
  <c r="D97" i="7"/>
  <c r="P97" i="7" s="1"/>
  <c r="Q97" i="7" s="1"/>
  <c r="Q99" i="7"/>
  <c r="P103" i="7"/>
  <c r="P53" i="7"/>
  <c r="Q53" i="7" s="1"/>
  <c r="D57" i="7"/>
  <c r="P34" i="7"/>
  <c r="Q34" i="7" s="1"/>
  <c r="P76" i="7"/>
  <c r="Q76" i="7" s="1"/>
  <c r="D80" i="7"/>
  <c r="D122" i="7"/>
  <c r="D25" i="7" l="1"/>
  <c r="D44" i="7" s="1"/>
  <c r="D118" i="7"/>
  <c r="D74" i="7"/>
  <c r="P74" i="7" s="1"/>
  <c r="Q74" i="7" s="1"/>
  <c r="P72" i="7"/>
  <c r="Q72" i="7" s="1"/>
  <c r="D51" i="7"/>
  <c r="P51" i="7" s="1"/>
  <c r="Q51" i="7" s="1"/>
  <c r="P49" i="7"/>
  <c r="Q49" i="7" s="1"/>
  <c r="D94" i="7"/>
  <c r="D113" i="7" s="1"/>
  <c r="D181" i="7" s="1"/>
  <c r="P122" i="7"/>
  <c r="D126" i="7"/>
  <c r="P80" i="7"/>
  <c r="Q80" i="7" s="1"/>
  <c r="Q103" i="7"/>
  <c r="P94" i="7"/>
  <c r="P57" i="7"/>
  <c r="Q57" i="7" s="1"/>
  <c r="P25" i="7" l="1"/>
  <c r="Q25" i="7" s="1"/>
  <c r="D71" i="7"/>
  <c r="D90" i="7" s="1"/>
  <c r="D48" i="7"/>
  <c r="D67" i="7" s="1"/>
  <c r="D120" i="7"/>
  <c r="P120" i="7" s="1"/>
  <c r="Q120" i="7" s="1"/>
  <c r="P118" i="7"/>
  <c r="Q118" i="7" s="1"/>
  <c r="P113" i="7"/>
  <c r="Q94" i="7"/>
  <c r="P126" i="7"/>
  <c r="Q122" i="7"/>
  <c r="D177" i="7"/>
  <c r="P44" i="7"/>
  <c r="P71" i="7" l="1"/>
  <c r="Q71" i="7" s="1"/>
  <c r="P48" i="7"/>
  <c r="Q48" i="7" s="1"/>
  <c r="D117" i="7"/>
  <c r="D136" i="7" s="1"/>
  <c r="D182" i="7" s="1"/>
  <c r="D186" i="7" s="1"/>
  <c r="Q44" i="7"/>
  <c r="P177" i="7"/>
  <c r="Q177" i="7" s="1"/>
  <c r="P117" i="7"/>
  <c r="Q126" i="7"/>
  <c r="P90" i="7"/>
  <c r="D180" i="7"/>
  <c r="P181" i="7"/>
  <c r="Q181" i="7" s="1"/>
  <c r="Q113" i="7"/>
  <c r="P67" i="7"/>
  <c r="D178" i="7"/>
  <c r="D185" i="7" l="1"/>
  <c r="D183" i="7"/>
  <c r="P178" i="7"/>
  <c r="Q178" i="7" s="1"/>
  <c r="Q67" i="7"/>
  <c r="Q90" i="7"/>
  <c r="P180" i="7"/>
  <c r="D187" i="7"/>
  <c r="Q117" i="7"/>
  <c r="P136" i="7"/>
  <c r="P182" i="7" l="1"/>
  <c r="Q136" i="7"/>
  <c r="Q180" i="7"/>
  <c r="P185" i="7"/>
  <c r="Q185" i="7" s="1"/>
  <c r="Q182" i="7" l="1"/>
  <c r="P183" i="7"/>
  <c r="Q183" i="7" s="1"/>
  <c r="P186" i="7"/>
  <c r="Q186" i="7" l="1"/>
  <c r="P187" i="7"/>
  <c r="Q187" i="7" s="1"/>
  <c r="C35" i="80"/>
  <c r="C33" i="80" l="1"/>
  <c r="D5" i="9"/>
  <c r="D26" i="9" s="1"/>
  <c r="D11" i="9"/>
  <c r="O34" i="80"/>
  <c r="O35" i="80"/>
  <c r="P5" i="9" l="1"/>
  <c r="Q5" i="9" s="1"/>
  <c r="D9" i="9"/>
  <c r="O33" i="80"/>
  <c r="O32" i="80"/>
  <c r="D7" i="9"/>
  <c r="P7" i="9" s="1"/>
  <c r="Q7" i="9" s="1"/>
  <c r="D95" i="9"/>
  <c r="D97" i="9" s="1"/>
  <c r="P11" i="9"/>
  <c r="Q11" i="9" s="1"/>
  <c r="D101" i="9"/>
  <c r="D32" i="9"/>
  <c r="D13" i="9"/>
  <c r="P13" i="9" s="1"/>
  <c r="Q13" i="9" s="1"/>
  <c r="P26" i="9"/>
  <c r="Q26" i="9" s="1"/>
  <c r="D28" i="9"/>
  <c r="D49" i="9"/>
  <c r="P95" i="9" l="1"/>
  <c r="Q95" i="9" s="1"/>
  <c r="P9" i="9"/>
  <c r="Q9" i="9" s="1"/>
  <c r="D30" i="9"/>
  <c r="D34" i="9" s="1"/>
  <c r="P34" i="9" s="1"/>
  <c r="Q34" i="9" s="1"/>
  <c r="D99" i="9"/>
  <c r="P99" i="9" s="1"/>
  <c r="Q99" i="9" s="1"/>
  <c r="D55" i="9"/>
  <c r="D78" i="9" s="1"/>
  <c r="P32" i="9"/>
  <c r="Q32" i="9" s="1"/>
  <c r="D4" i="9"/>
  <c r="P4" i="9" s="1"/>
  <c r="Q4" i="9" s="1"/>
  <c r="D103" i="9"/>
  <c r="D94" i="9" s="1"/>
  <c r="D113" i="9" s="1"/>
  <c r="D181" i="9" s="1"/>
  <c r="P101" i="9"/>
  <c r="P49" i="9"/>
  <c r="Q49" i="9" s="1"/>
  <c r="D51" i="9"/>
  <c r="P28" i="9"/>
  <c r="Q28" i="9" s="1"/>
  <c r="P97" i="9"/>
  <c r="D72" i="9"/>
  <c r="D53" i="9" l="1"/>
  <c r="P53" i="9" s="1"/>
  <c r="Q53" i="9" s="1"/>
  <c r="P30" i="9"/>
  <c r="Q30" i="9" s="1"/>
  <c r="D76" i="9"/>
  <c r="D25" i="9"/>
  <c r="D44" i="9" s="1"/>
  <c r="D124" i="9"/>
  <c r="D80" i="9"/>
  <c r="P80" i="9" s="1"/>
  <c r="Q80" i="9" s="1"/>
  <c r="P78" i="9"/>
  <c r="Q78" i="9" s="1"/>
  <c r="Q101" i="9"/>
  <c r="P103" i="9"/>
  <c r="Q103" i="9" s="1"/>
  <c r="D57" i="9"/>
  <c r="P57" i="9" s="1"/>
  <c r="Q57" i="9" s="1"/>
  <c r="P55" i="9"/>
  <c r="Q55" i="9" s="1"/>
  <c r="Q97" i="9"/>
  <c r="P72" i="9"/>
  <c r="Q72" i="9" s="1"/>
  <c r="D74" i="9"/>
  <c r="D118" i="9"/>
  <c r="P51" i="9"/>
  <c r="Q51" i="9" s="1"/>
  <c r="P25" i="9" l="1"/>
  <c r="Q25" i="9" s="1"/>
  <c r="D122" i="9"/>
  <c r="P122" i="9" s="1"/>
  <c r="Q122" i="9" s="1"/>
  <c r="P76" i="9"/>
  <c r="Q76" i="9" s="1"/>
  <c r="D48" i="9"/>
  <c r="D67" i="9" s="1"/>
  <c r="P94" i="9"/>
  <c r="P113" i="9" s="1"/>
  <c r="P124" i="9"/>
  <c r="D126" i="9"/>
  <c r="P118" i="9"/>
  <c r="Q118" i="9" s="1"/>
  <c r="D120" i="9"/>
  <c r="D177" i="9"/>
  <c r="P44" i="9"/>
  <c r="P74" i="9"/>
  <c r="Q74" i="9" s="1"/>
  <c r="D71" i="9"/>
  <c r="P48" i="9" l="1"/>
  <c r="Q48" i="9" s="1"/>
  <c r="Q94" i="9"/>
  <c r="Q124" i="9"/>
  <c r="P126" i="9"/>
  <c r="Q126" i="9" s="1"/>
  <c r="P71" i="9"/>
  <c r="Q71" i="9" s="1"/>
  <c r="D90" i="9"/>
  <c r="Q44" i="9"/>
  <c r="P177" i="9"/>
  <c r="Q177" i="9" s="1"/>
  <c r="D178" i="9"/>
  <c r="P67" i="9"/>
  <c r="Q113" i="9"/>
  <c r="P181" i="9"/>
  <c r="Q181" i="9" s="1"/>
  <c r="P120" i="9"/>
  <c r="D117" i="9"/>
  <c r="D136" i="9" s="1"/>
  <c r="D182" i="9" s="1"/>
  <c r="P117" i="9" l="1"/>
  <c r="Q120" i="9"/>
  <c r="Q67" i="9"/>
  <c r="P178" i="9"/>
  <c r="Q178" i="9" s="1"/>
  <c r="P90" i="9"/>
  <c r="D180" i="9"/>
  <c r="D185" i="9" s="1"/>
  <c r="D186" i="9"/>
  <c r="D187" i="9" l="1"/>
  <c r="D183" i="9"/>
  <c r="P180" i="9"/>
  <c r="Q90" i="9"/>
  <c r="Q117" i="9"/>
  <c r="P136" i="9"/>
  <c r="P185" i="9" l="1"/>
  <c r="Q185" i="9" s="1"/>
  <c r="Q180" i="9"/>
  <c r="Q136" i="9"/>
  <c r="P182" i="9"/>
  <c r="Q182" i="9" l="1"/>
  <c r="P186" i="9"/>
  <c r="P183" i="9"/>
  <c r="Q183" i="9" s="1"/>
  <c r="P187" i="9" l="1"/>
  <c r="Q187" i="9" s="1"/>
  <c r="Q186" i="9"/>
  <c r="O40" i="80" l="1"/>
  <c r="D11" i="10"/>
  <c r="O41" i="80"/>
  <c r="O38" i="80" s="1"/>
  <c r="D5" i="10"/>
  <c r="D101" i="10" l="1"/>
  <c r="D13" i="10"/>
  <c r="P13" i="10" s="1"/>
  <c r="Q13" i="10" s="1"/>
  <c r="D32" i="10"/>
  <c r="P11" i="10"/>
  <c r="Q11" i="10" s="1"/>
  <c r="D7" i="10"/>
  <c r="P5" i="10"/>
  <c r="Q5" i="10" s="1"/>
  <c r="D95" i="10"/>
  <c r="D26" i="10"/>
  <c r="D55" i="10" l="1"/>
  <c r="D78" i="10" s="1"/>
  <c r="D34" i="10"/>
  <c r="P34" i="10" s="1"/>
  <c r="Q34" i="10" s="1"/>
  <c r="P32" i="10"/>
  <c r="Q32" i="10" s="1"/>
  <c r="D103" i="10"/>
  <c r="P101" i="10"/>
  <c r="D49" i="10"/>
  <c r="D72" i="10" s="1"/>
  <c r="D28" i="10"/>
  <c r="P26" i="10"/>
  <c r="Q26" i="10" s="1"/>
  <c r="P7" i="10"/>
  <c r="Q7" i="10" s="1"/>
  <c r="D4" i="10"/>
  <c r="P4" i="10" s="1"/>
  <c r="Q4" i="10" s="1"/>
  <c r="D97" i="10"/>
  <c r="P95" i="10"/>
  <c r="Q95" i="10" s="1"/>
  <c r="D124" i="10" l="1"/>
  <c r="D80" i="10"/>
  <c r="P80" i="10" s="1"/>
  <c r="Q80" i="10" s="1"/>
  <c r="P78" i="10"/>
  <c r="Q78" i="10" s="1"/>
  <c r="Q101" i="10"/>
  <c r="P103" i="10"/>
  <c r="Q103" i="10" s="1"/>
  <c r="D57" i="10"/>
  <c r="P57" i="10" s="1"/>
  <c r="Q57" i="10" s="1"/>
  <c r="P55" i="10"/>
  <c r="Q55" i="10" s="1"/>
  <c r="D51" i="10"/>
  <c r="P49" i="10"/>
  <c r="Q49" i="10" s="1"/>
  <c r="P72" i="10"/>
  <c r="Q72" i="10" s="1"/>
  <c r="D118" i="10"/>
  <c r="D74" i="10"/>
  <c r="D94" i="10"/>
  <c r="D113" i="10" s="1"/>
  <c r="D181" i="10" s="1"/>
  <c r="P97" i="10"/>
  <c r="P28" i="10"/>
  <c r="Q28" i="10" s="1"/>
  <c r="D25" i="10"/>
  <c r="D126" i="10" l="1"/>
  <c r="P124" i="10"/>
  <c r="P118" i="10"/>
  <c r="Q118" i="10" s="1"/>
  <c r="D120" i="10"/>
  <c r="P94" i="10"/>
  <c r="Q97" i="10"/>
  <c r="D44" i="10"/>
  <c r="P25" i="10"/>
  <c r="Q25" i="10" s="1"/>
  <c r="P74" i="10"/>
  <c r="Q74" i="10" s="1"/>
  <c r="D71" i="10"/>
  <c r="P51" i="10"/>
  <c r="Q51" i="10" s="1"/>
  <c r="D48" i="10"/>
  <c r="Q124" i="10" l="1"/>
  <c r="P126" i="10"/>
  <c r="Q126" i="10" s="1"/>
  <c r="D67" i="10"/>
  <c r="P48" i="10"/>
  <c r="Q48" i="10" s="1"/>
  <c r="P71" i="10"/>
  <c r="Q71" i="10" s="1"/>
  <c r="D90" i="10"/>
  <c r="P113" i="10"/>
  <c r="Q94" i="10"/>
  <c r="P44" i="10"/>
  <c r="D177" i="10"/>
  <c r="D117" i="10"/>
  <c r="D136" i="10" s="1"/>
  <c r="D182" i="10" s="1"/>
  <c r="P120" i="10"/>
  <c r="Q120" i="10" l="1"/>
  <c r="P117" i="10"/>
  <c r="P177" i="10"/>
  <c r="P90" i="10"/>
  <c r="D180" i="10"/>
  <c r="D185" i="10" s="1"/>
  <c r="D186" i="10"/>
  <c r="Q113" i="10"/>
  <c r="P181" i="10"/>
  <c r="Q181" i="10" s="1"/>
  <c r="D178" i="10"/>
  <c r="P67" i="10"/>
  <c r="D183" i="10" l="1"/>
  <c r="Q67" i="10"/>
  <c r="P178" i="10"/>
  <c r="Q178" i="10" s="1"/>
  <c r="P136" i="10"/>
  <c r="Q117" i="10"/>
  <c r="D187" i="10"/>
  <c r="P180" i="10"/>
  <c r="P185" i="10" l="1"/>
  <c r="Q185" i="10" s="1"/>
  <c r="P182" i="10"/>
  <c r="P183" i="10" l="1"/>
  <c r="P186" i="10"/>
  <c r="P187" i="10" l="1"/>
  <c r="P17" i="39"/>
  <c r="Q17" i="39" l="1"/>
  <c r="P4" i="39"/>
  <c r="D9" i="11"/>
  <c r="D30" i="11" s="1"/>
  <c r="C47" i="80"/>
  <c r="O45" i="80"/>
  <c r="D99" i="11" l="1"/>
  <c r="D103" i="11" s="1"/>
  <c r="P23" i="39"/>
  <c r="Q4" i="39"/>
  <c r="P9" i="11"/>
  <c r="Q9" i="11" s="1"/>
  <c r="D13" i="11"/>
  <c r="P13" i="11" s="1"/>
  <c r="Q13" i="11" s="1"/>
  <c r="D5" i="11"/>
  <c r="O47" i="80"/>
  <c r="O44" i="80" s="1"/>
  <c r="D34" i="11"/>
  <c r="P30" i="11"/>
  <c r="Q30" i="11" s="1"/>
  <c r="D53" i="11"/>
  <c r="D76" i="11" s="1"/>
  <c r="P99" i="11" l="1"/>
  <c r="P103" i="11" s="1"/>
  <c r="D26" i="11"/>
  <c r="P5" i="11"/>
  <c r="Q5" i="11" s="1"/>
  <c r="D95" i="11"/>
  <c r="D7" i="11"/>
  <c r="D122" i="11"/>
  <c r="D80" i="11"/>
  <c r="P76" i="11"/>
  <c r="Q76" i="11" s="1"/>
  <c r="Q99" i="11"/>
  <c r="P53" i="11"/>
  <c r="Q53" i="11" s="1"/>
  <c r="D57" i="11"/>
  <c r="P34" i="11"/>
  <c r="Q34" i="11" s="1"/>
  <c r="P95" i="11" l="1"/>
  <c r="Q95" i="11" s="1"/>
  <c r="D97" i="11"/>
  <c r="P26" i="11"/>
  <c r="Q26" i="11" s="1"/>
  <c r="D49" i="11"/>
  <c r="D72" i="11" s="1"/>
  <c r="D28" i="11"/>
  <c r="P7" i="11"/>
  <c r="Q7" i="11" s="1"/>
  <c r="D4" i="11"/>
  <c r="P4" i="11" s="1"/>
  <c r="Q4" i="11" s="1"/>
  <c r="P80" i="11"/>
  <c r="Q80" i="11" s="1"/>
  <c r="P57" i="11"/>
  <c r="Q57" i="11" s="1"/>
  <c r="Q103" i="11"/>
  <c r="D126" i="11"/>
  <c r="P122" i="11"/>
  <c r="D74" i="11" l="1"/>
  <c r="D118" i="11"/>
  <c r="P72" i="11"/>
  <c r="Q72" i="11" s="1"/>
  <c r="P97" i="11"/>
  <c r="D94" i="11"/>
  <c r="D113" i="11" s="1"/>
  <c r="D181" i="11" s="1"/>
  <c r="D51" i="11"/>
  <c r="P49" i="11"/>
  <c r="Q49" i="11" s="1"/>
  <c r="P28" i="11"/>
  <c r="Q28" i="11" s="1"/>
  <c r="D25" i="11"/>
  <c r="P126" i="11"/>
  <c r="Q122" i="11"/>
  <c r="Q97" i="11" l="1"/>
  <c r="P94" i="11"/>
  <c r="D44" i="11"/>
  <c r="P25" i="11"/>
  <c r="Q25" i="11" s="1"/>
  <c r="P51" i="11"/>
  <c r="Q51" i="11" s="1"/>
  <c r="D48" i="11"/>
  <c r="P118" i="11"/>
  <c r="Q118" i="11" s="1"/>
  <c r="D120" i="11"/>
  <c r="P74" i="11"/>
  <c r="Q74" i="11" s="1"/>
  <c r="D71" i="11"/>
  <c r="Q126" i="11"/>
  <c r="P120" i="11" l="1"/>
  <c r="D117" i="11"/>
  <c r="D136" i="11" s="1"/>
  <c r="D182" i="11" s="1"/>
  <c r="D186" i="11" s="1"/>
  <c r="P44" i="11"/>
  <c r="D177" i="11"/>
  <c r="D90" i="11"/>
  <c r="P71" i="11"/>
  <c r="Q71" i="11" s="1"/>
  <c r="D67" i="11"/>
  <c r="P48" i="11"/>
  <c r="Q48" i="11" s="1"/>
  <c r="P113" i="11"/>
  <c r="Q94" i="11"/>
  <c r="D178" i="11" l="1"/>
  <c r="P67" i="11"/>
  <c r="Q44" i="11"/>
  <c r="P177" i="11"/>
  <c r="Q177" i="11" s="1"/>
  <c r="Q113" i="11"/>
  <c r="P181" i="11"/>
  <c r="Q181" i="11" s="1"/>
  <c r="D180" i="11"/>
  <c r="P90" i="11"/>
  <c r="Q120" i="11"/>
  <c r="P117" i="11"/>
  <c r="P136" i="11" l="1"/>
  <c r="Q117" i="11"/>
  <c r="P178" i="11"/>
  <c r="Q178" i="11" s="1"/>
  <c r="Q67" i="11"/>
  <c r="D185" i="11"/>
  <c r="D183" i="11"/>
  <c r="Q90" i="11"/>
  <c r="P180" i="11"/>
  <c r="D187" i="11"/>
  <c r="Q180" i="11" l="1"/>
  <c r="P185" i="11"/>
  <c r="Q185" i="11" s="1"/>
  <c r="Q136" i="11"/>
  <c r="P182" i="11"/>
  <c r="P183" i="11" l="1"/>
  <c r="Q183" i="11" s="1"/>
  <c r="Q182" i="11"/>
  <c r="P186" i="11"/>
  <c r="C59" i="80"/>
  <c r="O57" i="80"/>
  <c r="D9" i="13"/>
  <c r="O59" i="80" l="1"/>
  <c r="O56" i="80"/>
  <c r="P187" i="11"/>
  <c r="Q187" i="11" s="1"/>
  <c r="Q186" i="11"/>
  <c r="D5" i="13"/>
  <c r="P5" i="13" s="1"/>
  <c r="Q5" i="13" s="1"/>
  <c r="D13" i="13"/>
  <c r="P13" i="13" s="1"/>
  <c r="Q13" i="13" s="1"/>
  <c r="P9" i="13"/>
  <c r="Q9" i="13" s="1"/>
  <c r="D99" i="13"/>
  <c r="D30" i="13"/>
  <c r="D7" i="13" l="1"/>
  <c r="D95" i="13"/>
  <c r="P95" i="13" s="1"/>
  <c r="Q95" i="13" s="1"/>
  <c r="D26" i="13"/>
  <c r="P26" i="13" s="1"/>
  <c r="Q26" i="13" s="1"/>
  <c r="D34" i="13"/>
  <c r="P34" i="13" s="1"/>
  <c r="Q34" i="13" s="1"/>
  <c r="P30" i="13"/>
  <c r="Q30" i="13" s="1"/>
  <c r="D53" i="13"/>
  <c r="D76" i="13" s="1"/>
  <c r="P99" i="13"/>
  <c r="D103" i="13"/>
  <c r="P7" i="13"/>
  <c r="Q7" i="13" s="1"/>
  <c r="D4" i="13"/>
  <c r="P4" i="13" s="1"/>
  <c r="Q4" i="13" s="1"/>
  <c r="D49" i="13" l="1"/>
  <c r="D72" i="13" s="1"/>
  <c r="D28" i="13"/>
  <c r="P28" i="13" s="1"/>
  <c r="Q28" i="13" s="1"/>
  <c r="D97" i="13"/>
  <c r="D94" i="13" s="1"/>
  <c r="D113" i="13" s="1"/>
  <c r="D181" i="13" s="1"/>
  <c r="D122" i="13"/>
  <c r="P76" i="13"/>
  <c r="Q76" i="13" s="1"/>
  <c r="D80" i="13"/>
  <c r="P80" i="13" s="1"/>
  <c r="Q80" i="13" s="1"/>
  <c r="D25" i="13"/>
  <c r="Q99" i="13"/>
  <c r="P103" i="13"/>
  <c r="Q103" i="13" s="1"/>
  <c r="P53" i="13"/>
  <c r="Q53" i="13" s="1"/>
  <c r="D57" i="13"/>
  <c r="P57" i="13" l="1"/>
  <c r="Q57" i="13" s="1"/>
  <c r="P49" i="13"/>
  <c r="Q49" i="13" s="1"/>
  <c r="D51" i="13"/>
  <c r="P51" i="13" s="1"/>
  <c r="Q51" i="13" s="1"/>
  <c r="P97" i="13"/>
  <c r="Q97" i="13" s="1"/>
  <c r="P25" i="13"/>
  <c r="Q25" i="13" s="1"/>
  <c r="D44" i="13"/>
  <c r="P72" i="13"/>
  <c r="Q72" i="13" s="1"/>
  <c r="D74" i="13"/>
  <c r="D118" i="13"/>
  <c r="D126" i="13"/>
  <c r="P122" i="13"/>
  <c r="D48" i="13" l="1"/>
  <c r="P48" i="13" s="1"/>
  <c r="Q48" i="13" s="1"/>
  <c r="P94" i="13"/>
  <c r="Q94" i="13" s="1"/>
  <c r="D67" i="13"/>
  <c r="Q122" i="13"/>
  <c r="P126" i="13"/>
  <c r="Q126" i="13" s="1"/>
  <c r="P118" i="13"/>
  <c r="Q118" i="13" s="1"/>
  <c r="D120" i="13"/>
  <c r="P74" i="13"/>
  <c r="Q74" i="13" s="1"/>
  <c r="D71" i="13"/>
  <c r="D177" i="13"/>
  <c r="P44" i="13"/>
  <c r="P113" i="13" l="1"/>
  <c r="Q113" i="13" s="1"/>
  <c r="Q44" i="13"/>
  <c r="P177" i="13"/>
  <c r="Q177" i="13" s="1"/>
  <c r="P71" i="13"/>
  <c r="Q71" i="13" s="1"/>
  <c r="D90" i="13"/>
  <c r="D117" i="13"/>
  <c r="D136" i="13" s="1"/>
  <c r="D182" i="13" s="1"/>
  <c r="P120" i="13"/>
  <c r="D178" i="13"/>
  <c r="P67" i="13"/>
  <c r="P181" i="13" l="1"/>
  <c r="Q181" i="13" s="1"/>
  <c r="Q67" i="13"/>
  <c r="P178" i="13"/>
  <c r="Q178" i="13" s="1"/>
  <c r="D186" i="13"/>
  <c r="P117" i="13"/>
  <c r="Q120" i="13"/>
  <c r="P90" i="13"/>
  <c r="D180" i="13"/>
  <c r="D185" i="13" s="1"/>
  <c r="D187" i="13" l="1"/>
  <c r="D183" i="13"/>
  <c r="Q117" i="13"/>
  <c r="P136" i="13"/>
  <c r="Q90" i="13"/>
  <c r="P180" i="13"/>
  <c r="P185" i="13" l="1"/>
  <c r="Q185" i="13" s="1"/>
  <c r="Q180" i="13"/>
  <c r="Q136" i="13"/>
  <c r="P182" i="13"/>
  <c r="Q182" i="13" l="1"/>
  <c r="P186" i="13"/>
  <c r="P183" i="13"/>
  <c r="Q183" i="13" s="1"/>
  <c r="P187" i="13" l="1"/>
  <c r="Q187" i="13" s="1"/>
  <c r="Q186" i="13"/>
  <c r="C65" i="80"/>
  <c r="O65" i="80" l="1"/>
  <c r="O63" i="80"/>
  <c r="D9" i="14"/>
  <c r="D5" i="14"/>
  <c r="P9" i="14" l="1"/>
  <c r="Q9" i="14" s="1"/>
  <c r="D13" i="14"/>
  <c r="P13" i="14" s="1"/>
  <c r="Q13" i="14" s="1"/>
  <c r="D30" i="14"/>
  <c r="D99" i="14"/>
  <c r="O62" i="80"/>
  <c r="P5" i="14"/>
  <c r="Q5" i="14" s="1"/>
  <c r="D7" i="14"/>
  <c r="D26" i="14"/>
  <c r="D95" i="14"/>
  <c r="P30" i="14" l="1"/>
  <c r="Q30" i="14" s="1"/>
  <c r="D34" i="14"/>
  <c r="P34" i="14" s="1"/>
  <c r="Q34" i="14" s="1"/>
  <c r="D53" i="14"/>
  <c r="D76" i="14" s="1"/>
  <c r="P95" i="14"/>
  <c r="Q95" i="14" s="1"/>
  <c r="D97" i="14"/>
  <c r="P26" i="14"/>
  <c r="Q26" i="14" s="1"/>
  <c r="D49" i="14"/>
  <c r="D72" i="14" s="1"/>
  <c r="D28" i="14"/>
  <c r="P7" i="14"/>
  <c r="Q7" i="14" s="1"/>
  <c r="D4" i="14"/>
  <c r="P4" i="14" s="1"/>
  <c r="Q4" i="14" s="1"/>
  <c r="P99" i="14"/>
  <c r="D103" i="14"/>
  <c r="P72" i="14" l="1"/>
  <c r="Q72" i="14" s="1"/>
  <c r="D74" i="14"/>
  <c r="D118" i="14"/>
  <c r="P76" i="14"/>
  <c r="Q76" i="14" s="1"/>
  <c r="D122" i="14"/>
  <c r="D80" i="14"/>
  <c r="P80" i="14" s="1"/>
  <c r="Q80" i="14" s="1"/>
  <c r="P53" i="14"/>
  <c r="Q53" i="14" s="1"/>
  <c r="D57" i="14"/>
  <c r="P57" i="14" s="1"/>
  <c r="Q57" i="14" s="1"/>
  <c r="Q99" i="14"/>
  <c r="P103" i="14"/>
  <c r="Q103" i="14" s="1"/>
  <c r="P28" i="14"/>
  <c r="Q28" i="14" s="1"/>
  <c r="D25" i="14"/>
  <c r="P97" i="14"/>
  <c r="D94" i="14"/>
  <c r="D113" i="14" s="1"/>
  <c r="D181" i="14" s="1"/>
  <c r="P49" i="14"/>
  <c r="Q49" i="14" s="1"/>
  <c r="D51" i="14"/>
  <c r="P51" i="14" l="1"/>
  <c r="Q51" i="14" s="1"/>
  <c r="D48" i="14"/>
  <c r="P25" i="14"/>
  <c r="Q25" i="14" s="1"/>
  <c r="D44" i="14"/>
  <c r="P118" i="14"/>
  <c r="Q118" i="14" s="1"/>
  <c r="D120" i="14"/>
  <c r="P94" i="14"/>
  <c r="Q97" i="14"/>
  <c r="D126" i="14"/>
  <c r="P122" i="14"/>
  <c r="P74" i="14"/>
  <c r="Q74" i="14" s="1"/>
  <c r="D71" i="14"/>
  <c r="Q94" i="14" l="1"/>
  <c r="P113" i="14"/>
  <c r="D90" i="14"/>
  <c r="P71" i="14"/>
  <c r="Q71" i="14" s="1"/>
  <c r="Q122" i="14"/>
  <c r="P126" i="14"/>
  <c r="Q126" i="14" s="1"/>
  <c r="P48" i="14"/>
  <c r="Q48" i="14" s="1"/>
  <c r="D67" i="14"/>
  <c r="P120" i="14"/>
  <c r="D117" i="14"/>
  <c r="D136" i="14" s="1"/>
  <c r="D182" i="14" s="1"/>
  <c r="D177" i="14"/>
  <c r="P44" i="14"/>
  <c r="Q44" i="14" l="1"/>
  <c r="P177" i="14"/>
  <c r="Q177" i="14" s="1"/>
  <c r="D178" i="14"/>
  <c r="P67" i="14"/>
  <c r="Q113" i="14"/>
  <c r="P181" i="14"/>
  <c r="Q181" i="14" s="1"/>
  <c r="D186" i="14"/>
  <c r="Q120" i="14"/>
  <c r="P117" i="14"/>
  <c r="D180" i="14"/>
  <c r="D185" i="14" s="1"/>
  <c r="P90" i="14"/>
  <c r="Q90" i="14" l="1"/>
  <c r="P180" i="14"/>
  <c r="Q67" i="14"/>
  <c r="P178" i="14"/>
  <c r="Q178" i="14" s="1"/>
  <c r="Q117" i="14"/>
  <c r="P136" i="14"/>
  <c r="D187" i="14"/>
  <c r="D183" i="14"/>
  <c r="Q136" i="14" l="1"/>
  <c r="P182" i="14"/>
  <c r="Q180" i="14"/>
  <c r="P185" i="14"/>
  <c r="Q185" i="14" s="1"/>
  <c r="P186" i="14" l="1"/>
  <c r="P183" i="14"/>
  <c r="Q183" i="14" s="1"/>
  <c r="Q182" i="14"/>
  <c r="Q186" i="14" l="1"/>
  <c r="P187" i="14"/>
  <c r="Q187" i="14" s="1"/>
  <c r="O69" i="80" l="1"/>
  <c r="D9" i="15"/>
  <c r="O71" i="80"/>
  <c r="D5" i="15"/>
  <c r="P5" i="15" l="1"/>
  <c r="Q5" i="15" s="1"/>
  <c r="D26" i="15"/>
  <c r="D7" i="15"/>
  <c r="D95" i="15"/>
  <c r="P9" i="15"/>
  <c r="Q9" i="15" s="1"/>
  <c r="D99" i="15"/>
  <c r="D30" i="15"/>
  <c r="O70" i="80"/>
  <c r="O68" i="80" s="1"/>
  <c r="D11" i="15"/>
  <c r="P11" i="15" l="1"/>
  <c r="Q11" i="15" s="1"/>
  <c r="D101" i="15"/>
  <c r="D103" i="15" s="1"/>
  <c r="D32" i="15"/>
  <c r="D34" i="15" s="1"/>
  <c r="P34" i="15" s="1"/>
  <c r="Q34" i="15" s="1"/>
  <c r="P99" i="15"/>
  <c r="P95" i="15"/>
  <c r="Q95" i="15" s="1"/>
  <c r="D97" i="15"/>
  <c r="D13" i="15"/>
  <c r="P13" i="15" s="1"/>
  <c r="Q13" i="15" s="1"/>
  <c r="P7" i="15"/>
  <c r="Q7" i="15" s="1"/>
  <c r="D28" i="15"/>
  <c r="P26" i="15"/>
  <c r="Q26" i="15" s="1"/>
  <c r="D49" i="15"/>
  <c r="P30" i="15"/>
  <c r="Q30" i="15" s="1"/>
  <c r="D53" i="15"/>
  <c r="D76" i="15" s="1"/>
  <c r="D4" i="15" l="1"/>
  <c r="P4" i="15" s="1"/>
  <c r="Q4" i="15" s="1"/>
  <c r="P53" i="15"/>
  <c r="Q53" i="15" s="1"/>
  <c r="D51" i="15"/>
  <c r="P49" i="15"/>
  <c r="Q49" i="15" s="1"/>
  <c r="P32" i="15"/>
  <c r="Q32" i="15" s="1"/>
  <c r="D55" i="15"/>
  <c r="P55" i="15" s="1"/>
  <c r="Q55" i="15" s="1"/>
  <c r="D72" i="15"/>
  <c r="P97" i="15"/>
  <c r="D94" i="15"/>
  <c r="D113" i="15" s="1"/>
  <c r="D181" i="15" s="1"/>
  <c r="P101" i="15"/>
  <c r="Q101" i="15" s="1"/>
  <c r="P76" i="15"/>
  <c r="Q76" i="15" s="1"/>
  <c r="D122" i="15"/>
  <c r="D25" i="15"/>
  <c r="P28" i="15"/>
  <c r="Q28" i="15" s="1"/>
  <c r="Q99" i="15"/>
  <c r="P103" i="15" l="1"/>
  <c r="Q103" i="15" s="1"/>
  <c r="D78" i="15"/>
  <c r="D80" i="15" s="1"/>
  <c r="P80" i="15" s="1"/>
  <c r="Q80" i="15" s="1"/>
  <c r="D74" i="15"/>
  <c r="P72" i="15"/>
  <c r="Q72" i="15" s="1"/>
  <c r="D118" i="15"/>
  <c r="P78" i="15"/>
  <c r="Q78" i="15" s="1"/>
  <c r="P122" i="15"/>
  <c r="Q97" i="15"/>
  <c r="D57" i="15"/>
  <c r="P57" i="15" s="1"/>
  <c r="Q57" i="15" s="1"/>
  <c r="P25" i="15"/>
  <c r="Q25" i="15" s="1"/>
  <c r="D44" i="15"/>
  <c r="P51" i="15"/>
  <c r="Q51" i="15" s="1"/>
  <c r="P94" i="15" l="1"/>
  <c r="P113" i="15" s="1"/>
  <c r="D124" i="15"/>
  <c r="P124" i="15" s="1"/>
  <c r="Q124" i="15" s="1"/>
  <c r="D48" i="15"/>
  <c r="P48" i="15" s="1"/>
  <c r="Q48" i="15" s="1"/>
  <c r="D126" i="15"/>
  <c r="P44" i="15"/>
  <c r="D177" i="15"/>
  <c r="P118" i="15"/>
  <c r="Q118" i="15" s="1"/>
  <c r="D120" i="15"/>
  <c r="P126" i="15"/>
  <c r="Q126" i="15" s="1"/>
  <c r="Q122" i="15"/>
  <c r="P74" i="15"/>
  <c r="Q74" i="15" s="1"/>
  <c r="D71" i="15"/>
  <c r="Q94" i="15" l="1"/>
  <c r="D67" i="15"/>
  <c r="D178" i="15" s="1"/>
  <c r="P71" i="15"/>
  <c r="Q71" i="15" s="1"/>
  <c r="D90" i="15"/>
  <c r="Q44" i="15"/>
  <c r="P177" i="15"/>
  <c r="Q177" i="15" s="1"/>
  <c r="Q113" i="15"/>
  <c r="P181" i="15"/>
  <c r="Q181" i="15" s="1"/>
  <c r="P120" i="15"/>
  <c r="D117" i="15"/>
  <c r="D136" i="15" s="1"/>
  <c r="D182" i="15" s="1"/>
  <c r="P67" i="15" l="1"/>
  <c r="P178" i="15" s="1"/>
  <c r="Q178" i="15" s="1"/>
  <c r="D186" i="15"/>
  <c r="Q120" i="15"/>
  <c r="P117" i="15"/>
  <c r="D180" i="15"/>
  <c r="D185" i="15" s="1"/>
  <c r="P90" i="15"/>
  <c r="Q67" i="15" l="1"/>
  <c r="D183" i="15"/>
  <c r="Q90" i="15"/>
  <c r="P180" i="15"/>
  <c r="Q117" i="15"/>
  <c r="P136" i="15"/>
  <c r="D187" i="15"/>
  <c r="Q180" i="15" l="1"/>
  <c r="P185" i="15"/>
  <c r="Q185" i="15" s="1"/>
  <c r="Q136" i="15"/>
  <c r="P182" i="15"/>
  <c r="P183" i="15" l="1"/>
  <c r="Q183" i="15" s="1"/>
  <c r="Q182" i="15"/>
  <c r="P186" i="15"/>
  <c r="Q186" i="15" l="1"/>
  <c r="P187" i="15"/>
  <c r="Q187" i="15" s="1"/>
  <c r="O76" i="80" l="1"/>
  <c r="D11" i="17"/>
  <c r="O75" i="80"/>
  <c r="D9" i="17"/>
  <c r="O74" i="80" l="1"/>
  <c r="P11" i="17"/>
  <c r="Q11" i="17" s="1"/>
  <c r="D101" i="17"/>
  <c r="P101" i="17" s="1"/>
  <c r="Q101" i="17" s="1"/>
  <c r="D32" i="17"/>
  <c r="D13" i="17"/>
  <c r="P9" i="17"/>
  <c r="Q9" i="17" s="1"/>
  <c r="D30" i="17"/>
  <c r="D99" i="17"/>
  <c r="D55" i="17" l="1"/>
  <c r="P55" i="17" s="1"/>
  <c r="Q55" i="17" s="1"/>
  <c r="P32" i="17"/>
  <c r="Q32" i="17" s="1"/>
  <c r="D78" i="17"/>
  <c r="P99" i="17"/>
  <c r="D103" i="17"/>
  <c r="D94" i="17" s="1"/>
  <c r="D113" i="17" s="1"/>
  <c r="D181" i="17" s="1"/>
  <c r="P13" i="17"/>
  <c r="Q13" i="17" s="1"/>
  <c r="D4" i="17"/>
  <c r="P4" i="17" s="1"/>
  <c r="Q4" i="17" s="1"/>
  <c r="D53" i="17"/>
  <c r="D76" i="17" s="1"/>
  <c r="P30" i="17"/>
  <c r="Q30" i="17" s="1"/>
  <c r="D34" i="17"/>
  <c r="P78" i="17" l="1"/>
  <c r="Q78" i="17" s="1"/>
  <c r="D124" i="17"/>
  <c r="P124" i="17" s="1"/>
  <c r="Q124" i="17" s="1"/>
  <c r="P103" i="17"/>
  <c r="Q99" i="17"/>
  <c r="P76" i="17"/>
  <c r="Q76" i="17" s="1"/>
  <c r="D122" i="17"/>
  <c r="D80" i="17"/>
  <c r="D25" i="17"/>
  <c r="P34" i="17"/>
  <c r="Q34" i="17" s="1"/>
  <c r="D57" i="17"/>
  <c r="P53" i="17"/>
  <c r="Q53" i="17" s="1"/>
  <c r="P122" i="17" l="1"/>
  <c r="D126" i="17"/>
  <c r="D117" i="17" s="1"/>
  <c r="D136" i="17" s="1"/>
  <c r="D182" i="17" s="1"/>
  <c r="D44" i="17"/>
  <c r="P25" i="17"/>
  <c r="Q25" i="17" s="1"/>
  <c r="P57" i="17"/>
  <c r="Q57" i="17" s="1"/>
  <c r="D48" i="17"/>
  <c r="P80" i="17"/>
  <c r="Q80" i="17" s="1"/>
  <c r="D71" i="17"/>
  <c r="P94" i="17"/>
  <c r="Q103" i="17"/>
  <c r="D67" i="17" l="1"/>
  <c r="P48" i="17"/>
  <c r="Q48" i="17" s="1"/>
  <c r="P71" i="17"/>
  <c r="Q71" i="17" s="1"/>
  <c r="D90" i="17"/>
  <c r="D186" i="17"/>
  <c r="P113" i="17"/>
  <c r="Q94" i="17"/>
  <c r="P44" i="17"/>
  <c r="D177" i="17"/>
  <c r="Q122" i="17"/>
  <c r="P126" i="17"/>
  <c r="P177" i="17" l="1"/>
  <c r="Q177" i="17" s="1"/>
  <c r="Q44" i="17"/>
  <c r="P90" i="17"/>
  <c r="D180" i="17"/>
  <c r="D187" i="17" s="1"/>
  <c r="Q126" i="17"/>
  <c r="P117" i="17"/>
  <c r="Q113" i="17"/>
  <c r="P181" i="17"/>
  <c r="Q181" i="17" s="1"/>
  <c r="P67" i="17"/>
  <c r="D178" i="17"/>
  <c r="P178" i="17" l="1"/>
  <c r="Q178" i="17" s="1"/>
  <c r="Q67" i="17"/>
  <c r="P136" i="17"/>
  <c r="Q117" i="17"/>
  <c r="D185" i="17"/>
  <c r="D183" i="17"/>
  <c r="Q90" i="17"/>
  <c r="P180" i="17"/>
  <c r="Q136" i="17" l="1"/>
  <c r="P182" i="17"/>
  <c r="P185" i="17"/>
  <c r="Q185" i="17" s="1"/>
  <c r="Q180" i="17"/>
  <c r="P183" i="17" l="1"/>
  <c r="Q183" i="17" s="1"/>
  <c r="Q182" i="17"/>
  <c r="P186" i="17"/>
  <c r="P187" i="17" l="1"/>
  <c r="Q187" i="17" s="1"/>
  <c r="Q186" i="17"/>
  <c r="C81" i="80"/>
  <c r="D9" i="18" s="1"/>
  <c r="C83" i="80" l="1"/>
  <c r="P9" i="18"/>
  <c r="Q9" i="18" s="1"/>
  <c r="D13" i="18"/>
  <c r="P13" i="18" s="1"/>
  <c r="Q13" i="18" s="1"/>
  <c r="D30" i="18"/>
  <c r="D99" i="18"/>
  <c r="O81" i="80"/>
  <c r="D5" i="18" l="1"/>
  <c r="P5" i="18" s="1"/>
  <c r="Q5" i="18" s="1"/>
  <c r="O83" i="80"/>
  <c r="D26" i="18"/>
  <c r="D49" i="18" s="1"/>
  <c r="D72" i="18" s="1"/>
  <c r="D7" i="18"/>
  <c r="D4" i="18" s="1"/>
  <c r="P4" i="18" s="1"/>
  <c r="Q4" i="18" s="1"/>
  <c r="D95" i="18"/>
  <c r="P95" i="18" s="1"/>
  <c r="Q95" i="18" s="1"/>
  <c r="O80" i="80"/>
  <c r="D34" i="18"/>
  <c r="P34" i="18" s="1"/>
  <c r="Q34" i="18" s="1"/>
  <c r="P30" i="18"/>
  <c r="Q30" i="18" s="1"/>
  <c r="D53" i="18"/>
  <c r="D76" i="18" s="1"/>
  <c r="D103" i="18"/>
  <c r="P99" i="18"/>
  <c r="P7" i="18" l="1"/>
  <c r="Q7" i="18" s="1"/>
  <c r="D28" i="18"/>
  <c r="P28" i="18" s="1"/>
  <c r="Q28" i="18" s="1"/>
  <c r="P26" i="18"/>
  <c r="Q26" i="18" s="1"/>
  <c r="D97" i="18"/>
  <c r="Q99" i="18"/>
  <c r="P103" i="18"/>
  <c r="Q103" i="18" s="1"/>
  <c r="D74" i="18"/>
  <c r="P72" i="18"/>
  <c r="Q72" i="18" s="1"/>
  <c r="D118" i="18"/>
  <c r="P53" i="18"/>
  <c r="Q53" i="18" s="1"/>
  <c r="D57" i="18"/>
  <c r="P57" i="18" s="1"/>
  <c r="Q57" i="18" s="1"/>
  <c r="D122" i="18"/>
  <c r="P76" i="18"/>
  <c r="Q76" i="18" s="1"/>
  <c r="D80" i="18"/>
  <c r="P80" i="18" s="1"/>
  <c r="Q80" i="18" s="1"/>
  <c r="D51" i="18"/>
  <c r="P49" i="18"/>
  <c r="Q49" i="18" s="1"/>
  <c r="D94" i="18"/>
  <c r="P97" i="18"/>
  <c r="D25" i="18" l="1"/>
  <c r="D44" i="18" s="1"/>
  <c r="P122" i="18"/>
  <c r="D126" i="18"/>
  <c r="Q97" i="18"/>
  <c r="P94" i="18"/>
  <c r="P51" i="18"/>
  <c r="Q51" i="18" s="1"/>
  <c r="D48" i="18"/>
  <c r="P74" i="18"/>
  <c r="Q74" i="18" s="1"/>
  <c r="D71" i="18"/>
  <c r="P25" i="18"/>
  <c r="Q25" i="18" s="1"/>
  <c r="P118" i="18"/>
  <c r="Q118" i="18" s="1"/>
  <c r="D120" i="18"/>
  <c r="D117" i="18" l="1"/>
  <c r="P120" i="18"/>
  <c r="P44" i="18"/>
  <c r="D177" i="18"/>
  <c r="P48" i="18"/>
  <c r="Q48" i="18" s="1"/>
  <c r="D67" i="18"/>
  <c r="P126" i="18"/>
  <c r="Q126" i="18" s="1"/>
  <c r="Q122" i="18"/>
  <c r="P71" i="18"/>
  <c r="Q71" i="18" s="1"/>
  <c r="D90" i="18"/>
  <c r="Q94" i="18"/>
  <c r="D111" i="20" l="1"/>
  <c r="P111" i="18"/>
  <c r="D113" i="18"/>
  <c r="D178" i="18"/>
  <c r="P67" i="18"/>
  <c r="P177" i="18"/>
  <c r="Q177" i="18" s="1"/>
  <c r="Q44" i="18"/>
  <c r="P90" i="18"/>
  <c r="D180" i="18"/>
  <c r="D185" i="18" s="1"/>
  <c r="P117" i="18"/>
  <c r="Q120" i="18"/>
  <c r="D181" i="18" l="1"/>
  <c r="Q111" i="18"/>
  <c r="P113" i="18"/>
  <c r="D111" i="28"/>
  <c r="P111" i="20"/>
  <c r="D134" i="20"/>
  <c r="P134" i="20" s="1"/>
  <c r="Q117" i="18"/>
  <c r="P180" i="18"/>
  <c r="Q90" i="18"/>
  <c r="Q67" i="18"/>
  <c r="P178" i="18"/>
  <c r="Q178" i="18" s="1"/>
  <c r="P181" i="18" l="1"/>
  <c r="Q181" i="18" s="1"/>
  <c r="Q113" i="18"/>
  <c r="Q134" i="20"/>
  <c r="R111" i="20"/>
  <c r="Q111" i="20"/>
  <c r="P134" i="18"/>
  <c r="R134" i="20" s="1"/>
  <c r="D136" i="18"/>
  <c r="D182" i="18" s="1"/>
  <c r="D121" i="46"/>
  <c r="P111" i="28"/>
  <c r="Q111" i="28" s="1"/>
  <c r="D134" i="28"/>
  <c r="P134" i="28" s="1"/>
  <c r="Q134" i="28" s="1"/>
  <c r="Q180" i="18"/>
  <c r="P185" i="18"/>
  <c r="Q185" i="18" s="1"/>
  <c r="Q134" i="18" l="1"/>
  <c r="P136" i="18"/>
  <c r="P121" i="46"/>
  <c r="D144" i="46"/>
  <c r="P144" i="46" s="1"/>
  <c r="D186" i="18"/>
  <c r="D187" i="18" s="1"/>
  <c r="D183" i="18"/>
  <c r="Q144" i="46" l="1"/>
  <c r="R144" i="46"/>
  <c r="R121" i="46"/>
  <c r="Q121" i="46"/>
  <c r="Q136" i="18"/>
  <c r="P182" i="18"/>
  <c r="C89" i="80"/>
  <c r="D5" i="19" l="1"/>
  <c r="P5" i="19" s="1"/>
  <c r="Q5" i="19" s="1"/>
  <c r="C87" i="80"/>
  <c r="C93" i="80" s="1"/>
  <c r="C95" i="80"/>
  <c r="O95" i="80" s="1"/>
  <c r="P186" i="18"/>
  <c r="Q182" i="18"/>
  <c r="P183" i="18"/>
  <c r="Q183" i="18" s="1"/>
  <c r="D5" i="20"/>
  <c r="D7" i="19"/>
  <c r="O89" i="80"/>
  <c r="O87" i="80"/>
  <c r="D9" i="19"/>
  <c r="D95" i="19" l="1"/>
  <c r="D26" i="19"/>
  <c r="P26" i="19" s="1"/>
  <c r="Q26" i="19" s="1"/>
  <c r="P187" i="18"/>
  <c r="Q187" i="18" s="1"/>
  <c r="Q186" i="18"/>
  <c r="O88" i="80"/>
  <c r="O86" i="80" s="1"/>
  <c r="C94" i="80"/>
  <c r="O94" i="80" s="1"/>
  <c r="D11" i="19"/>
  <c r="D13" i="19" s="1"/>
  <c r="P13" i="19" s="1"/>
  <c r="Q13" i="19" s="1"/>
  <c r="D26" i="20"/>
  <c r="P9" i="19"/>
  <c r="Q9" i="19" s="1"/>
  <c r="D30" i="19"/>
  <c r="D99" i="19"/>
  <c r="D9" i="20"/>
  <c r="P7" i="19"/>
  <c r="Q7" i="19" s="1"/>
  <c r="P5" i="20"/>
  <c r="D5" i="28"/>
  <c r="D7" i="20"/>
  <c r="P11" i="19"/>
  <c r="Q11" i="19" s="1"/>
  <c r="D32" i="19"/>
  <c r="O93" i="80"/>
  <c r="P95" i="19"/>
  <c r="Q95" i="19" s="1"/>
  <c r="D97" i="19"/>
  <c r="D95" i="20"/>
  <c r="D28" i="19" l="1"/>
  <c r="D49" i="19"/>
  <c r="D72" i="19" s="1"/>
  <c r="C92" i="80"/>
  <c r="O92" i="80"/>
  <c r="D11" i="20"/>
  <c r="P11" i="20" s="1"/>
  <c r="D101" i="19"/>
  <c r="D101" i="20" s="1"/>
  <c r="D74" i="19"/>
  <c r="P72" i="19"/>
  <c r="Q72" i="19" s="1"/>
  <c r="D118" i="19"/>
  <c r="P97" i="19"/>
  <c r="D4" i="19"/>
  <c r="P4" i="19" s="1"/>
  <c r="Q4" i="19" s="1"/>
  <c r="P99" i="19"/>
  <c r="D99" i="20"/>
  <c r="P26" i="20"/>
  <c r="D49" i="20"/>
  <c r="D72" i="20" s="1"/>
  <c r="D26" i="28"/>
  <c r="D28" i="20"/>
  <c r="P7" i="20"/>
  <c r="Q5" i="20"/>
  <c r="R5" i="20"/>
  <c r="D32" i="20"/>
  <c r="D55" i="19"/>
  <c r="P55" i="19" s="1"/>
  <c r="Q55" i="19" s="1"/>
  <c r="P32" i="19"/>
  <c r="Q32" i="19" s="1"/>
  <c r="P30" i="19"/>
  <c r="Q30" i="19" s="1"/>
  <c r="D34" i="19"/>
  <c r="P34" i="19" s="1"/>
  <c r="Q34" i="19" s="1"/>
  <c r="D53" i="19"/>
  <c r="D76" i="19" s="1"/>
  <c r="D30" i="20"/>
  <c r="D51" i="19"/>
  <c r="P49" i="19"/>
  <c r="Q49" i="19" s="1"/>
  <c r="P101" i="19"/>
  <c r="Q101" i="19" s="1"/>
  <c r="P5" i="28"/>
  <c r="Q5" i="28" s="1"/>
  <c r="D5" i="46"/>
  <c r="P5" i="46" s="1"/>
  <c r="Q5" i="46" s="1"/>
  <c r="D7" i="28"/>
  <c r="P9" i="20"/>
  <c r="D9" i="28"/>
  <c r="P28" i="19"/>
  <c r="Q28" i="19" s="1"/>
  <c r="P95" i="20"/>
  <c r="D95" i="28"/>
  <c r="D97" i="20"/>
  <c r="D103" i="19" l="1"/>
  <c r="D94" i="19" s="1"/>
  <c r="D113" i="19" s="1"/>
  <c r="D181" i="19" s="1"/>
  <c r="D13" i="20"/>
  <c r="P13" i="20" s="1"/>
  <c r="Q13" i="20" s="1"/>
  <c r="D11" i="28"/>
  <c r="P11" i="28" s="1"/>
  <c r="Q11" i="28" s="1"/>
  <c r="D25" i="19"/>
  <c r="D44" i="19" s="1"/>
  <c r="D78" i="19"/>
  <c r="D124" i="19" s="1"/>
  <c r="P124" i="19" s="1"/>
  <c r="Q124" i="19" s="1"/>
  <c r="P72" i="20"/>
  <c r="D74" i="20"/>
  <c r="D118" i="20"/>
  <c r="P97" i="20"/>
  <c r="D97" i="28"/>
  <c r="P7" i="28"/>
  <c r="Q7" i="28" s="1"/>
  <c r="D7" i="46"/>
  <c r="P101" i="20"/>
  <c r="D101" i="28"/>
  <c r="P30" i="20"/>
  <c r="D34" i="20"/>
  <c r="P34" i="20" s="1"/>
  <c r="D53" i="20"/>
  <c r="D30" i="28"/>
  <c r="P28" i="20"/>
  <c r="S26" i="20"/>
  <c r="R26" i="20"/>
  <c r="Q26" i="20"/>
  <c r="P9" i="28"/>
  <c r="Q9" i="28" s="1"/>
  <c r="D9" i="46"/>
  <c r="P9" i="46" s="1"/>
  <c r="Q9" i="46" s="1"/>
  <c r="P99" i="20"/>
  <c r="D103" i="20"/>
  <c r="D94" i="20" s="1"/>
  <c r="D99" i="28"/>
  <c r="P118" i="19"/>
  <c r="Q118" i="19" s="1"/>
  <c r="D120" i="19"/>
  <c r="D105" i="46"/>
  <c r="P95" i="28"/>
  <c r="Q95" i="28" s="1"/>
  <c r="P53" i="19"/>
  <c r="Q53" i="19" s="1"/>
  <c r="D57" i="19"/>
  <c r="P57" i="19" s="1"/>
  <c r="Q57" i="19" s="1"/>
  <c r="P26" i="28"/>
  <c r="Q26" i="28" s="1"/>
  <c r="D28" i="28"/>
  <c r="D36" i="46"/>
  <c r="P36" i="46" s="1"/>
  <c r="R95" i="20"/>
  <c r="Q95" i="20"/>
  <c r="P51" i="19"/>
  <c r="Q51" i="19" s="1"/>
  <c r="Q11" i="20"/>
  <c r="R11" i="20"/>
  <c r="Q9" i="20"/>
  <c r="R9" i="20"/>
  <c r="P76" i="19"/>
  <c r="Q76" i="19" s="1"/>
  <c r="D122" i="19"/>
  <c r="D32" i="28"/>
  <c r="P32" i="20"/>
  <c r="D55" i="20"/>
  <c r="D78" i="20" s="1"/>
  <c r="Q7" i="20"/>
  <c r="R7" i="20"/>
  <c r="D51" i="20"/>
  <c r="P49" i="20"/>
  <c r="D49" i="28"/>
  <c r="P103" i="19"/>
  <c r="Q103" i="19" s="1"/>
  <c r="Q99" i="19"/>
  <c r="Q97" i="19"/>
  <c r="P74" i="19"/>
  <c r="Q74" i="19" s="1"/>
  <c r="D13" i="28" l="1"/>
  <c r="D4" i="28" s="1"/>
  <c r="P4" i="28" s="1"/>
  <c r="Q4" i="28" s="1"/>
  <c r="P25" i="19"/>
  <c r="Q25" i="19" s="1"/>
  <c r="D80" i="19"/>
  <c r="P80" i="19" s="1"/>
  <c r="Q80" i="19" s="1"/>
  <c r="R13" i="20"/>
  <c r="D4" i="20"/>
  <c r="D3" i="2" s="1"/>
  <c r="P78" i="19"/>
  <c r="Q78" i="19" s="1"/>
  <c r="D11" i="46"/>
  <c r="P11" i="46" s="1"/>
  <c r="D25" i="20"/>
  <c r="D44" i="20" s="1"/>
  <c r="D48" i="19"/>
  <c r="P48" i="19" s="1"/>
  <c r="Q48" i="19" s="1"/>
  <c r="P94" i="19"/>
  <c r="Q94" i="19" s="1"/>
  <c r="R4" i="28"/>
  <c r="D113" i="20"/>
  <c r="D181" i="20" s="1"/>
  <c r="P94" i="20"/>
  <c r="D94" i="28"/>
  <c r="D113" i="28" s="1"/>
  <c r="D181" i="28" s="1"/>
  <c r="D104" i="46"/>
  <c r="D123" i="46" s="1"/>
  <c r="D195" i="46" s="1"/>
  <c r="P51" i="20"/>
  <c r="D124" i="20"/>
  <c r="P124" i="20" s="1"/>
  <c r="P78" i="20"/>
  <c r="Q32" i="20"/>
  <c r="R32" i="20"/>
  <c r="S32" i="20"/>
  <c r="B58" i="81"/>
  <c r="C26" i="81" s="1"/>
  <c r="D38" i="46"/>
  <c r="P28" i="28"/>
  <c r="Q28" i="28" s="1"/>
  <c r="P120" i="19"/>
  <c r="Q99" i="20"/>
  <c r="R99" i="20"/>
  <c r="D40" i="46"/>
  <c r="P40" i="46" s="1"/>
  <c r="D34" i="28"/>
  <c r="D25" i="28" s="1"/>
  <c r="P25" i="28" s="1"/>
  <c r="Q25" i="28" s="1"/>
  <c r="P30" i="28"/>
  <c r="Q30" i="28" s="1"/>
  <c r="S30" i="20"/>
  <c r="R30" i="20"/>
  <c r="Q30" i="20"/>
  <c r="Q97" i="20"/>
  <c r="R97" i="20"/>
  <c r="P4" i="20"/>
  <c r="P105" i="46"/>
  <c r="R28" i="20"/>
  <c r="Q28" i="20"/>
  <c r="D57" i="20"/>
  <c r="P57" i="20" s="1"/>
  <c r="P53" i="20"/>
  <c r="D53" i="28"/>
  <c r="D76" i="28" s="1"/>
  <c r="P101" i="28"/>
  <c r="Q101" i="28" s="1"/>
  <c r="D111" i="46"/>
  <c r="P111" i="46" s="1"/>
  <c r="P118" i="20"/>
  <c r="D120" i="20"/>
  <c r="P49" i="28"/>
  <c r="Q49" i="28" s="1"/>
  <c r="D59" i="46"/>
  <c r="P59" i="46" s="1"/>
  <c r="D51" i="28"/>
  <c r="P32" i="28"/>
  <c r="Q32" i="28" s="1"/>
  <c r="D42" i="46"/>
  <c r="R49" i="20"/>
  <c r="W49" i="28"/>
  <c r="Q49" i="20"/>
  <c r="P55" i="20"/>
  <c r="D55" i="28"/>
  <c r="P122" i="19"/>
  <c r="D126" i="19"/>
  <c r="D117" i="19" s="1"/>
  <c r="D136" i="19" s="1"/>
  <c r="D182" i="19" s="1"/>
  <c r="D72" i="28"/>
  <c r="P99" i="28"/>
  <c r="D109" i="46"/>
  <c r="P109" i="46" s="1"/>
  <c r="H29" i="2"/>
  <c r="J29" i="2" s="1"/>
  <c r="Q34" i="20"/>
  <c r="R34" i="20"/>
  <c r="Q101" i="20"/>
  <c r="R101" i="20"/>
  <c r="P74" i="20"/>
  <c r="Q36" i="46"/>
  <c r="R36" i="46"/>
  <c r="P44" i="19"/>
  <c r="D177" i="19"/>
  <c r="P103" i="20"/>
  <c r="D103" i="28"/>
  <c r="D113" i="46" s="1"/>
  <c r="D76" i="20"/>
  <c r="P7" i="46"/>
  <c r="D107" i="46"/>
  <c r="P107" i="46" s="1"/>
  <c r="P97" i="28"/>
  <c r="S72" i="20"/>
  <c r="R72" i="20"/>
  <c r="Q72" i="20"/>
  <c r="P13" i="28" l="1"/>
  <c r="Q13" i="28" s="1"/>
  <c r="D13" i="46"/>
  <c r="P13" i="46" s="1"/>
  <c r="R14" i="46" s="1"/>
  <c r="D71" i="19"/>
  <c r="B14" i="81"/>
  <c r="D67" i="19"/>
  <c r="P67" i="19" s="1"/>
  <c r="P25" i="20"/>
  <c r="R25" i="20" s="1"/>
  <c r="P113" i="19"/>
  <c r="P181" i="19" s="1"/>
  <c r="Q181" i="19" s="1"/>
  <c r="X49" i="28"/>
  <c r="D122" i="28"/>
  <c r="D86" i="46"/>
  <c r="P76" i="28"/>
  <c r="Q76" i="28" s="1"/>
  <c r="D80" i="20"/>
  <c r="P76" i="20"/>
  <c r="D122" i="20"/>
  <c r="Q44" i="19"/>
  <c r="P177" i="19"/>
  <c r="Q177" i="19" s="1"/>
  <c r="P72" i="28"/>
  <c r="Q72" i="28" s="1"/>
  <c r="D74" i="28"/>
  <c r="D82" i="46"/>
  <c r="D118" i="28"/>
  <c r="Q122" i="19"/>
  <c r="P126" i="19"/>
  <c r="Q126" i="19" s="1"/>
  <c r="Q107" i="46"/>
  <c r="R107" i="46"/>
  <c r="P55" i="28"/>
  <c r="Q55" i="28" s="1"/>
  <c r="D65" i="46"/>
  <c r="P65" i="46" s="1"/>
  <c r="Q65" i="46" s="1"/>
  <c r="P51" i="28"/>
  <c r="Q51" i="28" s="1"/>
  <c r="D61" i="46"/>
  <c r="Q118" i="20"/>
  <c r="S118" i="20"/>
  <c r="R118" i="20"/>
  <c r="R53" i="20"/>
  <c r="Q53" i="20"/>
  <c r="W53" i="28"/>
  <c r="D7" i="2"/>
  <c r="P3" i="2"/>
  <c r="Q3" i="2" s="1"/>
  <c r="D25" i="46"/>
  <c r="P34" i="28"/>
  <c r="Q34" i="28" s="1"/>
  <c r="D44" i="46"/>
  <c r="P44" i="46" s="1"/>
  <c r="Q120" i="19"/>
  <c r="N26" i="81"/>
  <c r="D48" i="20"/>
  <c r="R94" i="20"/>
  <c r="Q94" i="20"/>
  <c r="P113" i="20"/>
  <c r="R103" i="20"/>
  <c r="Q103" i="20"/>
  <c r="P113" i="46"/>
  <c r="R109" i="46"/>
  <c r="Q109" i="46"/>
  <c r="Q55" i="20"/>
  <c r="W55" i="28"/>
  <c r="R55" i="20"/>
  <c r="B61" i="81"/>
  <c r="P42" i="46"/>
  <c r="R111" i="46"/>
  <c r="Q111" i="46"/>
  <c r="N14" i="81"/>
  <c r="B13" i="81"/>
  <c r="N13" i="81" s="1"/>
  <c r="B35" i="81"/>
  <c r="Q51" i="20"/>
  <c r="R51" i="20"/>
  <c r="W51" i="28"/>
  <c r="Q59" i="46"/>
  <c r="R59" i="46"/>
  <c r="R57" i="20"/>
  <c r="Q57" i="20"/>
  <c r="W57" i="28"/>
  <c r="Q4" i="20"/>
  <c r="R4" i="20"/>
  <c r="Q7" i="46"/>
  <c r="R13" i="46"/>
  <c r="Q99" i="28"/>
  <c r="P103" i="28"/>
  <c r="Q103" i="28" s="1"/>
  <c r="D78" i="28"/>
  <c r="D80" i="28" s="1"/>
  <c r="B21" i="81"/>
  <c r="Q40" i="46"/>
  <c r="R40" i="46"/>
  <c r="P38" i="46"/>
  <c r="Q11" i="46"/>
  <c r="N58" i="81"/>
  <c r="R78" i="20"/>
  <c r="S78" i="20"/>
  <c r="Q78" i="20"/>
  <c r="Q97" i="28"/>
  <c r="R74" i="20"/>
  <c r="Q74" i="20"/>
  <c r="P120" i="20"/>
  <c r="D63" i="46"/>
  <c r="P63" i="46" s="1"/>
  <c r="D57" i="28"/>
  <c r="D48" i="28" s="1"/>
  <c r="P53" i="28"/>
  <c r="Q53" i="28" s="1"/>
  <c r="Q105" i="46"/>
  <c r="R105" i="46"/>
  <c r="D177" i="20"/>
  <c r="P44" i="20"/>
  <c r="D44" i="28"/>
  <c r="D186" i="19"/>
  <c r="S124" i="20"/>
  <c r="R124" i="20"/>
  <c r="Q124" i="20"/>
  <c r="Q13" i="46" l="1"/>
  <c r="D4" i="46"/>
  <c r="P4" i="46" s="1"/>
  <c r="Q4" i="46" s="1"/>
  <c r="D90" i="19"/>
  <c r="P71" i="19"/>
  <c r="Q71" i="19" s="1"/>
  <c r="D35" i="46"/>
  <c r="P117" i="19"/>
  <c r="P136" i="19" s="1"/>
  <c r="D178" i="19"/>
  <c r="Q113" i="19"/>
  <c r="X51" i="28"/>
  <c r="X55" i="28"/>
  <c r="Q25" i="20"/>
  <c r="D90" i="46"/>
  <c r="P90" i="46" s="1"/>
  <c r="P80" i="28"/>
  <c r="Q80" i="28" s="1"/>
  <c r="P48" i="28"/>
  <c r="Q48" i="28" s="1"/>
  <c r="D67" i="28"/>
  <c r="Q67" i="19"/>
  <c r="P178" i="19"/>
  <c r="Q178" i="19" s="1"/>
  <c r="N35" i="81"/>
  <c r="B34" i="81"/>
  <c r="N61" i="81"/>
  <c r="B24" i="81"/>
  <c r="N24" i="81" s="1"/>
  <c r="R65" i="46"/>
  <c r="P82" i="46"/>
  <c r="D128" i="46"/>
  <c r="D177" i="28"/>
  <c r="P44" i="28"/>
  <c r="D54" i="46"/>
  <c r="P94" i="28"/>
  <c r="Q113" i="20"/>
  <c r="P181" i="20"/>
  <c r="R113" i="20"/>
  <c r="Q44" i="46"/>
  <c r="R44" i="46"/>
  <c r="D9" i="2"/>
  <c r="P9" i="2" s="1"/>
  <c r="Q9" i="2" s="1"/>
  <c r="P7" i="2"/>
  <c r="Q7" i="2" s="1"/>
  <c r="D71" i="28"/>
  <c r="P74" i="28"/>
  <c r="Q74" i="28" s="1"/>
  <c r="D84" i="46"/>
  <c r="D126" i="20"/>
  <c r="D117" i="20" s="1"/>
  <c r="D136" i="20" s="1"/>
  <c r="D182" i="20" s="1"/>
  <c r="P122" i="20"/>
  <c r="D132" i="46"/>
  <c r="P86" i="46"/>
  <c r="R44" i="20"/>
  <c r="P177" i="20"/>
  <c r="Q120" i="20"/>
  <c r="R120" i="20"/>
  <c r="S120" i="20"/>
  <c r="N21" i="81"/>
  <c r="B62" i="81"/>
  <c r="N62" i="81" s="1"/>
  <c r="Q113" i="46"/>
  <c r="R113" i="46"/>
  <c r="P48" i="20"/>
  <c r="D67" i="20"/>
  <c r="X53" i="28"/>
  <c r="P61" i="46"/>
  <c r="R76" i="20"/>
  <c r="Q76" i="20"/>
  <c r="S76" i="20"/>
  <c r="H30" i="2"/>
  <c r="J30" i="2" s="1"/>
  <c r="Q63" i="46"/>
  <c r="R63" i="46"/>
  <c r="P57" i="28"/>
  <c r="Q57" i="28" s="1"/>
  <c r="D67" i="46"/>
  <c r="P67" i="46" s="1"/>
  <c r="Q38" i="46"/>
  <c r="R38" i="46"/>
  <c r="D124" i="28"/>
  <c r="P124" i="28" s="1"/>
  <c r="Q124" i="28" s="1"/>
  <c r="P78" i="28"/>
  <c r="Q78" i="28" s="1"/>
  <c r="D88" i="46"/>
  <c r="Q42" i="46"/>
  <c r="R42" i="46"/>
  <c r="D29" i="46"/>
  <c r="D31" i="46" s="1"/>
  <c r="P25" i="46"/>
  <c r="P104" i="46"/>
  <c r="P118" i="28"/>
  <c r="Q118" i="28" s="1"/>
  <c r="D120" i="28"/>
  <c r="P80" i="20"/>
  <c r="D71" i="20"/>
  <c r="P122" i="28"/>
  <c r="P35" i="46" l="1"/>
  <c r="Q35" i="46" s="1"/>
  <c r="B13" i="84"/>
  <c r="D180" i="19"/>
  <c r="P90" i="19"/>
  <c r="Q117" i="19"/>
  <c r="D126" i="28"/>
  <c r="D117" i="28" s="1"/>
  <c r="D136" i="28" s="1"/>
  <c r="D182" i="28" s="1"/>
  <c r="X57" i="28"/>
  <c r="R104" i="46"/>
  <c r="Q104" i="46"/>
  <c r="P123" i="46"/>
  <c r="P67" i="20"/>
  <c r="D178" i="20"/>
  <c r="Q25" i="46"/>
  <c r="P29" i="46"/>
  <c r="P126" i="28"/>
  <c r="Q126" i="28" s="1"/>
  <c r="Q122" i="28"/>
  <c r="S122" i="20"/>
  <c r="Q122" i="20"/>
  <c r="R122" i="20"/>
  <c r="P126" i="20"/>
  <c r="H31" i="2"/>
  <c r="J31" i="2" s="1"/>
  <c r="D90" i="28"/>
  <c r="P71" i="28"/>
  <c r="Q71" i="28" s="1"/>
  <c r="Q181" i="20"/>
  <c r="R181" i="20"/>
  <c r="P177" i="28"/>
  <c r="D77" i="46"/>
  <c r="D178" i="28"/>
  <c r="P67" i="28"/>
  <c r="D186" i="20"/>
  <c r="Q67" i="46"/>
  <c r="R67" i="46"/>
  <c r="Q80" i="20"/>
  <c r="R80" i="20"/>
  <c r="D58" i="46"/>
  <c r="P58" i="46" s="1"/>
  <c r="R48" i="20"/>
  <c r="Q48" i="20"/>
  <c r="W48" i="28"/>
  <c r="X48" i="28" s="1"/>
  <c r="R86" i="46"/>
  <c r="Q86" i="46"/>
  <c r="P84" i="46"/>
  <c r="D81" i="46"/>
  <c r="P182" i="19"/>
  <c r="Q136" i="19"/>
  <c r="Q94" i="28"/>
  <c r="P113" i="28"/>
  <c r="P128" i="46"/>
  <c r="D130" i="46"/>
  <c r="D90" i="20"/>
  <c r="P71" i="20"/>
  <c r="D134" i="46"/>
  <c r="P134" i="46" s="1"/>
  <c r="P88" i="46"/>
  <c r="P120" i="28"/>
  <c r="R61" i="46"/>
  <c r="Q61" i="46"/>
  <c r="R177" i="20"/>
  <c r="P132" i="46"/>
  <c r="P54" i="46"/>
  <c r="D189" i="46"/>
  <c r="R82" i="46"/>
  <c r="Q82" i="46"/>
  <c r="R90" i="46"/>
  <c r="Q90" i="46"/>
  <c r="R35" i="46" l="1"/>
  <c r="B4" i="84"/>
  <c r="D190" i="46" s="1"/>
  <c r="D188" i="46" s="1"/>
  <c r="N13" i="84"/>
  <c r="N4" i="84" s="1"/>
  <c r="AC4" i="84" s="1"/>
  <c r="Q90" i="19"/>
  <c r="P180" i="19"/>
  <c r="D185" i="19"/>
  <c r="D187" i="19"/>
  <c r="D183" i="19"/>
  <c r="D136" i="46"/>
  <c r="D127" i="46" s="1"/>
  <c r="D146" i="46" s="1"/>
  <c r="Q120" i="28"/>
  <c r="P117" i="28"/>
  <c r="P77" i="46"/>
  <c r="D191" i="46"/>
  <c r="P191" i="46" s="1"/>
  <c r="Q191" i="46" s="1"/>
  <c r="R67" i="20"/>
  <c r="Q67" i="20"/>
  <c r="P178" i="20"/>
  <c r="W67" i="28"/>
  <c r="X67" i="28" s="1"/>
  <c r="P181" i="28"/>
  <c r="Q181" i="28" s="1"/>
  <c r="Q113" i="28"/>
  <c r="D186" i="28"/>
  <c r="P90" i="20"/>
  <c r="D180" i="20"/>
  <c r="R84" i="46"/>
  <c r="Q84" i="46"/>
  <c r="R126" i="20"/>
  <c r="Q126" i="20"/>
  <c r="S126" i="20"/>
  <c r="P117" i="20"/>
  <c r="Q29" i="46"/>
  <c r="P31" i="46"/>
  <c r="Q31" i="46" s="1"/>
  <c r="R123" i="46"/>
  <c r="Q123" i="46"/>
  <c r="P195" i="46"/>
  <c r="Q195" i="46" s="1"/>
  <c r="Q67" i="28"/>
  <c r="P178" i="28"/>
  <c r="Q178" i="28" s="1"/>
  <c r="P189" i="46"/>
  <c r="R71" i="20"/>
  <c r="Q71" i="20"/>
  <c r="P81" i="46"/>
  <c r="D100" i="46"/>
  <c r="R54" i="46"/>
  <c r="R88" i="46"/>
  <c r="Q88" i="46"/>
  <c r="P130" i="46"/>
  <c r="R132" i="46"/>
  <c r="Q132" i="46"/>
  <c r="P136" i="46"/>
  <c r="Q134" i="46"/>
  <c r="R134" i="46"/>
  <c r="Q128" i="46"/>
  <c r="R128" i="46"/>
  <c r="Q182" i="19"/>
  <c r="P183" i="19"/>
  <c r="Q183" i="19" s="1"/>
  <c r="P186" i="19"/>
  <c r="Q58" i="46"/>
  <c r="R58" i="46"/>
  <c r="P90" i="28"/>
  <c r="D180" i="28"/>
  <c r="D185" i="28" s="1"/>
  <c r="D193" i="46" l="1"/>
  <c r="B8" i="81"/>
  <c r="P190" i="46"/>
  <c r="Q190" i="46" s="1"/>
  <c r="P185" i="19"/>
  <c r="Q185" i="19" s="1"/>
  <c r="Q180" i="19"/>
  <c r="R136" i="46"/>
  <c r="Q136" i="46"/>
  <c r="Q130" i="46"/>
  <c r="R130" i="46"/>
  <c r="P127" i="46"/>
  <c r="D183" i="28"/>
  <c r="Q178" i="20"/>
  <c r="R178" i="20"/>
  <c r="Q77" i="46"/>
  <c r="R77" i="46"/>
  <c r="P187" i="19"/>
  <c r="Q187" i="19" s="1"/>
  <c r="Q186" i="19"/>
  <c r="P100" i="46"/>
  <c r="B5" i="81"/>
  <c r="P188" i="46"/>
  <c r="D194" i="46"/>
  <c r="D185" i="20"/>
  <c r="D183" i="20"/>
  <c r="D187" i="20"/>
  <c r="Q81" i="46"/>
  <c r="R81" i="46"/>
  <c r="S90" i="20"/>
  <c r="P180" i="20"/>
  <c r="R90" i="20"/>
  <c r="Q117" i="28"/>
  <c r="P136" i="28"/>
  <c r="P180" i="28"/>
  <c r="D196" i="46"/>
  <c r="D198" i="46" s="1"/>
  <c r="P193" i="46"/>
  <c r="R117" i="20"/>
  <c r="Q117" i="20"/>
  <c r="P136" i="20"/>
  <c r="D187" i="28"/>
  <c r="D203" i="46" l="1"/>
  <c r="D197" i="46"/>
  <c r="P196" i="46"/>
  <c r="P194" i="46"/>
  <c r="P182" i="28"/>
  <c r="R180" i="20"/>
  <c r="P185" i="20"/>
  <c r="S136" i="20"/>
  <c r="R136" i="20"/>
  <c r="P182" i="20"/>
  <c r="N5" i="81"/>
  <c r="P5" i="81" s="1"/>
  <c r="C7" i="81"/>
  <c r="C11" i="81" s="1"/>
  <c r="C4" i="81" s="1"/>
  <c r="B59" i="81"/>
  <c r="B6" i="81"/>
  <c r="P185" i="28"/>
  <c r="R100" i="46"/>
  <c r="R127" i="46"/>
  <c r="Q127" i="46"/>
  <c r="P146" i="46"/>
  <c r="N35" i="84" l="1"/>
  <c r="N34" i="84" s="1"/>
  <c r="AC34" i="84" s="1"/>
  <c r="B34" i="84"/>
  <c r="B43" i="84"/>
  <c r="B30" i="81"/>
  <c r="E43" i="84"/>
  <c r="E34" i="84"/>
  <c r="E30" i="81"/>
  <c r="F43" i="84"/>
  <c r="F34" i="84"/>
  <c r="F30" i="81"/>
  <c r="J43" i="84"/>
  <c r="J34" i="84"/>
  <c r="J30" i="81"/>
  <c r="L43" i="84"/>
  <c r="L34" i="84"/>
  <c r="L30" i="81"/>
  <c r="K34" i="84"/>
  <c r="K43" i="84"/>
  <c r="K30" i="81"/>
  <c r="M34" i="84"/>
  <c r="M43" i="84"/>
  <c r="M30" i="81"/>
  <c r="H34" i="84"/>
  <c r="H43" i="84"/>
  <c r="H30" i="81"/>
  <c r="G34" i="84"/>
  <c r="G43" i="84"/>
  <c r="G30" i="81"/>
  <c r="I43" i="84"/>
  <c r="I34" i="84"/>
  <c r="I30" i="81"/>
  <c r="D34" i="84"/>
  <c r="D43" i="84"/>
  <c r="D30" i="81"/>
  <c r="C34" i="84"/>
  <c r="C43" i="84"/>
  <c r="C30" i="81"/>
  <c r="P186" i="28"/>
  <c r="P183" i="28"/>
  <c r="P198" i="46"/>
  <c r="R146" i="46"/>
  <c r="N59" i="81"/>
  <c r="B63" i="81"/>
  <c r="N6" i="81"/>
  <c r="B11" i="81"/>
  <c r="R182" i="20"/>
  <c r="P183" i="20"/>
  <c r="P186" i="20"/>
  <c r="Q185" i="20"/>
  <c r="R185" i="20"/>
  <c r="P197" i="46"/>
  <c r="P203" i="46"/>
  <c r="D204" i="46"/>
  <c r="D199" i="46"/>
  <c r="E208" i="46" l="1"/>
  <c r="E213" i="46" s="1"/>
  <c r="E215" i="46" s="1"/>
  <c r="C42" i="84"/>
  <c r="J208" i="46"/>
  <c r="J213" i="46" s="1"/>
  <c r="J215" i="46" s="1"/>
  <c r="H42" i="84"/>
  <c r="H208" i="46"/>
  <c r="H213" i="46" s="1"/>
  <c r="H215" i="46" s="1"/>
  <c r="F42" i="84"/>
  <c r="N30" i="81"/>
  <c r="I208" i="46"/>
  <c r="I213" i="46" s="1"/>
  <c r="I215" i="46" s="1"/>
  <c r="G42" i="84"/>
  <c r="J42" i="84"/>
  <c r="L208" i="46"/>
  <c r="L213" i="46" s="1"/>
  <c r="L215" i="46" s="1"/>
  <c r="D208" i="46"/>
  <c r="N43" i="84"/>
  <c r="N42" i="84" s="1"/>
  <c r="AC42" i="84" s="1"/>
  <c r="B42" i="84"/>
  <c r="M208" i="46"/>
  <c r="M213" i="46" s="1"/>
  <c r="M215" i="46" s="1"/>
  <c r="K42" i="84"/>
  <c r="N208" i="46"/>
  <c r="N213" i="46" s="1"/>
  <c r="N215" i="46" s="1"/>
  <c r="L42" i="84"/>
  <c r="F208" i="46"/>
  <c r="F213" i="46" s="1"/>
  <c r="F215" i="46" s="1"/>
  <c r="D42" i="84"/>
  <c r="K208" i="46"/>
  <c r="K213" i="46" s="1"/>
  <c r="K215" i="46" s="1"/>
  <c r="I42" i="84"/>
  <c r="O208" i="46"/>
  <c r="O213" i="46" s="1"/>
  <c r="O215" i="46" s="1"/>
  <c r="M42" i="84"/>
  <c r="G208" i="46"/>
  <c r="G213" i="46" s="1"/>
  <c r="G215" i="46" s="1"/>
  <c r="E42" i="84"/>
  <c r="D207" i="46"/>
  <c r="D205" i="46"/>
  <c r="N11" i="81"/>
  <c r="B4" i="81"/>
  <c r="P204" i="46"/>
  <c r="P199" i="46"/>
  <c r="R186" i="20"/>
  <c r="P187" i="20"/>
  <c r="P187" i="28"/>
  <c r="R183" i="20"/>
  <c r="B25" i="81"/>
  <c r="N63" i="81"/>
  <c r="D213" i="46" l="1"/>
  <c r="D215" i="46" s="1"/>
  <c r="P208" i="46"/>
  <c r="Q208" i="46" s="1"/>
  <c r="N4" i="81"/>
  <c r="O4" i="81" s="1"/>
  <c r="P4" i="81" s="1"/>
  <c r="P3" i="81" s="1"/>
  <c r="N25" i="81"/>
  <c r="B18" i="81"/>
  <c r="R187" i="20"/>
  <c r="P207" i="46"/>
  <c r="P205" i="46"/>
  <c r="B16" i="81" l="1"/>
  <c r="P213" i="46"/>
  <c r="B41" i="81" l="1"/>
  <c r="B47" i="81" s="1"/>
  <c r="B43" i="81"/>
  <c r="B44" i="81" s="1"/>
  <c r="B45" i="81" s="1"/>
  <c r="P215" i="46"/>
  <c r="Y218" i="46" l="1"/>
  <c r="Y214" i="46"/>
  <c r="Y217" i="46"/>
  <c r="Y213" i="46"/>
  <c r="C36" i="81"/>
  <c r="B48" i="81"/>
  <c r="B51" i="81" s="1"/>
  <c r="C3" i="81" l="1"/>
  <c r="C34" i="81"/>
  <c r="C18" i="81" l="1"/>
  <c r="C16" i="81" l="1"/>
  <c r="C43" i="81" l="1"/>
  <c r="C44" i="81" s="1"/>
  <c r="C45" i="81" s="1"/>
  <c r="C41" i="81"/>
  <c r="C47" i="81" s="1"/>
  <c r="C48" i="81" l="1"/>
  <c r="C51" i="81" s="1"/>
  <c r="D36" i="81"/>
  <c r="D3" i="81" l="1"/>
  <c r="D34" i="81"/>
  <c r="D18" i="81" l="1"/>
  <c r="D16" i="81" l="1"/>
  <c r="D43" i="81" l="1"/>
  <c r="D44" i="81" s="1"/>
  <c r="D45" i="81" s="1"/>
  <c r="D41" i="81"/>
  <c r="D47" i="81" s="1"/>
  <c r="D48" i="81" l="1"/>
  <c r="D51" i="81" s="1"/>
  <c r="E36" i="81"/>
  <c r="E3" i="81" l="1"/>
  <c r="E34" i="81"/>
  <c r="E18" i="81" l="1"/>
  <c r="E16" i="81" l="1"/>
  <c r="E43" i="81" l="1"/>
  <c r="E44" i="81" s="1"/>
  <c r="E45" i="81" s="1"/>
  <c r="E41" i="81"/>
  <c r="E47" i="81" s="1"/>
  <c r="E48" i="81" l="1"/>
  <c r="E51" i="81" s="1"/>
  <c r="F36" i="81"/>
  <c r="F3" i="81" l="1"/>
  <c r="F34" i="81"/>
  <c r="F18" i="81" s="1"/>
  <c r="F16" i="81" l="1"/>
  <c r="F41" i="81" s="1"/>
  <c r="F47" i="81" s="1"/>
  <c r="F43" i="81" l="1"/>
  <c r="F44" i="81" s="1"/>
  <c r="F45" i="81" s="1"/>
  <c r="F48" i="81" l="1"/>
  <c r="F51" i="81" s="1"/>
  <c r="G36" i="81"/>
  <c r="G34" i="81" l="1"/>
  <c r="G18" i="81" s="1"/>
  <c r="G16" i="81" s="1"/>
  <c r="G43" i="81" s="1"/>
  <c r="G3" i="81"/>
  <c r="G41" i="81" l="1"/>
  <c r="G47" i="81" s="1"/>
  <c r="G44" i="81"/>
  <c r="G45" i="81" s="1"/>
  <c r="H36" i="81" l="1"/>
  <c r="H34" i="81" s="1"/>
  <c r="H18" i="81" s="1"/>
  <c r="H16" i="81" s="1"/>
  <c r="H43" i="81" s="1"/>
  <c r="G48" i="81"/>
  <c r="G51" i="81" s="1"/>
  <c r="H3" i="81" s="1"/>
  <c r="H41" i="81" l="1"/>
  <c r="H47" i="81" s="1"/>
  <c r="H44" i="81"/>
  <c r="H45" i="81" s="1"/>
  <c r="H48" i="81" l="1"/>
  <c r="H51" i="81" s="1"/>
  <c r="I3" i="81" s="1"/>
  <c r="I36" i="81"/>
  <c r="I34" i="81" s="1"/>
  <c r="I18" i="81" s="1"/>
  <c r="I16" i="81" s="1"/>
  <c r="I43" i="81" s="1"/>
  <c r="I41" i="81" l="1"/>
  <c r="I47" i="81" s="1"/>
  <c r="I44" i="81"/>
  <c r="I45" i="81" s="1"/>
  <c r="I48" i="81" l="1"/>
  <c r="I51" i="81" s="1"/>
  <c r="J3" i="81" s="1"/>
  <c r="J36" i="81"/>
  <c r="J34" i="81" s="1"/>
  <c r="J18" i="81" s="1"/>
  <c r="J16" i="81" s="1"/>
  <c r="J43" i="81" s="1"/>
  <c r="J44" i="81" l="1"/>
  <c r="J45" i="81" s="1"/>
  <c r="J41" i="81"/>
  <c r="J47" i="81" s="1"/>
  <c r="K36" i="81" l="1"/>
  <c r="K34" i="81" s="1"/>
  <c r="K18" i="81" s="1"/>
  <c r="K16" i="81" s="1"/>
  <c r="K43" i="81" s="1"/>
  <c r="J48" i="81"/>
  <c r="J51" i="81" s="1"/>
  <c r="K3" i="81" s="1"/>
  <c r="K44" i="81" l="1"/>
  <c r="K45" i="81" s="1"/>
  <c r="K41" i="81"/>
  <c r="K47" i="81" s="1"/>
  <c r="K48" i="81" l="1"/>
  <c r="K51" i="81" s="1"/>
  <c r="L3" i="81" s="1"/>
  <c r="L36" i="81"/>
  <c r="L34" i="81" s="1"/>
  <c r="L18" i="81" s="1"/>
  <c r="L16" i="81" s="1"/>
  <c r="L43" i="81" s="1"/>
  <c r="L44" i="81" l="1"/>
  <c r="L45" i="81" s="1"/>
  <c r="L41" i="81"/>
  <c r="L47" i="81" s="1"/>
  <c r="L48" i="81" l="1"/>
  <c r="L51" i="81" s="1"/>
  <c r="M3" i="81" s="1"/>
  <c r="M36" i="81"/>
  <c r="M34" i="81" l="1"/>
  <c r="N36" i="81"/>
  <c r="M18" i="81" l="1"/>
  <c r="N34" i="81"/>
  <c r="M16" i="81" l="1"/>
  <c r="N18" i="81"/>
  <c r="M43" i="81" l="1"/>
  <c r="M44" i="81" s="1"/>
  <c r="M45" i="81" s="1"/>
  <c r="N16" i="81"/>
  <c r="M41" i="81"/>
  <c r="M47" i="81" s="1"/>
  <c r="M48" i="81" l="1"/>
  <c r="M51" i="81" s="1"/>
  <c r="N51" i="81" s="1"/>
  <c r="N45" i="81"/>
  <c r="Q139" i="46"/>
  <c r="Q129" i="28"/>
  <c r="Q83" i="28"/>
  <c r="Q129" i="20"/>
  <c r="Q37" i="20"/>
  <c r="C37" i="20"/>
  <c r="C35" i="20" s="1"/>
  <c r="C35" i="10"/>
  <c r="C81" i="10" s="1"/>
  <c r="C83" i="10"/>
  <c r="C129" i="10" s="1"/>
  <c r="C44" i="10" l="1"/>
  <c r="Q44" i="10" s="1"/>
  <c r="C90" i="10"/>
  <c r="C127" i="10"/>
  <c r="C136" i="10" s="1"/>
  <c r="C44" i="20"/>
  <c r="C81" i="20"/>
  <c r="C83" i="20"/>
  <c r="C129" i="20" s="1"/>
  <c r="C37" i="28"/>
  <c r="C177" i="10"/>
  <c r="Q177" i="10" s="1"/>
  <c r="C90" i="20" l="1"/>
  <c r="C127" i="20"/>
  <c r="C136" i="20" s="1"/>
  <c r="Q44" i="20"/>
  <c r="C177" i="20"/>
  <c r="Q177" i="20" s="1"/>
  <c r="C44" i="28"/>
  <c r="C35" i="28"/>
  <c r="C81" i="28" s="1"/>
  <c r="C83" i="28"/>
  <c r="C129" i="28" s="1"/>
  <c r="C47" i="46"/>
  <c r="C182" i="10"/>
  <c r="Q136" i="10"/>
  <c r="C180" i="10"/>
  <c r="Q90" i="10"/>
  <c r="C185" i="10" l="1"/>
  <c r="Q180" i="10"/>
  <c r="C45" i="46"/>
  <c r="C91" i="46" s="1"/>
  <c r="C93" i="46"/>
  <c r="C139" i="46" s="1"/>
  <c r="C127" i="28"/>
  <c r="C136" i="28" s="1"/>
  <c r="C90" i="28"/>
  <c r="C182" i="20"/>
  <c r="Q136" i="20"/>
  <c r="C183" i="10"/>
  <c r="Q183" i="10" s="1"/>
  <c r="C186" i="10"/>
  <c r="Q182" i="10"/>
  <c r="C177" i="28"/>
  <c r="Q177" i="28" s="1"/>
  <c r="C54" i="46"/>
  <c r="Q44" i="28"/>
  <c r="C180" i="20"/>
  <c r="Q90" i="20"/>
  <c r="C183" i="20" l="1"/>
  <c r="Q183" i="20" s="1"/>
  <c r="C186" i="20"/>
  <c r="Q182" i="20"/>
  <c r="C100" i="46"/>
  <c r="Q100" i="46" s="1"/>
  <c r="C137" i="46"/>
  <c r="C146" i="46" s="1"/>
  <c r="Q146" i="46" s="1"/>
  <c r="C185" i="20"/>
  <c r="Q180" i="20"/>
  <c r="Q186" i="10"/>
  <c r="C187" i="10"/>
  <c r="Q187" i="10" s="1"/>
  <c r="C180" i="28"/>
  <c r="Q90" i="28"/>
  <c r="C189" i="46"/>
  <c r="Q54" i="46"/>
  <c r="C182" i="28"/>
  <c r="Q136" i="28"/>
  <c r="C193" i="46" l="1"/>
  <c r="Q189" i="46"/>
  <c r="C188" i="46"/>
  <c r="C184" i="46"/>
  <c r="S173" i="46"/>
  <c r="Q182" i="28"/>
  <c r="C183" i="28"/>
  <c r="Q183" i="28" s="1"/>
  <c r="C186" i="28"/>
  <c r="Q180" i="28"/>
  <c r="C185" i="28"/>
  <c r="Q185" i="28" s="1"/>
  <c r="C187" i="20"/>
  <c r="Q187" i="20" s="1"/>
  <c r="Q186" i="20"/>
  <c r="C194" i="46" l="1"/>
  <c r="Q188" i="46"/>
  <c r="C187" i="28"/>
  <c r="Q187" i="28" s="1"/>
  <c r="Q186" i="28"/>
  <c r="Q193" i="46"/>
  <c r="C196" i="46"/>
  <c r="Q196" i="46" l="1"/>
  <c r="C198" i="46"/>
  <c r="Q198" i="46" s="1"/>
  <c r="C203" i="46"/>
  <c r="Q203" i="46" s="1"/>
  <c r="Q194" i="46"/>
  <c r="C197" i="46"/>
  <c r="C199" i="46" l="1"/>
  <c r="Q199" i="46" s="1"/>
  <c r="C204" i="46"/>
  <c r="Q197" i="46"/>
  <c r="C205" i="46" l="1"/>
  <c r="Q205" i="46" s="1"/>
  <c r="Q204" i="46"/>
  <c r="C207" i="46"/>
  <c r="C213" i="46" l="1"/>
  <c r="Q207" i="46"/>
  <c r="C215" i="46" l="1"/>
  <c r="Q21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GULNAZ</author>
    <author>ILTER</author>
  </authors>
  <commentList>
    <comment ref="B3" authorId="0" shapeId="0" xr:uid="{00000000-0006-0000-0400-000001000000}">
      <text>
        <r>
          <rPr>
            <b/>
            <sz val="9"/>
            <color indexed="81"/>
            <rFont val="Tahoma"/>
            <family val="2"/>
            <charset val="162"/>
          </rPr>
          <t>GÜLNAZ:
KASA + BANKA BAKİYE TOPLAMI OKAN BEYDEN BİLGİSİ ALINACAK - ARALIK SONU</t>
        </r>
      </text>
    </comment>
    <comment ref="B7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162"/>
          </rPr>
          <t>GULNAZ:</t>
        </r>
        <r>
          <rPr>
            <sz val="9"/>
            <color indexed="81"/>
            <rFont val="Tahoma"/>
            <family val="2"/>
            <charset val="162"/>
          </rPr>
          <t xml:space="preserve">
okan beyden bilgi alındı 
2016 Aralık ayında gerçekleşen Satışların % 70 
</t>
        </r>
      </text>
    </comment>
    <comment ref="B14" authorId="0" shapeId="0" xr:uid="{00000000-0006-0000-0400-000003000000}">
      <text>
        <r>
          <rPr>
            <b/>
            <sz val="9"/>
            <color indexed="81"/>
            <rFont val="Tahoma"/>
            <family val="2"/>
            <charset val="162"/>
          </rPr>
          <t>GULNAZ:</t>
        </r>
        <r>
          <rPr>
            <sz val="9"/>
            <color indexed="81"/>
            <rFont val="Tahoma"/>
            <family val="2"/>
            <charset val="162"/>
          </rPr>
          <t xml:space="preserve">
MOTORİN İTHAL</t>
        </r>
      </text>
    </comment>
    <comment ref="A31" authorId="1" shapeId="0" xr:uid="{00000000-0006-0000-0400-000004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NET SALES %1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53" authorId="0" shapeId="0" xr:uid="{00000000-0006-0000-0A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0F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12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13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16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17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2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3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4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5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6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7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8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9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A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B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C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D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E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2F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ILTER</author>
  </authors>
  <commentList>
    <comment ref="A143" authorId="0" shapeId="0" xr:uid="{00000000-0006-0000-3000-000001000000}">
      <text>
        <r>
          <rPr>
            <b/>
            <sz val="9"/>
            <color indexed="81"/>
            <rFont val="Tahoma"/>
            <family val="2"/>
            <charset val="162"/>
          </rPr>
          <t>ILTER:</t>
        </r>
        <r>
          <rPr>
            <sz val="9"/>
            <color indexed="81"/>
            <rFont val="Tahoma"/>
            <family val="2"/>
            <charset val="162"/>
          </rPr>
          <t xml:space="preserve">
UÇAK, OTOBÜS,TREN, GEMİ, TAKSİ VE OTOPARK</t>
        </r>
      </text>
    </comment>
  </commentList>
</comments>
</file>

<file path=xl/sharedStrings.xml><?xml version="1.0" encoding="utf-8"?>
<sst xmlns="http://schemas.openxmlformats.org/spreadsheetml/2006/main" count="13388" uniqueCount="712">
  <si>
    <t>2013 Projeksiyon</t>
  </si>
  <si>
    <t>Ocak</t>
  </si>
  <si>
    <t>Şubat</t>
  </si>
  <si>
    <t>Mart</t>
  </si>
  <si>
    <t>Nisan</t>
  </si>
  <si>
    <t>Mayıs</t>
  </si>
  <si>
    <t>Haziran</t>
  </si>
  <si>
    <t>Temmuz</t>
  </si>
  <si>
    <t>Ağustos</t>
  </si>
  <si>
    <t>Eylül</t>
  </si>
  <si>
    <t>Ekim</t>
  </si>
  <si>
    <t>Kasım</t>
  </si>
  <si>
    <t>Aralık</t>
  </si>
  <si>
    <t>Toplam</t>
  </si>
  <si>
    <t>2013 (%)</t>
  </si>
  <si>
    <t>95 Oktan K.Benzin</t>
  </si>
  <si>
    <t>95 Ok.K.Benzin Premium</t>
  </si>
  <si>
    <t>Gazyağı</t>
  </si>
  <si>
    <t>Toplam Motorin</t>
  </si>
  <si>
    <t xml:space="preserve">Fuel oil </t>
  </si>
  <si>
    <t>Kalorifer Yakıtı</t>
  </si>
  <si>
    <t>İhrakiye</t>
  </si>
  <si>
    <t>İhaleler</t>
  </si>
  <si>
    <t>Dağıtıcılar</t>
  </si>
  <si>
    <t>Beyaz Ürünler (m3)</t>
  </si>
  <si>
    <t>Siyah Ürünler (ton)</t>
  </si>
  <si>
    <t>Madeni Yag (ton)</t>
  </si>
  <si>
    <t>Toplam Benzin</t>
  </si>
  <si>
    <t>Beyaz Ürünler (TL)</t>
  </si>
  <si>
    <t>Siyah Ürünler (TL)</t>
  </si>
  <si>
    <t>Madeni Yag (TL)</t>
  </si>
  <si>
    <t>TOPLAM BRÜT SATIŞ (TL)</t>
  </si>
  <si>
    <t>TOPLAM İSKONTO (TL)</t>
  </si>
  <si>
    <t>Ort. İskonto</t>
  </si>
  <si>
    <t xml:space="preserve">2013 BRÜT SATIŞLAR </t>
  </si>
  <si>
    <t>TOPLAM SMM (TL)</t>
  </si>
  <si>
    <t>TOPLAM BRÜT KAR (TL)</t>
  </si>
  <si>
    <t>TOPLAM</t>
  </si>
  <si>
    <t>PERSONEL ÜCRETLERİ</t>
  </si>
  <si>
    <t>PERSONEL YEMEK GİDERLERİ</t>
  </si>
  <si>
    <t xml:space="preserve">ARAÇ YAKİT </t>
  </si>
  <si>
    <t>ARAÇ TAMİR BAKİM GİDERLERİ</t>
  </si>
  <si>
    <t>KİRTASİYE GİDERLERİ</t>
  </si>
  <si>
    <t>TELEFON GİDERLERİ</t>
  </si>
  <si>
    <t>ELEKTRİK GİDERLERİ</t>
  </si>
  <si>
    <t>SU GİDELERİ</t>
  </si>
  <si>
    <t>İSİNMA GİDERLERİ</t>
  </si>
  <si>
    <t>KİRA VE AİDAT GİDERLERİ</t>
  </si>
  <si>
    <t>NOTER GİDERLERİ</t>
  </si>
  <si>
    <t>ABONMAN GİDERLERİ</t>
  </si>
  <si>
    <t>İLAN VE REKLAM GİDERLERİ</t>
  </si>
  <si>
    <t>GÜVENLİK GİDERLERİ</t>
  </si>
  <si>
    <t>KONAKLAMA GİDERLERİ</t>
  </si>
  <si>
    <t>SİGORTA GİDERLERİ</t>
  </si>
  <si>
    <t>BANKA MASRAFLARİ</t>
  </si>
  <si>
    <t>AMORTİSMAN GİDERLERİ</t>
  </si>
  <si>
    <t>TEMSİL VE AĞIRLAMA GİDERLERİ</t>
  </si>
  <si>
    <t>BİLGİ İŞLEM GİDERLERİ</t>
  </si>
  <si>
    <t>EĞİTİM VE SAĞLİK GİDERLERİ</t>
  </si>
  <si>
    <t>NAKLİYE GİDERLERİ</t>
  </si>
  <si>
    <t>REKLAM VE TANİTİM GİDERLERİ</t>
  </si>
  <si>
    <t>İPOTEK VE İNTİFA GİDERLERİ</t>
  </si>
  <si>
    <t>TEMİZLİK GİDERLERİ</t>
  </si>
  <si>
    <t>PERSONEL GİYİM GİDERLERİ</t>
  </si>
  <si>
    <t>DİĞER GİDERLER</t>
  </si>
  <si>
    <t>TAMİR BAKİM &amp; ONARİM GİDERLERİ</t>
  </si>
  <si>
    <t>K.K.E.G.</t>
  </si>
  <si>
    <t>ULAŞİM VE OTOPARK GİDERLERİ</t>
  </si>
  <si>
    <t>TOPLAM BRÜT SATIŞLAR</t>
  </si>
  <si>
    <t>TOPLAM İSKONTOLAR</t>
  </si>
  <si>
    <t>TOPLAM NET SATIŞLAR</t>
  </si>
  <si>
    <t>TOPLAM SMM</t>
  </si>
  <si>
    <t>TOPLAM NET SATIŞ (TL)</t>
  </si>
  <si>
    <t>TOPLAM BRÜT KAR (%)</t>
  </si>
  <si>
    <t>TOPLAM GİDERLER (%)</t>
  </si>
  <si>
    <t>TOPLAM GİDERLER (TL)</t>
  </si>
  <si>
    <t>KARGO, POSTA VE HABERLEŞME GİD.</t>
  </si>
  <si>
    <t>VERGİ HARÇ VE ODA AİDAT  GİD.</t>
  </si>
  <si>
    <t>AVUKAT, MÜŞAVİRLİK VE DAVA GİD.</t>
  </si>
  <si>
    <t>TOPLAM FAALİYET KARI (TL)</t>
  </si>
  <si>
    <t>TOPLAM FAALİYET KARI (%)</t>
  </si>
  <si>
    <t>Motorin Yurtiçi</t>
  </si>
  <si>
    <t>Motorin Euroufo Yurtiçi</t>
  </si>
  <si>
    <t>Motorin İthal</t>
  </si>
  <si>
    <t>Motorin Euroufo İthal</t>
  </si>
  <si>
    <t>LPG (ton)</t>
  </si>
  <si>
    <t>LPG (TL)</t>
  </si>
  <si>
    <t>2013 Ocak - Aralık</t>
  </si>
  <si>
    <t>Satır Etiketleri</t>
  </si>
  <si>
    <t xml:space="preserve">ADANA </t>
  </si>
  <si>
    <t>ANKARA</t>
  </si>
  <si>
    <t>ANTALYA</t>
  </si>
  <si>
    <t>BALIKESİR</t>
  </si>
  <si>
    <t>BATI KARADENİZ</t>
  </si>
  <si>
    <t>BATMAN</t>
  </si>
  <si>
    <t>BURSA</t>
  </si>
  <si>
    <t>ERZURUM</t>
  </si>
  <si>
    <t>GAZİANTEP</t>
  </si>
  <si>
    <t>İSTANBUL</t>
  </si>
  <si>
    <t>İZMİR</t>
  </si>
  <si>
    <t>KAYSERİ</t>
  </si>
  <si>
    <t>KONYA</t>
  </si>
  <si>
    <t>MALATYA</t>
  </si>
  <si>
    <t>SAMSUN</t>
  </si>
  <si>
    <t>TRAKYA</t>
  </si>
  <si>
    <t>Adblue</t>
  </si>
  <si>
    <t>Madeni Yağ</t>
  </si>
  <si>
    <t>SAHA KODU</t>
  </si>
  <si>
    <t xml:space="preserve">SAHA </t>
  </si>
  <si>
    <t>SAHA MÜDÜRÜ</t>
  </si>
  <si>
    <t>2013 KG</t>
  </si>
  <si>
    <t>OCAK</t>
  </si>
  <si>
    <t>ŞUBAT</t>
  </si>
  <si>
    <t>MART</t>
  </si>
  <si>
    <t>NİSAN</t>
  </si>
  <si>
    <t>MAYIS</t>
  </si>
  <si>
    <t>HAZİRAN</t>
  </si>
  <si>
    <t>TEMMUZ</t>
  </si>
  <si>
    <t>AĞUSTOS</t>
  </si>
  <si>
    <t>EYLÜL</t>
  </si>
  <si>
    <t>EKİM</t>
  </si>
  <si>
    <t>KASIM</t>
  </si>
  <si>
    <t>ARALIK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</si>
  <si>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</si>
  <si>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</si>
  <si>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</si>
  <si>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</si>
  <si>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</si>
  <si>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</si>
  <si>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</si>
  <si>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</si>
  <si>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</si>
  <si>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</si>
  <si>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ADANA</t>
  </si>
  <si>
    <t>S11</t>
  </si>
  <si>
    <t>S12</t>
  </si>
  <si>
    <t>S13</t>
  </si>
  <si>
    <t>S14</t>
  </si>
  <si>
    <t>S15</t>
  </si>
  <si>
    <t>S16</t>
  </si>
  <si>
    <t xml:space="preserve">MADENİ YAĞ </t>
  </si>
  <si>
    <t>ADBLUE TOPLAM</t>
  </si>
  <si>
    <t>$ Kur</t>
  </si>
  <si>
    <r>
      <t xml:space="preserve">             BPET MALİYETLERİ VE DEPO SATIŞ FİYATLARI (TL/m</t>
    </r>
    <r>
      <rPr>
        <b/>
        <vertAlign val="superscript"/>
        <sz val="14"/>
        <color indexed="12"/>
        <rFont val="Arial Tur"/>
        <charset val="162"/>
      </rPr>
      <t>3</t>
    </r>
    <r>
      <rPr>
        <b/>
        <sz val="14"/>
        <color indexed="12"/>
        <rFont val="Arial Tur"/>
        <charset val="162"/>
      </rPr>
      <t>)</t>
    </r>
  </si>
  <si>
    <t>İKMAL YERİ</t>
  </si>
  <si>
    <t xml:space="preserve">             BPET MALİYET</t>
  </si>
  <si>
    <t xml:space="preserve">                 BPET DEPO SATIŞ</t>
  </si>
  <si>
    <t>% KAR</t>
  </si>
  <si>
    <t>BPET KARLILIK</t>
  </si>
  <si>
    <t>İKMAL BÖLGESİ</t>
  </si>
  <si>
    <t>İKMAL BİRİMİ</t>
  </si>
  <si>
    <t>ÜRÜN</t>
  </si>
  <si>
    <t>Depo Çıkış</t>
  </si>
  <si>
    <t>Servis Ücr.</t>
  </si>
  <si>
    <t>KDV'siz</t>
  </si>
  <si>
    <t>KDV'li</t>
  </si>
  <si>
    <t>Marjı</t>
  </si>
  <si>
    <t>TL/m3</t>
  </si>
  <si>
    <t>$/m3</t>
  </si>
  <si>
    <t>MERSİN</t>
  </si>
  <si>
    <t>BP</t>
  </si>
  <si>
    <t>FuelOil</t>
  </si>
  <si>
    <t>OPET</t>
  </si>
  <si>
    <t>ALİAĞA</t>
  </si>
  <si>
    <t>LUKOİL</t>
  </si>
  <si>
    <t>-</t>
  </si>
  <si>
    <t>AÇIKLAMA: 01.01.2014  tarihi itibariyle Tüpraş Fiyatlarında Gelir Payı değişikliği ve Motorine % 2,26 zam…</t>
  </si>
  <si>
    <t>KANAL</t>
  </si>
  <si>
    <t>İKMAL</t>
  </si>
  <si>
    <t>Ağırlık</t>
  </si>
  <si>
    <t xml:space="preserve">MERSİN </t>
  </si>
  <si>
    <t>K.KALE</t>
  </si>
  <si>
    <t>İZMİT</t>
  </si>
  <si>
    <t>GİRESUN</t>
  </si>
  <si>
    <t>KIRIKKALE</t>
  </si>
  <si>
    <t>TEKİRDAĞ</t>
  </si>
  <si>
    <t>Dörtyol</t>
  </si>
  <si>
    <t>Yarımca</t>
  </si>
  <si>
    <t>Aliağa</t>
  </si>
  <si>
    <t>Samsun</t>
  </si>
  <si>
    <t>alış</t>
  </si>
  <si>
    <t>satış</t>
  </si>
  <si>
    <t>LPG</t>
  </si>
  <si>
    <t>Dağıtıcı Hariç Toplam</t>
  </si>
  <si>
    <t>Dağıtıcı Dahil Toplam</t>
  </si>
  <si>
    <t>İÇİNDEKİLER</t>
  </si>
  <si>
    <t>Bpet Konsolide Bütçe………………………………………………………………………………………………………….</t>
  </si>
  <si>
    <t>Bpet Satış Fiyatları………………………………………………………………………………………………………….</t>
  </si>
  <si>
    <t>Bpet Satınalma Fiyatları………………………………………………………………………………………………………….</t>
  </si>
  <si>
    <t>13-16</t>
  </si>
  <si>
    <t>Genel Yönetim Giderleri………………………………………………………………………………………………………….</t>
  </si>
  <si>
    <t>Bpet Satış Konsolide………………………………………………………………………………………………………….</t>
  </si>
  <si>
    <t>19-23</t>
  </si>
  <si>
    <t>Pazarlama ve Satış GMY Giderleri………………………………………………………………………………………………………….</t>
  </si>
  <si>
    <t>Dağıtıcı Satışları ve Gider Bütçesi………………………………………………………………………………………………………….</t>
  </si>
  <si>
    <t>25-29</t>
  </si>
  <si>
    <t>İhale Satışları ve Gider Bütçesi………………………………………………………………………………………………………….</t>
  </si>
  <si>
    <t>30-34</t>
  </si>
  <si>
    <t>35-39</t>
  </si>
  <si>
    <t>Adana Satış ve Gider Bütçesi………………………………………………………………………………………………………….</t>
  </si>
  <si>
    <t>40-44</t>
  </si>
  <si>
    <t>Ankara Satış ve Gider Bütçesi………………………………………………………………………………………………………….</t>
  </si>
  <si>
    <t>45-49</t>
  </si>
  <si>
    <t>Antalya Satış ve Gider Bütçesi………………………………………………………………………………………………………….</t>
  </si>
  <si>
    <t>50-54</t>
  </si>
  <si>
    <t>Batı Karadeniz Satış ve gider Bütçesi………………………………………………………………………………………………………….</t>
  </si>
  <si>
    <t>55-59</t>
  </si>
  <si>
    <t>Batman Satış ve Gider Bütçesi………………………………………………………………………………………………………….</t>
  </si>
  <si>
    <t>60-64</t>
  </si>
  <si>
    <t>65-69</t>
  </si>
  <si>
    <t>Gaziantep Satış ve Gider Bütçesi………………………………………………………………………………………………………….</t>
  </si>
  <si>
    <t>70-74</t>
  </si>
  <si>
    <t>İstanbul Satış ve Gider Bütçesi………………………………………………………………………………………………………….</t>
  </si>
  <si>
    <t>75-79</t>
  </si>
  <si>
    <t>İzmir Satış ve Gider Bütçesi………………………………………………………………………………………………………….</t>
  </si>
  <si>
    <t>80-84</t>
  </si>
  <si>
    <t>Konya Satış ve Gider Bütçesi………………………………………………………………………………………………………….</t>
  </si>
  <si>
    <t>85-89</t>
  </si>
  <si>
    <t>90-94</t>
  </si>
  <si>
    <t>Samsun Satış ve Gider Bütçesi………………………………………………………………………………………………………….</t>
  </si>
  <si>
    <t>95-99</t>
  </si>
  <si>
    <t>Trakya Satış ve Gider Bütçesi………………………………………………………………………………………………………….</t>
  </si>
  <si>
    <t>100-104</t>
  </si>
  <si>
    <t>105-109</t>
  </si>
  <si>
    <t>111-120</t>
  </si>
  <si>
    <t>Genel Müdür Gider Bütçesi………………………………………………………………………………………………………….</t>
  </si>
  <si>
    <t>Lojistik Gider Bütçesi…………………………………………………………………………………..</t>
  </si>
  <si>
    <t>İnsan Kaynakları ve Org. Gelişim Gider Bütçesi………………………………………………………………………………………………………….</t>
  </si>
  <si>
    <t>İstanbul Genel Müdürlük Gider Bütçesi………………………………………………………………………………………………………….</t>
  </si>
  <si>
    <t>Tesisler Gider Bütçesi………………………………………………………………………………………………………….</t>
  </si>
  <si>
    <t>İkmal GMY Gider Bütçesi………………………………………………………………………………………………………….</t>
  </si>
  <si>
    <t>Hukuk Müşavirliği Bütçesi………………………………………………………………………………………………………….</t>
  </si>
  <si>
    <t>Dış Ticaret Müdürlüğü Bütçesi………………………………………………………………………………………………………….</t>
  </si>
  <si>
    <t>Araç Alım Bütçesi……………………………………………………………………………………………………………..</t>
  </si>
  <si>
    <t>Toplam Diğer Gelirler (TL)</t>
  </si>
  <si>
    <t>Faiz Giderleri</t>
  </si>
  <si>
    <t>TOPLAM FAALİYET GİDERLERİ (TL)</t>
  </si>
  <si>
    <t>Pazarlama Satış Giderleri</t>
  </si>
  <si>
    <t>Genel Yönetim Giderleri</t>
  </si>
  <si>
    <t>Hibe</t>
  </si>
  <si>
    <t>Reklam</t>
  </si>
  <si>
    <t>Toplam   Yatırımı  Tutarı</t>
  </si>
  <si>
    <t>Yeni İstasyon kurumsal kimlik yatırımları</t>
  </si>
  <si>
    <t>Yeni İstasyon Demirbaş yatırımları</t>
  </si>
  <si>
    <t>Yeni İstasyon Hibe Teslimatları</t>
  </si>
  <si>
    <t>Eski istasyon Kurumsal Kimlik Yenileme</t>
  </si>
  <si>
    <t>TOPLAM YATIRIM</t>
  </si>
  <si>
    <t>Yeni İstasyon</t>
  </si>
  <si>
    <t>LPG istasyonu</t>
  </si>
  <si>
    <t>Yapılacak Toplam İstasyon Adeti</t>
  </si>
  <si>
    <t>TÜRKİYE</t>
  </si>
  <si>
    <t>BATI - KARADENİZ</t>
  </si>
  <si>
    <t>AÇIKLAMA:</t>
  </si>
  <si>
    <t>Bursa Satış ve Gider Bütçesi………………………………………………………………………………………………………….</t>
  </si>
  <si>
    <t>Erzurum Satış ve Gider Bütçesi………………………………………………………………………………………………………….</t>
  </si>
  <si>
    <t>Kayseri Satış ve Gider Bütçesi………………………………………………………………………………………………………….</t>
  </si>
  <si>
    <t>Malatya Satış ve Gider Bütçesi………………………………………………………………………………………………………….</t>
  </si>
  <si>
    <t>ok</t>
  </si>
  <si>
    <t>ESAS FAALİYET KARI</t>
  </si>
  <si>
    <t>Finansal Faaliyet Gelir / Gider ( Net )</t>
  </si>
  <si>
    <t>Kambiyo Gelir / Gider ( Net )</t>
  </si>
  <si>
    <t>Komisyon Gelir / Gider  ( Net)</t>
  </si>
  <si>
    <t>Diğer Gelir / Gider ( Net )</t>
  </si>
  <si>
    <t>Kredi</t>
  </si>
  <si>
    <t>Ekipman</t>
  </si>
  <si>
    <t>Yeni İstasyon (Adet)</t>
  </si>
  <si>
    <t>Hibe (TL)</t>
  </si>
  <si>
    <t>Kredi (TL)</t>
  </si>
  <si>
    <t>Ekipman (TL)</t>
  </si>
  <si>
    <t>TOPLAM YATIRIM (TL)</t>
  </si>
  <si>
    <t>TÜRKİYE - AKARYAKIT (m3)</t>
  </si>
  <si>
    <t>KÜMÜLE</t>
  </si>
  <si>
    <t>TÜRKİYE-KREDİ</t>
  </si>
  <si>
    <t>Perakende</t>
  </si>
  <si>
    <t>Dönem Net Karı</t>
  </si>
  <si>
    <t>Önceki Yıllardan Gelen Hibeler</t>
  </si>
  <si>
    <t>Yönetim Kurulu Başkanı &amp; Yönetim Kurulu Başkan Yardımcısı &amp; YK Üyesi Gider Bütçesi………………………………………………………………………………………………………….</t>
  </si>
  <si>
    <t>Mali İşler Gider Bütçesi………………………………………………………………………………………………………….</t>
  </si>
  <si>
    <t>Deniz Satışları ve Gider Bütçesi………………………………………………………………………………………………………….</t>
  </si>
  <si>
    <t>Pazarlama &amp; Marka Müdürlüğü Gider Bütçesi………………………………………………………………………………………………………….</t>
  </si>
  <si>
    <t>Balıkesir Satış ve gider Bütçesi…………………………………………………………………….</t>
  </si>
  <si>
    <t>Ortalama</t>
  </si>
  <si>
    <t>Balkan Satışları ve Gider Bütçesi………………………………………………………………………………………………………….</t>
  </si>
  <si>
    <t>Madeni Yağ  Gider Bütçesi………………………………………………………………………………………………………….</t>
  </si>
  <si>
    <t>kabul edilmiştir.</t>
  </si>
  <si>
    <t xml:space="preserve">    Genel Müdür</t>
  </si>
  <si>
    <t>Yönetim Kurulu Başkan Yardımcısı</t>
  </si>
  <si>
    <t xml:space="preserve">        Yönetim Kurulu Başkanı</t>
  </si>
  <si>
    <t>Yeni Yatırı M3 öngörülen</t>
  </si>
  <si>
    <t>DAĞITICI</t>
  </si>
  <si>
    <t>BALKAN</t>
  </si>
  <si>
    <t>İHALE</t>
  </si>
  <si>
    <t>DENİZ SATIŞ</t>
  </si>
  <si>
    <t>2014 KG</t>
  </si>
  <si>
    <t xml:space="preserve">2015/ </t>
  </si>
  <si>
    <t>2014  (%)</t>
  </si>
  <si>
    <t>2015YILI KONSOLİDE YATIRIM BÜTÇESİ  (TL)</t>
  </si>
  <si>
    <t>2015YILI YATIRIM İSTASYON ADET</t>
  </si>
  <si>
    <t>2015YILI KREDİ BÜTÇESİ  (TL)</t>
  </si>
  <si>
    <t>2015Yılı İstasyonları Kredileri</t>
  </si>
  <si>
    <t>TÜRKİYE 2015Kredi Ödemesi</t>
  </si>
  <si>
    <t>2015YILI YATIRIM TOPLAM İSTASYON ADET - TL</t>
  </si>
  <si>
    <t>2015YILI YATIRIM BÜTÇESİ  (TL)</t>
  </si>
  <si>
    <t>2015YILI YATIRIM TOPLAM İSTASYON ADET</t>
  </si>
  <si>
    <t>2014  Yılından 2014'e Devreden Kredi ödemeleri</t>
  </si>
  <si>
    <t>SATIŞ KANALI</t>
  </si>
  <si>
    <t>Ürün</t>
  </si>
  <si>
    <t>Motorin</t>
  </si>
  <si>
    <t>2014YILI YATIRIM İSTASYON ADET</t>
  </si>
  <si>
    <t>2014YILI YATIRIM TOPLAM İSTASYON ADET - TL</t>
  </si>
  <si>
    <t>2014YILI YATIRIM İSTASYON ADET ( ÖZET )</t>
  </si>
  <si>
    <t>2014YILI YATIRIM HİBE TL ( ÖZET )</t>
  </si>
  <si>
    <t>2014YILI YATIRIM KREDİ TL ( ÖZET )</t>
  </si>
  <si>
    <t>2014YILI YATIRIM EKİPMAN TL ( ÖZET )</t>
  </si>
  <si>
    <t>GAZ YAĞI</t>
  </si>
  <si>
    <t>KALYAK</t>
  </si>
  <si>
    <t>ADBULUE</t>
  </si>
  <si>
    <t>MADENİYAĞ</t>
  </si>
  <si>
    <t>Alış</t>
  </si>
  <si>
    <t>Satış</t>
  </si>
  <si>
    <t xml:space="preserve">K.Benzin 95 </t>
  </si>
  <si>
    <t>İthal Motorin</t>
  </si>
  <si>
    <t>İTHAL</t>
  </si>
  <si>
    <t>MOTORİN</t>
  </si>
  <si>
    <t>İSTASYON</t>
  </si>
  <si>
    <t>?</t>
  </si>
  <si>
    <t xml:space="preserve">GAZ YAĞI </t>
  </si>
  <si>
    <t>ÖTV</t>
  </si>
  <si>
    <t xml:space="preserve">Ocak </t>
  </si>
  <si>
    <t xml:space="preserve">Ekipman </t>
  </si>
  <si>
    <t>SAHA</t>
  </si>
  <si>
    <t xml:space="preserve">Kontrat Yenileme Adet </t>
  </si>
  <si>
    <t>Yeni Bayilik Adet</t>
  </si>
  <si>
    <t>BRÜT SATIŞLAR- DİĞER</t>
  </si>
  <si>
    <t>BRÜT SATIŞLAR- AKARYAKIT</t>
  </si>
  <si>
    <t>TOPLAM BRÜT KAR (TL) AKARYAKIT</t>
  </si>
  <si>
    <t xml:space="preserve">TOPLAM BRÜT KAR (TL) </t>
  </si>
  <si>
    <t>Kontrat Yenileme Bütçe (000 TL)</t>
  </si>
  <si>
    <t>Yeni Bayilik Bütçe (000 TL)</t>
  </si>
  <si>
    <t>Toplam Yatırım Bütçe (000 TL)</t>
  </si>
  <si>
    <t>TOPLAM NET SATIŞLAR-akaryakıt</t>
  </si>
  <si>
    <t>TOPLAM BRÜT KAR (%)-AKARYAKIT</t>
  </si>
  <si>
    <t>EBITDA</t>
  </si>
  <si>
    <t>EBİTDA (%)</t>
  </si>
  <si>
    <t>Bpet 2016Yılı Çalışma Bütçesi Onayı………………………………………………………………………………………………………….</t>
  </si>
  <si>
    <t>2016Yılı Bütçe Kabulleri………………………………………………………………………………………………………….</t>
  </si>
  <si>
    <t>2016Yılı Yatırımları Konsolide Bütçe………………………………………………………………………………………………………….</t>
  </si>
  <si>
    <t>2016Yılı Yatırımları Detay Bütçesi………………………………………………………………………………………………………….</t>
  </si>
  <si>
    <t>Toplam Beyaz</t>
  </si>
  <si>
    <t>Benzin</t>
  </si>
  <si>
    <t xml:space="preserve">Gazyağı </t>
  </si>
  <si>
    <t>Kalyak</t>
  </si>
  <si>
    <t>Genel Toplam</t>
  </si>
  <si>
    <t>Lisanslı İstasyonlu Bayi ( Perakende )</t>
  </si>
  <si>
    <t>Nakliye Sigorta Gelirleri</t>
  </si>
  <si>
    <t>Fiyat Farkı Gelirleri</t>
  </si>
  <si>
    <t>Hizmet Gelirleri</t>
  </si>
  <si>
    <t>Vade Farkı</t>
  </si>
  <si>
    <t>Nakliye Gelirleri</t>
  </si>
  <si>
    <t>Kira Gelirleri</t>
  </si>
  <si>
    <t>Otomasyon Bedeli Geliri</t>
  </si>
  <si>
    <t>Yansıtma Bedeli</t>
  </si>
  <si>
    <t>Ciro Prim Geliri</t>
  </si>
  <si>
    <t>Tank Temizlik Bedeli</t>
  </si>
  <si>
    <t>Komisyon Gelirleri</t>
  </si>
  <si>
    <t>Kambiyo Karları</t>
  </si>
  <si>
    <t>Faal.Diğer Gelir Ve Karlar</t>
  </si>
  <si>
    <t>Komisyon Giderleri</t>
  </si>
  <si>
    <t>Kambiyo Giderleri</t>
  </si>
  <si>
    <t>Faal.Diğer Gider ve Zararlar</t>
  </si>
  <si>
    <t>Diğer Faal. Gelir / Gider ( Net )</t>
  </si>
  <si>
    <t>Konusu Kal.Karşılıklar</t>
  </si>
  <si>
    <t>Diğer Olağandışı Gider ve Zararlar</t>
  </si>
  <si>
    <t>Diğer Olağandışı Gelir ve Karlar</t>
  </si>
  <si>
    <t xml:space="preserve">OCAK </t>
  </si>
  <si>
    <t xml:space="preserve">BİN TL </t>
  </si>
  <si>
    <t xml:space="preserve">TAHMİN </t>
  </si>
  <si>
    <t xml:space="preserve">BASLANGIC BAKİYE </t>
  </si>
  <si>
    <t>GİRİSLER</t>
  </si>
  <si>
    <t>NAKİT SATIŞTAN GELEN</t>
  </si>
  <si>
    <t>VADELİ SATIŞTAN GELEN</t>
  </si>
  <si>
    <t>DİĞER GELİRLER</t>
  </si>
  <si>
    <t>BAYİ YAPILANDIRMA GERİ ÖDEME</t>
  </si>
  <si>
    <t>BAYİ KREDİ GERİ ODEME</t>
  </si>
  <si>
    <t xml:space="preserve">TOPLAM TAHSİLAT </t>
  </si>
  <si>
    <t xml:space="preserve">KREDİ KULLANIMI </t>
  </si>
  <si>
    <t xml:space="preserve">KARZ </t>
  </si>
  <si>
    <t>ROTATİF</t>
  </si>
  <si>
    <t xml:space="preserve">NAKİT CIKISLARI </t>
  </si>
  <si>
    <t xml:space="preserve">ODEMELER </t>
  </si>
  <si>
    <t>YURTIÇI ALIM  (AKARYAKIT)</t>
  </si>
  <si>
    <t>YURTIÇI ALIM  (MADENİ YAĞ)</t>
  </si>
  <si>
    <t>İTHAL KDV</t>
  </si>
  <si>
    <t xml:space="preserve">KDV </t>
  </si>
  <si>
    <t xml:space="preserve">ÖTV </t>
  </si>
  <si>
    <t>DİĞER VERGİ</t>
  </si>
  <si>
    <t xml:space="preserve">MAAS </t>
  </si>
  <si>
    <t>GENEL GİDER</t>
  </si>
  <si>
    <t>FİNANSAL GİDER</t>
  </si>
  <si>
    <t>ŞÜPHELİ ALACAK</t>
  </si>
  <si>
    <t>BAYİLERE VERİLEN KREDİLER</t>
  </si>
  <si>
    <t>GRUP ŞİRKETLERİNE VERİLECEK KREDİ</t>
  </si>
  <si>
    <t>KREDİ GERİ ÖDEME</t>
  </si>
  <si>
    <t xml:space="preserve">ROTATİF </t>
  </si>
  <si>
    <t>TİCARİ KREDİ</t>
  </si>
  <si>
    <t xml:space="preserve">(NAKİT ACIGI) / FAZLASI </t>
  </si>
  <si>
    <t>DONEM  AKIS</t>
  </si>
  <si>
    <t>KUMULE AKIS</t>
  </si>
  <si>
    <t>KREDİ İHTİYACI</t>
  </si>
  <si>
    <t>KÜMÜLE NAKİT AKIŞI</t>
  </si>
  <si>
    <t xml:space="preserve">DONEM SONU BAKİYE </t>
  </si>
  <si>
    <t>L/C LERDEN DÜŞÜLEN ÖTV</t>
  </si>
  <si>
    <t>HESAPLANAN KDV</t>
  </si>
  <si>
    <t>İNDİRİLECEK KDV</t>
  </si>
  <si>
    <t>İTHALAT İNDİRİLECEK KDV</t>
  </si>
  <si>
    <t>YERLİ ALIM KDV</t>
  </si>
  <si>
    <t>KREDİ BORÇ DURUMU(BİN TL)</t>
  </si>
  <si>
    <t>Bütçe Kabulleri :</t>
  </si>
  <si>
    <r>
      <t>•</t>
    </r>
    <r>
      <rPr>
        <b/>
        <sz val="11"/>
        <rFont val="Franklin Gothic Book"/>
        <family val="2"/>
        <charset val="162"/>
      </rPr>
      <t>Enflasyon oranı-aylık</t>
    </r>
  </si>
  <si>
    <t>DİE- TEFE&amp;ÜFE ye göre tespit edilir. Mali İşler</t>
  </si>
  <si>
    <r>
      <t>•</t>
    </r>
    <r>
      <rPr>
        <b/>
        <sz val="11"/>
        <rFont val="Franklin Gothic Book"/>
        <family val="2"/>
        <charset val="162"/>
      </rPr>
      <t>Enflasyon oranı-kümülatif</t>
    </r>
  </si>
  <si>
    <t>DİE- TEFE&amp;ÜFE ye göre tespit edilir. Mali İşler.</t>
  </si>
  <si>
    <t>Banka Faiz oranları</t>
  </si>
  <si>
    <t>Mali İşl.  tarafından belirlenir.</t>
  </si>
  <si>
    <t>Akaryakıt fiyat artışları</t>
  </si>
  <si>
    <t>Balpet Yöneticileri tarafından öngörülmelidir.</t>
  </si>
  <si>
    <t>Personel Maaş artış oranları</t>
  </si>
  <si>
    <t>YKB, YKB Yrd., CEO / Şirket Gn. Md. Tarafından belirlenir.</t>
  </si>
  <si>
    <t>USD</t>
  </si>
  <si>
    <t>Mali İşl. tarafından belirlenir.</t>
  </si>
  <si>
    <t>Euro</t>
  </si>
  <si>
    <t>TOPLAM BRÜT KAR (%)AKARYAKIT + DİĞER GELİRLER</t>
  </si>
  <si>
    <t>2015 KAPANIŞ</t>
  </si>
  <si>
    <t>Q2</t>
  </si>
  <si>
    <t>Q3</t>
  </si>
  <si>
    <t>Q4</t>
  </si>
  <si>
    <t>Yeni Bayilik KREDİ</t>
  </si>
  <si>
    <t>(TL)</t>
  </si>
  <si>
    <t>TOPLAM KREDİ</t>
  </si>
  <si>
    <t>Kontrat Yenileme</t>
  </si>
  <si>
    <t>Faiz Gelirleri</t>
  </si>
  <si>
    <t>HİBE VE YATIRIM TOPLAMI</t>
  </si>
  <si>
    <t>2017 OCAK</t>
  </si>
  <si>
    <t>2017 ŞUBAT</t>
  </si>
  <si>
    <t>2017 MART</t>
  </si>
  <si>
    <t>2017 NİSAN</t>
  </si>
  <si>
    <t>2017 MAYIS</t>
  </si>
  <si>
    <t>2017 HAZİRAN</t>
  </si>
  <si>
    <t>2017 TEMMUZ</t>
  </si>
  <si>
    <t>2017 AĞUSTOS</t>
  </si>
  <si>
    <t>2017 EYLÜL</t>
  </si>
  <si>
    <t>2017 EKİM</t>
  </si>
  <si>
    <t>2017 KASIM</t>
  </si>
  <si>
    <t>2017 ARALIK</t>
  </si>
  <si>
    <t>2017 TOPLAM</t>
  </si>
  <si>
    <t>YATIRIM  ÖDEMELERİ ( KREDİ + YATIRIM )</t>
  </si>
  <si>
    <t>2016 KAPANIŞ</t>
  </si>
  <si>
    <t>2016 KULLANILAN</t>
  </si>
  <si>
    <t>Ötv için /Kdv alınan 3 günlük krediler</t>
  </si>
  <si>
    <t>ÖDENECEK KDV</t>
  </si>
  <si>
    <t>2017 İTHALAT ALIM ÖDEMELERİ</t>
  </si>
  <si>
    <t>2016 YILINDA ÖDENEN</t>
  </si>
  <si>
    <t>Ort. İskonto 1</t>
  </si>
  <si>
    <t>Ort. İskonto 2</t>
  </si>
  <si>
    <t>Ort. İskonto 3</t>
  </si>
  <si>
    <t>Ort. İskonto 4</t>
  </si>
  <si>
    <t>değişecek alan</t>
  </si>
  <si>
    <t>tablolardan toplanacak</t>
  </si>
  <si>
    <t>İLK ÜÇ AY OPET 2017 FİYAT LİSTESİNDEN ( KDV' SİZ MALİYET ) ESAS ALINDI</t>
  </si>
  <si>
    <t>TAKIP EDEN 3 ER AYLIK DÖNEMLERE BİR ÖNCEKİ AYIN FİYATINA %1,03 İLAVE EDİLDİ</t>
  </si>
  <si>
    <t>İLGİLİ FİYAT ÜZERİNE KAR MARJI EKLENEREK SATIŞ FİYATLARI BELİRLENDİ ( 1-% )</t>
  </si>
  <si>
    <t>ÜRÜN BAZINDA , 3 ER AYLIK DÖNEMLER İÇİN 4 AYRI İSKONTO ORANI BELİRLENDİ</t>
  </si>
  <si>
    <t>ALIŞ FİYATLARI :</t>
  </si>
  <si>
    <t>SATIŞ FİYATLARI:</t>
  </si>
  <si>
    <t>İSKONTO ORANLARI:</t>
  </si>
  <si>
    <t>TOPLAM SDP</t>
  </si>
  <si>
    <t>NET SATIŞLAR ( İSKONTO SONRASI )</t>
  </si>
  <si>
    <t>ORAN %38</t>
  </si>
  <si>
    <t>ORAN %62</t>
  </si>
  <si>
    <t>NAKİT VERİLEN SDP</t>
  </si>
  <si>
    <t xml:space="preserve">Toplam </t>
  </si>
  <si>
    <t>BALPET  Nakit Akım 2018</t>
  </si>
  <si>
    <t>2018 İTHALAT ALIM ÖDEMELERİ</t>
  </si>
  <si>
    <t>2018 YILI GERÇEKLEŞECEK L/C ÖDEMELERİ</t>
  </si>
  <si>
    <t>2017 YILI GERÇEKLEŞEN L/C ÖDEMELERİ</t>
  </si>
  <si>
    <t>BOLU</t>
  </si>
  <si>
    <t>DİYARBAKIR</t>
  </si>
  <si>
    <t>KÖRFEZ</t>
  </si>
  <si>
    <t>ŞANLIURFA</t>
  </si>
  <si>
    <t>Kontrat Yenileme  Ekipman</t>
  </si>
  <si>
    <t>Kontrat Yenileme Satış Destek Primi ( Hibe )</t>
  </si>
  <si>
    <t>Kontrat Yenileme (  Kredi )</t>
  </si>
  <si>
    <t>Yeni Bayilik ( Ekipman )</t>
  </si>
  <si>
    <t>Yeni Bayilik Satış Destek Primi ( Hibe )</t>
  </si>
  <si>
    <t>BÖLGE</t>
  </si>
  <si>
    <t>DÖRTYOL</t>
  </si>
  <si>
    <t>DÖRTYOL / YARIMCA</t>
  </si>
  <si>
    <t>YARIMCA</t>
  </si>
  <si>
    <t>ALİAĞA/YARIMCA</t>
  </si>
  <si>
    <t>DÖRTYOL/SAMSUN</t>
  </si>
  <si>
    <t>DÖRTYOL/SAMSUN/YARIMCA</t>
  </si>
  <si>
    <t>YARIMCA- İSTANBUL AMBARLI</t>
  </si>
  <si>
    <t>ALİAĞA / İZMİR</t>
  </si>
  <si>
    <t>ARTIŞ ORANI</t>
  </si>
  <si>
    <t>BÜTÇE TAHMİNLERİ</t>
  </si>
  <si>
    <t>Alış Fiyatları (TL-KDV HARİÇ)</t>
  </si>
  <si>
    <t>Satış Fiyatları (TL-KDV HARİÇ)</t>
  </si>
  <si>
    <t>ORTALAMA</t>
  </si>
  <si>
    <t>Kıyafet Satışları</t>
  </si>
  <si>
    <t>İKMAL NOKTASI</t>
  </si>
  <si>
    <t>KIRKKALE</t>
  </si>
  <si>
    <t>TOPLAM SATIŞ İSKONTOLARI</t>
  </si>
  <si>
    <t xml:space="preserve">TOPLAM SATIŞ İADE VE İPTALLER </t>
  </si>
  <si>
    <t>DİĞER</t>
  </si>
  <si>
    <t>ENDÜSTRİYEL</t>
  </si>
  <si>
    <t>Endüstriyel</t>
  </si>
  <si>
    <t>termialler depo alış fiyatları ( Bpet Maliyet )</t>
  </si>
  <si>
    <t>Proforma GT - Ocak - Aralık</t>
  </si>
  <si>
    <t>Aylık Ağırlıklı Ortalama = Tüpraş + Kar payı</t>
  </si>
  <si>
    <t>Bölge Bazlı</t>
  </si>
  <si>
    <t>Karlılık / ÖTV siz</t>
  </si>
  <si>
    <t>İthal</t>
  </si>
  <si>
    <t>Karlılık / Dağıtıcı</t>
  </si>
  <si>
    <t>Karlılık /İhale</t>
  </si>
  <si>
    <t>ekipman - amortisman</t>
  </si>
  <si>
    <t>Yeni</t>
  </si>
  <si>
    <t>toplam</t>
  </si>
  <si>
    <t>Net Satış</t>
  </si>
  <si>
    <t>Ortalama Alış fiyatı</t>
  </si>
  <si>
    <t>Ortalama Satış Fşyatı</t>
  </si>
  <si>
    <t>Brüt Satış</t>
  </si>
  <si>
    <t>SMM</t>
  </si>
  <si>
    <t>Brüt Karlılık</t>
  </si>
  <si>
    <t>Kar Marjı</t>
  </si>
  <si>
    <t>BENZİN</t>
  </si>
  <si>
    <t>NET SATIŞ</t>
  </si>
  <si>
    <t>BRÜT KAR</t>
  </si>
  <si>
    <t>BRÜT SATIŞ</t>
  </si>
  <si>
    <t>Ortalama Satış Fİyatı</t>
  </si>
  <si>
    <t>2018 OCAK</t>
  </si>
  <si>
    <t>2018 ŞUBAT</t>
  </si>
  <si>
    <t>2018 MART</t>
  </si>
  <si>
    <t>2018 NİSAN</t>
  </si>
  <si>
    <t>2018 MAYIS</t>
  </si>
  <si>
    <t>2018 HAZİRAN</t>
  </si>
  <si>
    <t>2018 TEMMUZ</t>
  </si>
  <si>
    <t>2018 AĞUSTOS</t>
  </si>
  <si>
    <t>2018 EYLÜL</t>
  </si>
  <si>
    <t>2018 EKİM</t>
  </si>
  <si>
    <t>2018 KASIM</t>
  </si>
  <si>
    <t>2018 ARALIK</t>
  </si>
  <si>
    <t>2018 TOPLAM</t>
  </si>
  <si>
    <t>İSKONTO ÖNCESİ FİYAT</t>
  </si>
  <si>
    <t>İSKONTO SONRASI FİYAT</t>
  </si>
  <si>
    <t>İTHAL MOTORİN</t>
  </si>
  <si>
    <t>İSKONTO ÖNCESİ</t>
  </si>
  <si>
    <t>ADBLUE</t>
  </si>
  <si>
    <t>MADENİ YAĞ</t>
  </si>
  <si>
    <t>DENİZ SATIŞLARI</t>
  </si>
  <si>
    <t>KARADENİZ</t>
  </si>
  <si>
    <t>MARMARA</t>
  </si>
  <si>
    <t>EGE</t>
  </si>
  <si>
    <t>PERSONEL ULAŞİM VE OTOPARK GİDERLERİ</t>
  </si>
  <si>
    <t>TAMİR BAKİM VE ONARİM GİDERLERİ</t>
  </si>
  <si>
    <t>AVUKAT, MÜŞAVİRLİK VE DAVA GİDERLERİ</t>
  </si>
  <si>
    <t>VERGİ HARÇ VE ODA AİDAT  MASRAFLARİ</t>
  </si>
  <si>
    <t>KARGO, POSTA VE HABERLEŞME GİDERLERİ</t>
  </si>
  <si>
    <t>KANUNEN KABUL EDİLMEYEN GİDERLER</t>
  </si>
  <si>
    <t>Kıyafet Gelir / Gider  ( Net)</t>
  </si>
  <si>
    <t>Dönem Net Karı (Dağıtıcı)</t>
  </si>
  <si>
    <t>DÖNEM NET KAR (DAĞITICI DAHİL)</t>
  </si>
  <si>
    <t>2020  (%)</t>
  </si>
  <si>
    <t>………. 2021 YILI TOPLAM  SATIŞLAR (m3-Ton)</t>
  </si>
  <si>
    <t xml:space="preserve">2021/ </t>
  </si>
  <si>
    <t xml:space="preserve">2020  SATIŞLAR </t>
  </si>
  <si>
    <t>2020  Ocak - Ekim</t>
  </si>
  <si>
    <t>2020  Projeksiyon</t>
  </si>
  <si>
    <t>2021 YILI YATIRIM İSTASYON ADET</t>
  </si>
  <si>
    <t>Halil BALKAN</t>
  </si>
  <si>
    <t>M. Ali BALKAN</t>
  </si>
  <si>
    <t xml:space="preserve">         M. Selahattin BALKAN</t>
  </si>
  <si>
    <t>Yeni Bayi</t>
  </si>
  <si>
    <t>Yenileme</t>
  </si>
  <si>
    <t>MARMARA 2</t>
  </si>
  <si>
    <t>MARMARA 1</t>
  </si>
  <si>
    <t>MARMARA1</t>
  </si>
  <si>
    <t>MARMARA2</t>
  </si>
  <si>
    <t xml:space="preserve"> </t>
  </si>
  <si>
    <t>2021  Ocak - Ekim</t>
  </si>
  <si>
    <t>MARAMARA2</t>
  </si>
  <si>
    <t>*ARTIŞ ORANI YILLIK YENİDEN DEĞERLEME ORANI İLE YILLIK ENFLASYON ORANLARININ ORTALAMASI ALINMIŞ AYLIK HESAPLANMIŞTIR.</t>
  </si>
  <si>
    <t>Kontrat Yenileme Bütçe (000 TL)(LPG)</t>
  </si>
  <si>
    <t>Yeni Bayilik Bütçe (000 TL)(LPG)</t>
  </si>
  <si>
    <t>Toplam Yatırım Bütçe (000 TL)(LPG)</t>
  </si>
  <si>
    <t>Yeni Bayilik Adet(LPG)</t>
  </si>
  <si>
    <t>Kontrat Yenileme Adet(LPG)</t>
  </si>
  <si>
    <t xml:space="preserve">tarihinde yapılan "Balpet Petrol Ürünleri  A.Ş.- 2023 yılı Bütçe Toplantısında, ilişikteki nihai bütçe </t>
  </si>
  <si>
    <t>2023 YILI DİĞER GELİRLER (000 TL) (BRÜT KAR'A YANSIYAN) - 602 Hesap</t>
  </si>
  <si>
    <t>2023 YILI DİĞER FAALİYETLERDEN GİDERLER (000 TL) (SMM'YE YANSIYAN)</t>
  </si>
  <si>
    <t>2023 YILI DİĞER FAALİYETLERDEN OLAĞAN GELİRLER (000 TL) 642-643-646-649 Hesaplar</t>
  </si>
  <si>
    <t>2023 YILI DİĞER FAALİYETLERDEN OLAĞAN GİDERLER VE ZARARLAR ( 000 TL) 652-653-646-659</t>
  </si>
  <si>
    <t>2023 YILI DİĞER FAALİYETLERDEN GELİR VE GİDERLER NET (000 TL)</t>
  </si>
  <si>
    <t>2023 YILI DİĞER OLAĞANDIŞI GELİR VE KARLAR (000 TL) 679 Hesaplar</t>
  </si>
  <si>
    <t>2023 YILI DİĞER OLAĞANDIŞI GİDER VA ZARARLAR (000 TL) 689 Hesaplar</t>
  </si>
  <si>
    <t xml:space="preserve">2023 YILI DİĞER OLAĞANDIŞI GELİR VE GİDERLER NET (000 TL) </t>
  </si>
  <si>
    <t xml:space="preserve">2023/ </t>
  </si>
  <si>
    <t>Toplam 
Ocak 2023</t>
  </si>
  <si>
    <t>Toplam 
Şubat 2023</t>
  </si>
  <si>
    <t>Toplam 
Mart 2023</t>
  </si>
  <si>
    <t>Toplam 
Nisan 2023</t>
  </si>
  <si>
    <t>Toplam Mayıs 2023</t>
  </si>
  <si>
    <t>Toplam Haziran 2023</t>
  </si>
  <si>
    <t>Toplam Temmuz 2023</t>
  </si>
  <si>
    <t>Toplam Ağustos 2023</t>
  </si>
  <si>
    <t>Toplam 
Eylül 2023</t>
  </si>
  <si>
    <t>Toplam 
Ekim 2023</t>
  </si>
  <si>
    <t>Toplam Kasım 2023</t>
  </si>
  <si>
    <t>Toplam Aralık 2023</t>
  </si>
  <si>
    <t>2023 (%)</t>
  </si>
  <si>
    <t>2023  (%)</t>
  </si>
  <si>
    <r>
      <t xml:space="preserve">
Bu dosyada yer alan BPET 2024 yılı bütçesi özet bilgileri aşağıdaki gibidir. 
</t>
    </r>
    <r>
      <rPr>
        <b/>
        <sz val="10"/>
        <rFont val="Arial Tur"/>
        <charset val="162"/>
      </rPr>
      <t>2024 yılı için Perakende Akaryakıt satışlarımızda,</t>
    </r>
    <r>
      <rPr>
        <sz val="10"/>
        <rFont val="Arial Tur"/>
        <charset val="162"/>
      </rPr>
      <t xml:space="preserve">
-Mevcut bayilerimiz için, %.... oranında satış hacmi artışı belirlenmiştir, </t>
    </r>
    <r>
      <rPr>
        <b/>
        <sz val="10"/>
        <rFont val="Arial Tur"/>
        <charset val="162"/>
      </rPr>
      <t>(...,... m3)</t>
    </r>
    <r>
      <rPr>
        <sz val="10"/>
        <rFont val="Arial Tur"/>
        <charset val="162"/>
      </rPr>
      <t xml:space="preserve">
-Hedeflenen bayilerin satış hacmi ile birlikte %... oranında satış hacmi artışı belirlenmiştir,</t>
    </r>
    <r>
      <rPr>
        <b/>
        <sz val="10"/>
        <rFont val="Arial Tur"/>
        <charset val="162"/>
      </rPr>
      <t xml:space="preserve">(...,... m3)
</t>
    </r>
    <r>
      <rPr>
        <sz val="10"/>
        <rFont val="Arial Tur"/>
        <charset val="162"/>
      </rPr>
      <t xml:space="preserve">
</t>
    </r>
    <r>
      <rPr>
        <b/>
        <sz val="10"/>
        <rFont val="Arial Tur"/>
        <charset val="162"/>
      </rPr>
      <t>2024 yılı için LPG satışlarımızda,</t>
    </r>
    <r>
      <rPr>
        <sz val="10"/>
        <rFont val="Arial Tur"/>
        <charset val="162"/>
      </rPr>
      <t xml:space="preserve">
-Mevcut bayilerimiz için, %... oranında satış hacmi artışı belirlenmiştir,</t>
    </r>
    <r>
      <rPr>
        <b/>
        <sz val="10"/>
        <rFont val="Arial Tur"/>
        <charset val="162"/>
      </rPr>
      <t>(..,... Ton)</t>
    </r>
    <r>
      <rPr>
        <sz val="10"/>
        <rFont val="Arial Tur"/>
        <charset val="162"/>
      </rPr>
      <t xml:space="preserve">
-Hedeflenen bayilerin satış hacmi ile birlikte %... oranında satış hacmi artışı belirlenmiştir,</t>
    </r>
    <r>
      <rPr>
        <b/>
        <sz val="10"/>
        <rFont val="Arial Tur"/>
        <charset val="162"/>
      </rPr>
      <t>(..,... Ton)</t>
    </r>
    <r>
      <rPr>
        <sz val="10"/>
        <rFont val="Arial Tur"/>
        <charset val="162"/>
      </rPr>
      <t xml:space="preserve">
</t>
    </r>
    <r>
      <rPr>
        <b/>
        <sz val="10"/>
        <rFont val="Arial Tur"/>
        <charset val="162"/>
      </rPr>
      <t>2024 yılı için Madeni Yağ Satışları,</t>
    </r>
    <r>
      <rPr>
        <sz val="10"/>
        <rFont val="Arial Tur"/>
        <charset val="162"/>
      </rPr>
      <t xml:space="preserve">
-Madeni yağ ürünlerinde ... Ton hedeflenmiştir.
-Adblue satışları ise ... Ton hedeflenmiştir.
</t>
    </r>
    <r>
      <rPr>
        <b/>
        <sz val="10"/>
        <rFont val="Arial Tur"/>
        <charset val="162"/>
      </rPr>
      <t>2024 yılı için Perakende satışlarımızdaki bayi sayısı,</t>
    </r>
    <r>
      <rPr>
        <sz val="10"/>
        <rFont val="Arial Tur"/>
        <charset val="162"/>
      </rPr>
      <t xml:space="preserve">
- Akaryakıt bölümü için .. adet Yeni Bayi , .. adet Mevcut bayi yenileme hedeflenmiştir.
-LPG bölümü için .. adet Yeni Bayi, .. adet Mevcut bayi yenileme hedeflenmiştir.
-Ekipman,Hibe ve Kredi değerlerinde tüm bu hedefler için ..,...,... TL yatırım bütçesi eklenmiştir.
</t>
    </r>
  </si>
  <si>
    <t>..,..,….</t>
  </si>
  <si>
    <t>2024 YILI DİĞER GELİRLER (000 TL) (BRÜT KAR'A YANSIYAN) - 602 Hesap</t>
  </si>
  <si>
    <t>2024 YILI DİĞER FAALİYETLERDEN GİDERLER (000 TL) (SMM'YE YANSIYAN)</t>
  </si>
  <si>
    <t>2024 YILI DİĞER FAALİYETLERDEN OLAĞAN GELİRLER (000 TL) 642-643-646-649 Hesaplar</t>
  </si>
  <si>
    <t>2024 YILI DİĞER FAALİYETLERDEN OLAĞAN GİDERLER VE ZARARLAR ( 000 TL) 652-653-646-659</t>
  </si>
  <si>
    <t>2024 YILI DİĞER FAALİYETLERDEN GELİR VE GİDERLER NET (000 TL)</t>
  </si>
  <si>
    <t>2024 YILI DİĞER OLAĞANDIŞI GELİR VE KARLAR (000 TL) 679 Hesaplar</t>
  </si>
  <si>
    <t>2024 YILI DİĞER OLAĞANDIŞI GİDER VA ZARARLAR (000 TL) 689 Hesaplar</t>
  </si>
  <si>
    <t xml:space="preserve">2024 YILI DİĞER OLAĞANDIŞI GELİR VE GİDERLER NET (000 TL) </t>
  </si>
  <si>
    <t>2024 YILI DİĞER SATIŞLAR (000 TL) (BRÜT KAR'A YANSIYAN) - KIYAFET SATIŞLARI</t>
  </si>
  <si>
    <t>2024 YILI DİĞER SATIŞLAR (000 TL)  (SMM'YE YANSIYAN)- KIYAFET SATIŞLARI</t>
  </si>
  <si>
    <t>2024 YILI DİĞER SATIŞLAR (000 TL) KIYAFET SATIŞLARI - KAR</t>
  </si>
  <si>
    <t>2023 YILI DİĞER SATIŞLAR (000 TL) (BRÜT KAR'A YANSIYAN) - 600 HESAP</t>
  </si>
  <si>
    <t>2023 YILI DİĞER SMM (000 TL) (BRÜT KAR'A YANSIYAN) - 621 HESAP</t>
  </si>
  <si>
    <t>2024 YILI YATIRIM BÜTÇESİ</t>
  </si>
  <si>
    <t>2023 Tahmin( Mevcut Ekipman )</t>
  </si>
  <si>
    <t>………. 2024 YILI TOPLAM  SATIŞLAR (m3-Ton)</t>
  </si>
  <si>
    <t xml:space="preserve">2024/ </t>
  </si>
  <si>
    <t>BEYAZ ÜRÜN /  2024 YILI TOPLAM  SATIŞLAR (m3-Ton)</t>
  </si>
  <si>
    <t>………. 2024 YILI TOPLAM  BRÜT SATIŞLAR (000 TL)</t>
  </si>
  <si>
    <t>………. 2024 YILI TOPLAM  İSKONTO (000 TL)</t>
  </si>
  <si>
    <t>………. 2024 YILI TOPLAM  NET SATIŞLAR (000 TL)</t>
  </si>
  <si>
    <t>………. 2024 YILI TOPLAM  SATILAN MALIN MALİYETİ (000 TL)</t>
  </si>
  <si>
    <t>………. 2024 YILI TOPLAM  BRÜT KAR (000 TL)</t>
  </si>
  <si>
    <t>2024 YILI BALPET - GİDER BÜTÇESİ (TL)</t>
  </si>
  <si>
    <t>BALPET -  2024 YILI GELİR TABLOSU (000 TL)</t>
  </si>
  <si>
    <t>2023  Ocak - Aralık Projeksiyon</t>
  </si>
  <si>
    <t>2023 Ocak -Eylül</t>
  </si>
  <si>
    <t>2023  Ocak - Eylül</t>
  </si>
  <si>
    <t>2024 YILI BALPET - GENEL YÖNETİM  GİDER BÜTÇESİ (TL)</t>
  </si>
  <si>
    <t>2024 YILI TOPLAM  SATIŞLAR (m3-Ton)</t>
  </si>
  <si>
    <t>………. 2024 YILI TOPLAM  SATILAN MALIN MAALİYETİ (000 TL)</t>
  </si>
  <si>
    <t>2024 YILI BALPET - …………………………….SAHASI GİDERLERİ (TL)</t>
  </si>
  <si>
    <t>………. 2024 YILI TOPLAM  FAALİYET KARI (000 TL)</t>
  </si>
  <si>
    <t>2024 YILI BALPET -  PAZARLAMA  &amp; SATIŞ YILI GİDER BÜTÇESİ (TL)</t>
  </si>
  <si>
    <t xml:space="preserve">2023  SATIŞLAR </t>
  </si>
  <si>
    <t>2023 Ocak - Eylül</t>
  </si>
  <si>
    <t>2023  Ocak- Aralık Projeksiyon</t>
  </si>
  <si>
    <t>2024 YILI BALPET - MADENİ YAĞ  GİDER BÜTÇESİ (TL)</t>
  </si>
  <si>
    <t>2023 Giderler</t>
  </si>
  <si>
    <t>2023  Projeksşyon</t>
  </si>
  <si>
    <t>2023  FAAL. KARI</t>
  </si>
  <si>
    <t>2023 Projeksiyon</t>
  </si>
  <si>
    <t>2023  Giderler</t>
  </si>
  <si>
    <t>2023  BRÜT KAR</t>
  </si>
  <si>
    <t>2023  SMM</t>
  </si>
  <si>
    <t xml:space="preserve">2023  NET SATIŞLAR </t>
  </si>
  <si>
    <t xml:space="preserve">2023  İSKONTO </t>
  </si>
  <si>
    <t xml:space="preserve">2023  BRÜT SATIŞLAR </t>
  </si>
  <si>
    <t xml:space="preserve">2023 SATIŞLAR </t>
  </si>
  <si>
    <t xml:space="preserve"> 2024 YILI TOPLAM  SATIŞLAR (m3-Ton)</t>
  </si>
  <si>
    <t xml:space="preserve"> 2024 YILI TOPLAM  BRÜT SATIŞLAR (000 TL)</t>
  </si>
  <si>
    <t xml:space="preserve"> 2024 YILI TOPLAM  İSKONTO (000 TL)</t>
  </si>
  <si>
    <t xml:space="preserve"> 2024 YILI TOPLAM  NET SATIŞLAR (000 TL)</t>
  </si>
  <si>
    <t xml:space="preserve"> 2024 YILI TOPLAM  SATILAN MALIN MAALİYETİ (000 TL)</t>
  </si>
  <si>
    <t>2024 YILI TOPLAM  BRÜT KAR (000 TL)</t>
  </si>
  <si>
    <t>2024 YILI TOPLAM  FAALİYET KARI (000 TL)</t>
  </si>
  <si>
    <t>2023 SMM</t>
  </si>
  <si>
    <t>2024/</t>
  </si>
  <si>
    <t xml:space="preserve"> 2024 YILI TOPLAM  SATILAN MALIN MALİYETİ (000 TL)</t>
  </si>
  <si>
    <t xml:space="preserve">2023 Ocak - Eylül </t>
  </si>
  <si>
    <t>Toplam Şubat 23</t>
  </si>
  <si>
    <t>Toplam   Mart 23</t>
  </si>
  <si>
    <t>Toplam Nisan 23</t>
  </si>
  <si>
    <t>Toplam Mayıs 23</t>
  </si>
  <si>
    <t>Toplam Haziran 23</t>
  </si>
  <si>
    <t>Toplam Temmuz 23</t>
  </si>
  <si>
    <t>Toplam Ağustos 23</t>
  </si>
  <si>
    <t>Toplam Eylül 23</t>
  </si>
  <si>
    <t>Toplam Ekim 23</t>
  </si>
  <si>
    <t>Toplam Kasım 23</t>
  </si>
  <si>
    <t>Toplam Aralık 23</t>
  </si>
  <si>
    <t>2024 (%)</t>
  </si>
  <si>
    <t>2024 ORTALAMA ALIŞ FİYAT</t>
  </si>
  <si>
    <t>2023 Gerçekleşen</t>
  </si>
  <si>
    <t>Toplam Ocak 23</t>
  </si>
  <si>
    <t>2024 KG</t>
  </si>
  <si>
    <t>2023  Proj. KG</t>
  </si>
  <si>
    <t>2024  (%)</t>
  </si>
  <si>
    <t>2023 
Ocak-Aralık</t>
  </si>
  <si>
    <t>………. 2024YILI TOPLAM  BRÜT SATIŞLAR (000 TL)</t>
  </si>
  <si>
    <t>………. 2024 YILI TOPLAM  GELİR TABLOSU (000 TL)</t>
  </si>
  <si>
    <t>2023  Projeksiyon</t>
  </si>
  <si>
    <t>2023 Ocak-Eylül</t>
  </si>
  <si>
    <t>………. 2024YILI TOPLAM  SATIŞLAR (m3-Ton)</t>
  </si>
  <si>
    <t>………. 2024YILI TOPLAM  NET SATIŞLAR (000 TL)</t>
  </si>
  <si>
    <t>………. 2024YILI TOPLAM  SATILAN MALIN MAALİYETİ (000 TL)</t>
  </si>
  <si>
    <t>………. 2024YILI TOPLAM  BRÜT KAR (000 TL)</t>
  </si>
  <si>
    <t>2024YILI BALPET - …………………………….SAHASI GİDERLERİ (TL)</t>
  </si>
  <si>
    <t>………. 2024YILI TOPLAM  FAALİYET KARI (000 TL)</t>
  </si>
  <si>
    <t>………. 2024YILI TOPLAM  İSKONTO (000 TL)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</si>
</sst>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_-* #,##0.00\ &quot;₺&quot;_-;\-* #,##0.00\ &quot;₺&quot;_-;_-* &quot;-&quot;??\ &quot;₺&quot;_-;_-@_-"/>
    <numFmt numFmtId="165" formatCode="_-* #,##0.00\ _₺_-;\-* #,##0.00\ _₺_-;_-* &quot;-&quot;??\ _₺_-;_-@_-"/>
    <numFmt numFmtId="166" formatCode="#,##0\ &quot;TL&quot;;[Red]\-#,##0\ &quot;TL&quot;"/>
    <numFmt numFmtId="167" formatCode="_-* #,##0.00\ _T_L_-;\-* #,##0.00\ _T_L_-;_-* &quot;-&quot;??\ _T_L_-;_-@_-"/>
    <numFmt numFmtId="168" formatCode="0.0%"/>
    <numFmt numFmtId="169" formatCode="_-* #,##0\ _₺_-;\-* #,##0\ _₺_-;_-* &quot;-&quot;??\ _₺_-;_-@_-"/>
    <numFmt numFmtId="170" formatCode="0.0000"/>
    <numFmt numFmtId="171" formatCode="0.00000"/>
    <numFmt numFmtId="172" formatCode="dd/mm/yyyy;@"/>
    <numFmt numFmtId="173" formatCode="#,##0.0000"/>
    <numFmt numFmtId="174" formatCode="#,##0.000"/>
    <numFmt numFmtId="175" formatCode="d\-m"/>
    <numFmt numFmtId="176" formatCode="_-* #,##0.000\ _₺_-;\-* #,##0.000\ _₺_-;_-* &quot;-&quot;??\ _₺_-;_-@_-"/>
    <numFmt numFmtId="177" formatCode="dd/mmmm/yyyy"/>
    <numFmt numFmtId="178" formatCode="_-* #,##0.0000\ _₺_-;\-* #,##0.0000\ _₺_-;_-* &quot;-&quot;??\ _₺_-;_-@_-"/>
    <numFmt numFmtId="179" formatCode="#,##0,"/>
    <numFmt numFmtId="180" formatCode="#,##0,\ \$"/>
    <numFmt numFmtId="181" formatCode="[$-41F]mmmm\ yyyy;@"/>
    <numFmt numFmtId="182" formatCode="0.000"/>
    <numFmt numFmtId="183" formatCode="_-* #,##0.0000\ _₺_-;\-* #,##0.0000\ _₺_-;_-* &quot;-&quot;????\ _₺_-;_-@_-"/>
    <numFmt numFmtId="184" formatCode="_-* #,##0.000\ _T_L_-;\-* #,##0.000\ _T_L_-;_-* &quot;-&quot;???\ _T_L_-;_-@_-"/>
    <numFmt numFmtId="185" formatCode="_-* #,##0.000000\ _₺_-;\-* #,##0.000000\ _₺_-;_-* &quot;-&quot;??\ _₺_-;_-@_-"/>
    <numFmt numFmtId="186" formatCode="_-* #,##0.00000\ _₺_-;\-* #,##0.00000\ _₺_-;_-* &quot;-&quot;??\ _₺_-;_-@_-"/>
    <numFmt numFmtId="187" formatCode="_-* #,##0.0\ _₺_-;\-* #,##0.0\ _₺_-;_-* &quot;-&quot;??\ _₺_-;_-@_-"/>
    <numFmt numFmtId="188" formatCode="#,##0_ ;\-#,##0\ "/>
    <numFmt numFmtId="189" formatCode="#,##0.00_ ;\-#,##0.00\ "/>
  </numFmts>
  <fonts count="143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0"/>
      <name val="Arial Tur"/>
      <charset val="162"/>
    </font>
    <font>
      <b/>
      <sz val="10"/>
      <name val="Arial Tur"/>
      <charset val="162"/>
    </font>
    <font>
      <b/>
      <sz val="9"/>
      <color indexed="81"/>
      <name val="Tahoma"/>
      <family val="2"/>
      <charset val="162"/>
    </font>
    <font>
      <sz val="9"/>
      <color indexed="81"/>
      <name val="Tahoma"/>
      <family val="2"/>
      <charset val="162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sz val="11"/>
      <color indexed="20"/>
      <name val="Calibri"/>
      <family val="2"/>
      <charset val="16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sz val="11"/>
      <color indexed="17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sz val="11"/>
      <color indexed="62"/>
      <name val="Calibri"/>
      <family val="2"/>
      <charset val="162"/>
    </font>
    <font>
      <sz val="11"/>
      <color indexed="52"/>
      <name val="Calibri"/>
      <family val="2"/>
      <charset val="162"/>
    </font>
    <font>
      <sz val="11"/>
      <color indexed="60"/>
      <name val="Calibri"/>
      <family val="2"/>
      <charset val="162"/>
    </font>
    <font>
      <b/>
      <sz val="11"/>
      <color indexed="63"/>
      <name val="Calibri"/>
      <family val="2"/>
      <charset val="162"/>
    </font>
    <font>
      <b/>
      <sz val="18"/>
      <color indexed="56"/>
      <name val="Cambria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0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sz val="9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4"/>
      <color theme="1"/>
      <name val="Calibri"/>
      <family val="2"/>
      <charset val="162"/>
      <scheme val="minor"/>
    </font>
    <font>
      <i/>
      <sz val="10"/>
      <name val="Calibri"/>
      <family val="2"/>
      <charset val="162"/>
      <scheme val="minor"/>
    </font>
    <font>
      <b/>
      <sz val="12"/>
      <name val="Calibri"/>
      <family val="2"/>
      <charset val="162"/>
      <scheme val="minor"/>
    </font>
    <font>
      <b/>
      <i/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</font>
    <font>
      <sz val="10"/>
      <color indexed="8"/>
      <name val="Calibri"/>
      <family val="2"/>
      <charset val="162"/>
    </font>
    <font>
      <b/>
      <sz val="9"/>
      <color indexed="8"/>
      <name val="Calibri"/>
      <family val="2"/>
      <charset val="162"/>
    </font>
    <font>
      <b/>
      <sz val="14"/>
      <color indexed="12"/>
      <name val="Arial Tur"/>
      <charset val="162"/>
    </font>
    <font>
      <b/>
      <sz val="9"/>
      <name val="Arial Tur"/>
      <charset val="162"/>
    </font>
    <font>
      <b/>
      <sz val="12"/>
      <name val="Arial Tur"/>
      <charset val="162"/>
    </font>
    <font>
      <b/>
      <sz val="10"/>
      <color indexed="12"/>
      <name val="Arial Tur"/>
      <charset val="162"/>
    </font>
    <font>
      <b/>
      <vertAlign val="superscript"/>
      <sz val="14"/>
      <color indexed="12"/>
      <name val="Arial Tur"/>
      <charset val="162"/>
    </font>
    <font>
      <i/>
      <sz val="8"/>
      <color indexed="8"/>
      <name val="Verdana"/>
      <family val="2"/>
      <charset val="162"/>
    </font>
    <font>
      <sz val="8"/>
      <color indexed="8"/>
      <name val="Verdana"/>
      <family val="2"/>
      <charset val="162"/>
    </font>
    <font>
      <b/>
      <sz val="8"/>
      <color indexed="8"/>
      <name val="Verdana"/>
      <family val="2"/>
      <charset val="162"/>
    </font>
    <font>
      <b/>
      <sz val="8"/>
      <color indexed="12"/>
      <name val="Verdana"/>
      <family val="2"/>
      <charset val="162"/>
    </font>
    <font>
      <b/>
      <sz val="8"/>
      <color theme="9" tint="0.59999389629810485"/>
      <name val="Verdana"/>
      <family val="2"/>
      <charset val="162"/>
    </font>
    <font>
      <b/>
      <sz val="8"/>
      <color indexed="9"/>
      <name val="Verdana"/>
      <family val="2"/>
      <charset val="162"/>
    </font>
    <font>
      <sz val="10"/>
      <color indexed="9"/>
      <name val="Arial Tur"/>
      <charset val="162"/>
    </font>
    <font>
      <b/>
      <sz val="8"/>
      <color theme="4" tint="0.79998168889431442"/>
      <name val="Verdana"/>
      <family val="2"/>
      <charset val="162"/>
    </font>
    <font>
      <b/>
      <sz val="28"/>
      <color theme="1"/>
      <name val="Calibri"/>
      <family val="2"/>
      <charset val="162"/>
      <scheme val="minor"/>
    </font>
    <font>
      <b/>
      <sz val="14"/>
      <name val="Calibri"/>
      <family val="2"/>
      <charset val="162"/>
      <scheme val="minor"/>
    </font>
    <font>
      <b/>
      <sz val="16"/>
      <name val="Calibri"/>
      <family val="2"/>
      <charset val="162"/>
      <scheme val="minor"/>
    </font>
    <font>
      <sz val="14"/>
      <name val="Calibri"/>
      <family val="2"/>
      <charset val="162"/>
      <scheme val="minor"/>
    </font>
    <font>
      <sz val="12"/>
      <name val="Calibri"/>
      <family val="2"/>
      <charset val="162"/>
      <scheme val="minor"/>
    </font>
    <font>
      <sz val="16"/>
      <name val="Calibri"/>
      <family val="2"/>
      <charset val="162"/>
      <scheme val="minor"/>
    </font>
    <font>
      <b/>
      <sz val="21"/>
      <name val="Arial Tur"/>
      <charset val="162"/>
    </font>
    <font>
      <b/>
      <sz val="16"/>
      <color indexed="18"/>
      <name val="Arial Tur"/>
      <charset val="162"/>
    </font>
    <font>
      <b/>
      <sz val="14"/>
      <color indexed="10"/>
      <name val="Arial Tur"/>
      <charset val="162"/>
    </font>
    <font>
      <sz val="10"/>
      <name val="Arial"/>
      <family val="2"/>
      <charset val="162"/>
    </font>
    <font>
      <b/>
      <i/>
      <sz val="11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b/>
      <sz val="11"/>
      <color rgb="FF000066"/>
      <name val="Calibri"/>
      <family val="2"/>
      <charset val="162"/>
      <scheme val="minor"/>
    </font>
    <font>
      <b/>
      <sz val="10"/>
      <name val="Arial"/>
      <family val="2"/>
      <charset val="162"/>
    </font>
    <font>
      <b/>
      <sz val="14"/>
      <name val="Arial Tur"/>
      <charset val="162"/>
    </font>
    <font>
      <sz val="11"/>
      <name val="Calibri"/>
      <family val="2"/>
      <charset val="162"/>
      <scheme val="minor"/>
    </font>
    <font>
      <i/>
      <sz val="1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  <font>
      <i/>
      <sz val="11"/>
      <name val="Arial"/>
      <family val="2"/>
      <charset val="162"/>
    </font>
    <font>
      <b/>
      <i/>
      <sz val="11"/>
      <name val="Arial"/>
      <family val="2"/>
      <charset val="162"/>
    </font>
    <font>
      <sz val="11"/>
      <name val="Arial Tur"/>
      <charset val="162"/>
    </font>
    <font>
      <b/>
      <sz val="12"/>
      <name val="Cambria"/>
      <family val="1"/>
      <charset val="162"/>
      <scheme val="major"/>
    </font>
    <font>
      <sz val="12"/>
      <name val="Cambria"/>
      <family val="1"/>
      <charset val="162"/>
      <scheme val="major"/>
    </font>
    <font>
      <b/>
      <sz val="14"/>
      <name val="Cambria"/>
      <family val="1"/>
      <charset val="162"/>
      <scheme val="major"/>
    </font>
    <font>
      <sz val="14"/>
      <name val="Cambria"/>
      <family val="1"/>
      <charset val="162"/>
      <scheme val="major"/>
    </font>
    <font>
      <b/>
      <sz val="26"/>
      <color theme="1"/>
      <name val="Cambria"/>
      <family val="1"/>
      <charset val="162"/>
      <scheme val="major"/>
    </font>
    <font>
      <b/>
      <sz val="24"/>
      <name val="Calibri"/>
      <family val="2"/>
      <charset val="162"/>
      <scheme val="minor"/>
    </font>
    <font>
      <sz val="10"/>
      <color theme="1"/>
      <name val="Arial"/>
      <family val="2"/>
      <charset val="162"/>
    </font>
    <font>
      <b/>
      <sz val="9"/>
      <color theme="1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color theme="1"/>
      <name val="Arial"/>
      <family val="2"/>
      <charset val="162"/>
    </font>
    <font>
      <sz val="9"/>
      <name val="Arial Tur"/>
      <charset val="162"/>
    </font>
    <font>
      <b/>
      <sz val="9"/>
      <color indexed="12"/>
      <name val="Verdana"/>
      <family val="2"/>
      <charset val="162"/>
    </font>
    <font>
      <b/>
      <sz val="9"/>
      <color theme="1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mbria"/>
      <family val="1"/>
      <charset val="162"/>
      <scheme val="major"/>
    </font>
    <font>
      <sz val="10"/>
      <name val="Cambria"/>
      <family val="1"/>
      <charset val="162"/>
      <scheme val="major"/>
    </font>
    <font>
      <b/>
      <sz val="12"/>
      <color rgb="FF000066"/>
      <name val="Calibri"/>
      <family val="2"/>
      <charset val="162"/>
      <scheme val="minor"/>
    </font>
    <font>
      <b/>
      <i/>
      <sz val="12"/>
      <color theme="1"/>
      <name val="Calibri"/>
      <family val="2"/>
      <charset val="162"/>
      <scheme val="minor"/>
    </font>
    <font>
      <b/>
      <i/>
      <sz val="12"/>
      <name val="Calibri"/>
      <family val="2"/>
      <charset val="162"/>
      <scheme val="minor"/>
    </font>
    <font>
      <sz val="11"/>
      <name val="Cambria"/>
      <family val="1"/>
      <charset val="162"/>
      <scheme val="major"/>
    </font>
    <font>
      <sz val="8"/>
      <color theme="1"/>
      <name val="Calibri"/>
      <family val="2"/>
      <charset val="162"/>
      <scheme val="minor"/>
    </font>
    <font>
      <b/>
      <sz val="8"/>
      <color indexed="8"/>
      <name val="Calibri"/>
      <family val="2"/>
      <charset val="162"/>
    </font>
    <font>
      <sz val="8"/>
      <color theme="1"/>
      <name val="Arial"/>
      <family val="2"/>
      <charset val="162"/>
    </font>
    <font>
      <b/>
      <sz val="8"/>
      <color theme="1"/>
      <name val="Arial"/>
      <family val="2"/>
      <charset val="162"/>
    </font>
    <font>
      <b/>
      <sz val="9"/>
      <name val="Calibri"/>
      <family val="2"/>
      <charset val="162"/>
      <scheme val="minor"/>
    </font>
    <font>
      <sz val="12"/>
      <name val="Arial Tur"/>
      <charset val="162"/>
    </font>
    <font>
      <i/>
      <sz val="10"/>
      <name val="Arial Tur"/>
      <charset val="162"/>
    </font>
    <font>
      <i/>
      <sz val="10"/>
      <color rgb="FFFF0000"/>
      <name val="Arial Tur"/>
      <charset val="162"/>
    </font>
    <font>
      <b/>
      <i/>
      <sz val="12"/>
      <name val="Arial Tur"/>
      <charset val="162"/>
    </font>
    <font>
      <b/>
      <sz val="14"/>
      <color theme="0"/>
      <name val="Arial Tur"/>
      <charset val="162"/>
    </font>
    <font>
      <sz val="14"/>
      <name val="Arial Tur"/>
      <charset val="162"/>
    </font>
    <font>
      <u/>
      <sz val="10"/>
      <name val="Arial Tur"/>
      <charset val="162"/>
    </font>
    <font>
      <b/>
      <u/>
      <sz val="18"/>
      <color indexed="8"/>
      <name val="Calibri"/>
      <family val="2"/>
      <charset val="162"/>
    </font>
    <font>
      <sz val="12"/>
      <color indexed="8"/>
      <name val="Calibri"/>
      <family val="2"/>
      <charset val="162"/>
    </font>
    <font>
      <b/>
      <sz val="12"/>
      <color indexed="8"/>
      <name val="Calibri"/>
      <family val="2"/>
      <charset val="162"/>
    </font>
    <font>
      <b/>
      <sz val="11"/>
      <name val="Arial"/>
      <family val="2"/>
      <charset val="162"/>
    </font>
    <font>
      <b/>
      <sz val="11"/>
      <name val="Franklin Gothic Book"/>
      <family val="2"/>
      <charset val="162"/>
    </font>
    <font>
      <sz val="10"/>
      <color indexed="10"/>
      <name val="Arial"/>
      <family val="2"/>
      <charset val="162"/>
    </font>
    <font>
      <sz val="11"/>
      <name val="Arial"/>
      <family val="2"/>
      <charset val="162"/>
    </font>
    <font>
      <sz val="10"/>
      <color theme="0"/>
      <name val="Calibri"/>
      <family val="2"/>
      <charset val="162"/>
      <scheme val="minor"/>
    </font>
    <font>
      <i/>
      <sz val="8"/>
      <color theme="1"/>
      <name val="Arial"/>
      <family val="2"/>
      <charset val="162"/>
    </font>
    <font>
      <i/>
      <sz val="10"/>
      <color theme="1"/>
      <name val="Arial Tur"/>
      <charset val="162"/>
    </font>
    <font>
      <sz val="11"/>
      <color theme="0"/>
      <name val="Calibri"/>
      <family val="2"/>
      <charset val="162"/>
      <scheme val="minor"/>
    </font>
    <font>
      <b/>
      <i/>
      <sz val="8"/>
      <color theme="1"/>
      <name val="Arial"/>
      <family val="2"/>
      <charset val="162"/>
    </font>
    <font>
      <b/>
      <sz val="8"/>
      <name val="Arial Tur"/>
      <charset val="162"/>
    </font>
    <font>
      <sz val="8"/>
      <name val="Arial Tur"/>
      <charset val="162"/>
    </font>
    <font>
      <b/>
      <sz val="12"/>
      <color theme="0"/>
      <name val="Arial Tur"/>
      <charset val="162"/>
    </font>
    <font>
      <b/>
      <sz val="11"/>
      <name val="Cambria"/>
      <family val="1"/>
      <charset val="162"/>
      <scheme val="major"/>
    </font>
    <font>
      <sz val="11"/>
      <color rgb="FFFF0000"/>
      <name val="Calibri"/>
      <family val="2"/>
      <charset val="162"/>
      <scheme val="minor"/>
    </font>
    <font>
      <b/>
      <sz val="12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8"/>
      <name val="Arial"/>
      <family val="2"/>
      <charset val="162"/>
    </font>
    <font>
      <sz val="6"/>
      <color rgb="FFFF0000"/>
      <name val="Calibri"/>
      <family val="2"/>
      <charset val="16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lightUp">
        <bgColor theme="0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FF9966"/>
        <bgColor indexed="31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</fills>
  <borders count="15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/>
      <top style="medium">
        <color indexed="64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/>
      <diagonal/>
    </border>
    <border>
      <left style="medium">
        <color indexed="64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indexed="64"/>
      </right>
      <top style="hair">
        <color auto="1"/>
      </top>
      <bottom/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/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auto="1"/>
      </top>
      <bottom/>
      <diagonal/>
    </border>
    <border>
      <left style="hair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18"/>
      </left>
      <right/>
      <top style="double">
        <color indexed="18"/>
      </top>
      <bottom/>
      <diagonal/>
    </border>
    <border>
      <left/>
      <right/>
      <top style="double">
        <color indexed="18"/>
      </top>
      <bottom/>
      <diagonal/>
    </border>
    <border>
      <left/>
      <right style="double">
        <color indexed="18"/>
      </right>
      <top style="double">
        <color indexed="18"/>
      </top>
      <bottom/>
      <diagonal/>
    </border>
    <border>
      <left style="double">
        <color indexed="18"/>
      </left>
      <right/>
      <top/>
      <bottom/>
      <diagonal/>
    </border>
    <border>
      <left/>
      <right style="double">
        <color indexed="18"/>
      </right>
      <top/>
      <bottom/>
      <diagonal/>
    </border>
    <border>
      <left style="double">
        <color indexed="18"/>
      </left>
      <right/>
      <top/>
      <bottom style="double">
        <color indexed="18"/>
      </bottom>
      <diagonal/>
    </border>
    <border>
      <left/>
      <right/>
      <top/>
      <bottom style="double">
        <color indexed="18"/>
      </bottom>
      <diagonal/>
    </border>
    <border>
      <left/>
      <right style="double">
        <color indexed="18"/>
      </right>
      <top/>
      <bottom style="double">
        <color indexed="18"/>
      </bottom>
      <diagonal/>
    </border>
    <border>
      <left style="double">
        <color indexed="18"/>
      </left>
      <right/>
      <top style="double">
        <color indexed="18"/>
      </top>
      <bottom style="double">
        <color indexed="18"/>
      </bottom>
      <diagonal/>
    </border>
    <border>
      <left/>
      <right/>
      <top style="double">
        <color indexed="18"/>
      </top>
      <bottom style="double">
        <color indexed="18"/>
      </bottom>
      <diagonal/>
    </border>
    <border>
      <left/>
      <right style="double">
        <color indexed="18"/>
      </right>
      <top style="double">
        <color indexed="18"/>
      </top>
      <bottom style="double">
        <color indexed="1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70">
    <xf numFmtId="0" fontId="0" fillId="0" borderId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9" borderId="0" applyNumberFormat="0" applyBorder="0" applyAlignment="0" applyProtection="0"/>
    <xf numFmtId="0" fontId="26" fillId="12" borderId="0" applyNumberFormat="0" applyBorder="0" applyAlignment="0" applyProtection="0"/>
    <xf numFmtId="0" fontId="26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9" fillId="24" borderId="22" applyNumberFormat="0" applyAlignment="0" applyProtection="0"/>
    <xf numFmtId="0" fontId="30" fillId="25" borderId="23" applyNumberFormat="0" applyAlignment="0" applyProtection="0"/>
    <xf numFmtId="0" fontId="31" fillId="0" borderId="0" applyNumberFormat="0" applyFill="0" applyBorder="0" applyAlignment="0" applyProtection="0"/>
    <xf numFmtId="0" fontId="32" fillId="8" borderId="0" applyNumberFormat="0" applyBorder="0" applyAlignment="0" applyProtection="0"/>
    <xf numFmtId="0" fontId="33" fillId="0" borderId="24" applyNumberFormat="0" applyFill="0" applyAlignment="0" applyProtection="0"/>
    <xf numFmtId="0" fontId="34" fillId="0" borderId="25" applyNumberFormat="0" applyFill="0" applyAlignment="0" applyProtection="0"/>
    <xf numFmtId="0" fontId="35" fillId="0" borderId="26" applyNumberFormat="0" applyFill="0" applyAlignment="0" applyProtection="0"/>
    <xf numFmtId="0" fontId="35" fillId="0" borderId="0" applyNumberFormat="0" applyFill="0" applyBorder="0" applyAlignment="0" applyProtection="0"/>
    <xf numFmtId="0" fontId="36" fillId="11" borderId="22" applyNumberFormat="0" applyAlignment="0" applyProtection="0"/>
    <xf numFmtId="0" fontId="37" fillId="0" borderId="27" applyNumberFormat="0" applyFill="0" applyAlignment="0" applyProtection="0"/>
    <xf numFmtId="0" fontId="38" fillId="26" borderId="0" applyNumberFormat="0" applyBorder="0" applyAlignment="0" applyProtection="0"/>
    <xf numFmtId="0" fontId="22" fillId="27" borderId="28" applyNumberFormat="0" applyFont="0" applyAlignment="0" applyProtection="0"/>
    <xf numFmtId="0" fontId="39" fillId="24" borderId="29" applyNumberFormat="0" applyAlignment="0" applyProtection="0"/>
    <xf numFmtId="0" fontId="40" fillId="0" borderId="0" applyNumberFormat="0" applyFill="0" applyBorder="0" applyAlignment="0" applyProtection="0"/>
    <xf numFmtId="0" fontId="41" fillId="0" borderId="30" applyNumberFormat="0" applyFill="0" applyAlignment="0" applyProtection="0"/>
    <xf numFmtId="0" fontId="42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0" fontId="19" fillId="0" borderId="0"/>
    <xf numFmtId="0" fontId="18" fillId="0" borderId="0"/>
    <xf numFmtId="0" fontId="22" fillId="0" borderId="0"/>
    <xf numFmtId="0" fontId="17" fillId="0" borderId="0"/>
    <xf numFmtId="9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16" fillId="0" borderId="0"/>
    <xf numFmtId="167" fontId="16" fillId="0" borderId="0" applyFont="0" applyFill="0" applyBorder="0" applyAlignment="0" applyProtection="0"/>
    <xf numFmtId="0" fontId="15" fillId="0" borderId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165" fontId="8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</cellStyleXfs>
  <cellXfs count="2442">
    <xf numFmtId="0" fontId="0" fillId="0" borderId="0" xfId="0"/>
    <xf numFmtId="0" fontId="0" fillId="2" borderId="0" xfId="0" applyFill="1"/>
    <xf numFmtId="0" fontId="43" fillId="2" borderId="0" xfId="0" applyFont="1" applyFill="1"/>
    <xf numFmtId="3" fontId="43" fillId="2" borderId="0" xfId="0" applyNumberFormat="1" applyFont="1" applyFill="1"/>
    <xf numFmtId="0" fontId="45" fillId="2" borderId="0" xfId="0" applyFont="1" applyFill="1"/>
    <xf numFmtId="0" fontId="43" fillId="3" borderId="1" xfId="0" applyFont="1" applyFill="1" applyBorder="1"/>
    <xf numFmtId="9" fontId="44" fillId="5" borderId="7" xfId="0" applyNumberFormat="1" applyFont="1" applyFill="1" applyBorder="1" applyAlignment="1">
      <alignment horizontal="center"/>
    </xf>
    <xf numFmtId="0" fontId="44" fillId="3" borderId="14" xfId="0" applyFont="1" applyFill="1" applyBorder="1"/>
    <xf numFmtId="0" fontId="44" fillId="3" borderId="7" xfId="0" applyFont="1" applyFill="1" applyBorder="1" applyAlignment="1">
      <alignment horizontal="left" wrapText="1"/>
    </xf>
    <xf numFmtId="0" fontId="44" fillId="3" borderId="20" xfId="0" applyFont="1" applyFill="1" applyBorder="1" applyAlignment="1">
      <alignment horizontal="right"/>
    </xf>
    <xf numFmtId="0" fontId="44" fillId="3" borderId="18" xfId="0" applyFont="1" applyFill="1" applyBorder="1" applyAlignment="1">
      <alignment horizontal="right"/>
    </xf>
    <xf numFmtId="3" fontId="44" fillId="3" borderId="21" xfId="0" applyNumberFormat="1" applyFont="1" applyFill="1" applyBorder="1" applyAlignment="1">
      <alignment horizontal="right"/>
    </xf>
    <xf numFmtId="9" fontId="44" fillId="5" borderId="17" xfId="0" applyNumberFormat="1" applyFont="1" applyFill="1" applyBorder="1" applyAlignment="1">
      <alignment horizontal="center" vertical="center" wrapText="1"/>
    </xf>
    <xf numFmtId="0" fontId="44" fillId="5" borderId="9" xfId="0" applyFont="1" applyFill="1" applyBorder="1"/>
    <xf numFmtId="3" fontId="44" fillId="5" borderId="52" xfId="0" applyNumberFormat="1" applyFont="1" applyFill="1" applyBorder="1" applyAlignment="1">
      <alignment horizontal="right"/>
    </xf>
    <xf numFmtId="3" fontId="44" fillId="5" borderId="54" xfId="0" applyNumberFormat="1" applyFont="1" applyFill="1" applyBorder="1" applyAlignment="1">
      <alignment horizontal="right"/>
    </xf>
    <xf numFmtId="3" fontId="44" fillId="5" borderId="63" xfId="0" applyNumberFormat="1" applyFont="1" applyFill="1" applyBorder="1" applyAlignment="1">
      <alignment horizontal="right"/>
    </xf>
    <xf numFmtId="3" fontId="44" fillId="5" borderId="53" xfId="0" applyNumberFormat="1" applyFont="1" applyFill="1" applyBorder="1" applyAlignment="1">
      <alignment horizontal="right"/>
    </xf>
    <xf numFmtId="9" fontId="44" fillId="5" borderId="54" xfId="0" applyNumberFormat="1" applyFont="1" applyFill="1" applyBorder="1" applyAlignment="1">
      <alignment horizontal="center"/>
    </xf>
    <xf numFmtId="0" fontId="48" fillId="28" borderId="55" xfId="0" applyFont="1" applyFill="1" applyBorder="1"/>
    <xf numFmtId="3" fontId="48" fillId="28" borderId="56" xfId="0" applyNumberFormat="1" applyFont="1" applyFill="1" applyBorder="1" applyAlignment="1">
      <alignment horizontal="right"/>
    </xf>
    <xf numFmtId="3" fontId="48" fillId="28" borderId="58" xfId="0" applyNumberFormat="1" applyFont="1" applyFill="1" applyBorder="1"/>
    <xf numFmtId="3" fontId="48" fillId="28" borderId="64" xfId="0" applyNumberFormat="1" applyFont="1" applyFill="1" applyBorder="1"/>
    <xf numFmtId="3" fontId="48" fillId="28" borderId="57" xfId="0" applyNumberFormat="1" applyFont="1" applyFill="1" applyBorder="1"/>
    <xf numFmtId="3" fontId="48" fillId="28" borderId="57" xfId="0" applyNumberFormat="1" applyFont="1" applyFill="1" applyBorder="1" applyAlignment="1">
      <alignment horizontal="right"/>
    </xf>
    <xf numFmtId="3" fontId="48" fillId="28" borderId="58" xfId="0" applyNumberFormat="1" applyFont="1" applyFill="1" applyBorder="1" applyAlignment="1">
      <alignment horizontal="right"/>
    </xf>
    <xf numFmtId="9" fontId="43" fillId="28" borderId="58" xfId="0" applyNumberFormat="1" applyFont="1" applyFill="1" applyBorder="1" applyAlignment="1">
      <alignment horizontal="center"/>
    </xf>
    <xf numFmtId="9" fontId="43" fillId="2" borderId="0" xfId="0" applyNumberFormat="1" applyFont="1" applyFill="1"/>
    <xf numFmtId="0" fontId="48" fillId="3" borderId="47" xfId="0" applyFont="1" applyFill="1" applyBorder="1"/>
    <xf numFmtId="3" fontId="48" fillId="3" borderId="35" xfId="0" applyNumberFormat="1" applyFont="1" applyFill="1" applyBorder="1" applyAlignment="1">
      <alignment horizontal="right"/>
    </xf>
    <xf numFmtId="3" fontId="48" fillId="3" borderId="36" xfId="0" applyNumberFormat="1" applyFont="1" applyFill="1" applyBorder="1"/>
    <xf numFmtId="3" fontId="48" fillId="3" borderId="65" xfId="0" applyNumberFormat="1" applyFont="1" applyFill="1" applyBorder="1"/>
    <xf numFmtId="3" fontId="48" fillId="3" borderId="31" xfId="0" applyNumberFormat="1" applyFont="1" applyFill="1" applyBorder="1"/>
    <xf numFmtId="3" fontId="48" fillId="3" borderId="31" xfId="0" applyNumberFormat="1" applyFont="1" applyFill="1" applyBorder="1" applyAlignment="1">
      <alignment horizontal="right"/>
    </xf>
    <xf numFmtId="3" fontId="48" fillId="3" borderId="36" xfId="0" applyNumberFormat="1" applyFont="1" applyFill="1" applyBorder="1" applyAlignment="1">
      <alignment horizontal="right"/>
    </xf>
    <xf numFmtId="9" fontId="43" fillId="3" borderId="36" xfId="0" applyNumberFormat="1" applyFont="1" applyFill="1" applyBorder="1" applyAlignment="1">
      <alignment horizontal="center"/>
    </xf>
    <xf numFmtId="0" fontId="44" fillId="28" borderId="47" xfId="0" applyFont="1" applyFill="1" applyBorder="1"/>
    <xf numFmtId="3" fontId="44" fillId="28" borderId="35" xfId="0" applyNumberFormat="1" applyFont="1" applyFill="1" applyBorder="1" applyAlignment="1">
      <alignment horizontal="right"/>
    </xf>
    <xf numFmtId="3" fontId="44" fillId="28" borderId="36" xfId="0" applyNumberFormat="1" applyFont="1" applyFill="1" applyBorder="1" applyAlignment="1">
      <alignment horizontal="right"/>
    </xf>
    <xf numFmtId="3" fontId="44" fillId="28" borderId="65" xfId="0" applyNumberFormat="1" applyFont="1" applyFill="1" applyBorder="1" applyAlignment="1">
      <alignment horizontal="right"/>
    </xf>
    <xf numFmtId="3" fontId="44" fillId="28" borderId="31" xfId="0" applyNumberFormat="1" applyFont="1" applyFill="1" applyBorder="1" applyAlignment="1">
      <alignment horizontal="right"/>
    </xf>
    <xf numFmtId="9" fontId="48" fillId="28" borderId="36" xfId="0" applyNumberFormat="1" applyFont="1" applyFill="1" applyBorder="1" applyAlignment="1">
      <alignment horizontal="center"/>
    </xf>
    <xf numFmtId="0" fontId="44" fillId="3" borderId="47" xfId="0" applyFont="1" applyFill="1" applyBorder="1"/>
    <xf numFmtId="3" fontId="44" fillId="3" borderId="35" xfId="0" applyNumberFormat="1" applyFont="1" applyFill="1" applyBorder="1" applyAlignment="1">
      <alignment horizontal="right"/>
    </xf>
    <xf numFmtId="3" fontId="44" fillId="3" borderId="36" xfId="0" applyNumberFormat="1" applyFont="1" applyFill="1" applyBorder="1"/>
    <xf numFmtId="3" fontId="44" fillId="3" borderId="65" xfId="0" applyNumberFormat="1" applyFont="1" applyFill="1" applyBorder="1" applyAlignment="1">
      <alignment horizontal="right"/>
    </xf>
    <xf numFmtId="3" fontId="44" fillId="3" borderId="31" xfId="0" applyNumberFormat="1" applyFont="1" applyFill="1" applyBorder="1" applyAlignment="1">
      <alignment horizontal="right"/>
    </xf>
    <xf numFmtId="3" fontId="44" fillId="3" borderId="36" xfId="0" applyNumberFormat="1" applyFont="1" applyFill="1" applyBorder="1" applyAlignment="1">
      <alignment horizontal="right"/>
    </xf>
    <xf numFmtId="3" fontId="43" fillId="3" borderId="35" xfId="0" applyNumberFormat="1" applyFont="1" applyFill="1" applyBorder="1" applyAlignment="1">
      <alignment horizontal="right"/>
    </xf>
    <xf numFmtId="0" fontId="48" fillId="28" borderId="47" xfId="0" applyFont="1" applyFill="1" applyBorder="1"/>
    <xf numFmtId="3" fontId="48" fillId="28" borderId="35" xfId="0" applyNumberFormat="1" applyFont="1" applyFill="1" applyBorder="1" applyAlignment="1">
      <alignment horizontal="right"/>
    </xf>
    <xf numFmtId="3" fontId="48" fillId="28" borderId="36" xfId="0" applyNumberFormat="1" applyFont="1" applyFill="1" applyBorder="1"/>
    <xf numFmtId="3" fontId="48" fillId="28" borderId="65" xfId="0" applyNumberFormat="1" applyFont="1" applyFill="1" applyBorder="1" applyAlignment="1">
      <alignment horizontal="right"/>
    </xf>
    <xf numFmtId="3" fontId="48" fillId="28" borderId="31" xfId="0" applyNumberFormat="1" applyFont="1" applyFill="1" applyBorder="1" applyAlignment="1">
      <alignment horizontal="right"/>
    </xf>
    <xf numFmtId="3" fontId="48" fillId="28" borderId="31" xfId="0" applyNumberFormat="1" applyFont="1" applyFill="1" applyBorder="1" applyAlignment="1">
      <alignment horizontal="left"/>
    </xf>
    <xf numFmtId="3" fontId="48" fillId="28" borderId="36" xfId="0" applyNumberFormat="1" applyFont="1" applyFill="1" applyBorder="1" applyAlignment="1">
      <alignment horizontal="right"/>
    </xf>
    <xf numFmtId="3" fontId="43" fillId="28" borderId="35" xfId="0" applyNumberFormat="1" applyFont="1" applyFill="1" applyBorder="1" applyAlignment="1">
      <alignment horizontal="right"/>
    </xf>
    <xf numFmtId="9" fontId="43" fillId="28" borderId="36" xfId="0" applyNumberFormat="1" applyFont="1" applyFill="1" applyBorder="1" applyAlignment="1">
      <alignment horizontal="center"/>
    </xf>
    <xf numFmtId="0" fontId="48" fillId="3" borderId="47" xfId="0" applyFont="1" applyFill="1" applyBorder="1" applyAlignment="1">
      <alignment horizontal="left"/>
    </xf>
    <xf numFmtId="3" fontId="48" fillId="3" borderId="65" xfId="0" applyNumberFormat="1" applyFont="1" applyFill="1" applyBorder="1" applyAlignment="1">
      <alignment horizontal="right"/>
    </xf>
    <xf numFmtId="0" fontId="44" fillId="28" borderId="48" xfId="0" applyFont="1" applyFill="1" applyBorder="1"/>
    <xf numFmtId="3" fontId="44" fillId="28" borderId="49" xfId="0" applyNumberFormat="1" applyFont="1" applyFill="1" applyBorder="1" applyAlignment="1">
      <alignment horizontal="right"/>
    </xf>
    <xf numFmtId="3" fontId="44" fillId="28" borderId="51" xfId="0" applyNumberFormat="1" applyFont="1" applyFill="1" applyBorder="1" applyAlignment="1">
      <alignment horizontal="right"/>
    </xf>
    <xf numFmtId="3" fontId="44" fillId="28" borderId="66" xfId="0" applyNumberFormat="1" applyFont="1" applyFill="1" applyBorder="1" applyAlignment="1">
      <alignment horizontal="right"/>
    </xf>
    <xf numFmtId="3" fontId="44" fillId="28" borderId="50" xfId="0" applyNumberFormat="1" applyFont="1" applyFill="1" applyBorder="1" applyAlignment="1">
      <alignment horizontal="right"/>
    </xf>
    <xf numFmtId="9" fontId="48" fillId="28" borderId="51" xfId="0" applyNumberFormat="1" applyFont="1" applyFill="1" applyBorder="1" applyAlignment="1">
      <alignment horizontal="center"/>
    </xf>
    <xf numFmtId="3" fontId="44" fillId="5" borderId="61" xfId="0" applyNumberFormat="1" applyFont="1" applyFill="1" applyBorder="1" applyAlignment="1">
      <alignment horizontal="right"/>
    </xf>
    <xf numFmtId="3" fontId="44" fillId="5" borderId="60" xfId="0" applyNumberFormat="1" applyFont="1" applyFill="1" applyBorder="1" applyAlignment="1">
      <alignment horizontal="right"/>
    </xf>
    <xf numFmtId="3" fontId="44" fillId="5" borderId="67" xfId="0" applyNumberFormat="1" applyFont="1" applyFill="1" applyBorder="1" applyAlignment="1">
      <alignment horizontal="right"/>
    </xf>
    <xf numFmtId="3" fontId="44" fillId="5" borderId="59" xfId="0" applyNumberFormat="1" applyFont="1" applyFill="1" applyBorder="1" applyAlignment="1">
      <alignment horizontal="right"/>
    </xf>
    <xf numFmtId="3" fontId="44" fillId="5" borderId="62" xfId="0" applyNumberFormat="1" applyFont="1" applyFill="1" applyBorder="1" applyAlignment="1">
      <alignment horizontal="right"/>
    </xf>
    <xf numFmtId="9" fontId="44" fillId="5" borderId="60" xfId="0" applyNumberFormat="1" applyFont="1" applyFill="1" applyBorder="1" applyAlignment="1">
      <alignment horizontal="center"/>
    </xf>
    <xf numFmtId="0" fontId="44" fillId="0" borderId="15" xfId="0" applyFont="1" applyBorder="1"/>
    <xf numFmtId="3" fontId="43" fillId="0" borderId="32" xfId="0" applyNumberFormat="1" applyFont="1" applyBorder="1" applyAlignment="1">
      <alignment horizontal="right"/>
    </xf>
    <xf numFmtId="3" fontId="43" fillId="0" borderId="34" xfId="0" applyNumberFormat="1" applyFont="1" applyBorder="1"/>
    <xf numFmtId="3" fontId="43" fillId="0" borderId="68" xfId="0" applyNumberFormat="1" applyFont="1" applyBorder="1" applyAlignment="1">
      <alignment horizontal="right"/>
    </xf>
    <xf numFmtId="3" fontId="43" fillId="0" borderId="33" xfId="0" applyNumberFormat="1" applyFont="1" applyBorder="1" applyAlignment="1">
      <alignment horizontal="right"/>
    </xf>
    <xf numFmtId="3" fontId="43" fillId="0" borderId="40" xfId="0" applyNumberFormat="1" applyFont="1" applyBorder="1" applyAlignment="1">
      <alignment horizontal="right"/>
    </xf>
    <xf numFmtId="3" fontId="43" fillId="28" borderId="32" xfId="0" applyNumberFormat="1" applyFont="1" applyFill="1" applyBorder="1" applyAlignment="1">
      <alignment horizontal="right"/>
    </xf>
    <xf numFmtId="9" fontId="43" fillId="28" borderId="34" xfId="0" applyNumberFormat="1" applyFont="1" applyFill="1" applyBorder="1" applyAlignment="1">
      <alignment horizontal="center"/>
    </xf>
    <xf numFmtId="0" fontId="44" fillId="0" borderId="16" xfId="0" applyFont="1" applyBorder="1"/>
    <xf numFmtId="3" fontId="43" fillId="0" borderId="49" xfId="0" applyNumberFormat="1" applyFont="1" applyBorder="1" applyAlignment="1">
      <alignment horizontal="right"/>
    </xf>
    <xf numFmtId="3" fontId="43" fillId="0" borderId="51" xfId="0" applyNumberFormat="1" applyFont="1" applyBorder="1"/>
    <xf numFmtId="3" fontId="43" fillId="0" borderId="66" xfId="0" applyNumberFormat="1" applyFont="1" applyBorder="1" applyAlignment="1">
      <alignment horizontal="right"/>
    </xf>
    <xf numFmtId="3" fontId="43" fillId="0" borderId="50" xfId="0" applyNumberFormat="1" applyFont="1" applyBorder="1" applyAlignment="1">
      <alignment horizontal="right"/>
    </xf>
    <xf numFmtId="3" fontId="43" fillId="0" borderId="70" xfId="0" applyNumberFormat="1" applyFont="1" applyBorder="1" applyAlignment="1">
      <alignment horizontal="right"/>
    </xf>
    <xf numFmtId="3" fontId="43" fillId="28" borderId="49" xfId="0" applyNumberFormat="1" applyFont="1" applyFill="1" applyBorder="1" applyAlignment="1">
      <alignment horizontal="right"/>
    </xf>
    <xf numFmtId="9" fontId="43" fillId="28" borderId="51" xfId="0" applyNumberFormat="1" applyFont="1" applyFill="1" applyBorder="1" applyAlignment="1">
      <alignment horizontal="center"/>
    </xf>
    <xf numFmtId="3" fontId="43" fillId="2" borderId="0" xfId="0" applyNumberFormat="1" applyFont="1" applyFill="1" applyAlignment="1">
      <alignment horizontal="right"/>
    </xf>
    <xf numFmtId="9" fontId="43" fillId="2" borderId="0" xfId="0" applyNumberFormat="1" applyFont="1" applyFill="1" applyAlignment="1">
      <alignment horizontal="center"/>
    </xf>
    <xf numFmtId="0" fontId="44" fillId="28" borderId="0" xfId="0" applyFont="1" applyFill="1"/>
    <xf numFmtId="3" fontId="44" fillId="28" borderId="0" xfId="0" applyNumberFormat="1" applyFont="1" applyFill="1" applyAlignment="1">
      <alignment horizontal="right"/>
    </xf>
    <xf numFmtId="9" fontId="43" fillId="28" borderId="0" xfId="0" applyNumberFormat="1" applyFont="1" applyFill="1" applyAlignment="1">
      <alignment horizontal="center"/>
    </xf>
    <xf numFmtId="0" fontId="43" fillId="28" borderId="0" xfId="0" applyFont="1" applyFill="1"/>
    <xf numFmtId="3" fontId="44" fillId="5" borderId="9" xfId="0" applyNumberFormat="1" applyFont="1" applyFill="1" applyBorder="1" applyAlignment="1">
      <alignment horizontal="right"/>
    </xf>
    <xf numFmtId="0" fontId="43" fillId="28" borderId="44" xfId="0" applyFont="1" applyFill="1" applyBorder="1" applyAlignment="1">
      <alignment horizontal="left" wrapText="1"/>
    </xf>
    <xf numFmtId="3" fontId="43" fillId="28" borderId="31" xfId="0" applyNumberFormat="1" applyFont="1" applyFill="1" applyBorder="1" applyAlignment="1">
      <alignment horizontal="right" wrapText="1"/>
    </xf>
    <xf numFmtId="3" fontId="43" fillId="3" borderId="31" xfId="0" applyNumberFormat="1" applyFont="1" applyFill="1" applyBorder="1" applyAlignment="1">
      <alignment horizontal="right" wrapText="1"/>
    </xf>
    <xf numFmtId="3" fontId="43" fillId="28" borderId="35" xfId="0" applyNumberFormat="1" applyFont="1" applyFill="1" applyBorder="1" applyAlignment="1">
      <alignment horizontal="right" wrapText="1"/>
    </xf>
    <xf numFmtId="3" fontId="43" fillId="28" borderId="36" xfId="0" applyNumberFormat="1" applyFont="1" applyFill="1" applyBorder="1" applyAlignment="1">
      <alignment horizontal="right" wrapText="1"/>
    </xf>
    <xf numFmtId="3" fontId="43" fillId="3" borderId="35" xfId="0" applyNumberFormat="1" applyFont="1" applyFill="1" applyBorder="1" applyAlignment="1">
      <alignment horizontal="right" wrapText="1"/>
    </xf>
    <xf numFmtId="3" fontId="43" fillId="3" borderId="36" xfId="0" applyNumberFormat="1" applyFont="1" applyFill="1" applyBorder="1" applyAlignment="1">
      <alignment horizontal="right" wrapText="1"/>
    </xf>
    <xf numFmtId="0" fontId="43" fillId="28" borderId="71" xfId="0" applyFont="1" applyFill="1" applyBorder="1" applyAlignment="1">
      <alignment horizontal="left" wrapText="1"/>
    </xf>
    <xf numFmtId="3" fontId="43" fillId="28" borderId="32" xfId="0" applyNumberFormat="1" applyFont="1" applyFill="1" applyBorder="1" applyAlignment="1">
      <alignment horizontal="right" wrapText="1"/>
    </xf>
    <xf numFmtId="3" fontId="43" fillId="28" borderId="33" xfId="0" applyNumberFormat="1" applyFont="1" applyFill="1" applyBorder="1" applyAlignment="1">
      <alignment horizontal="right" wrapText="1"/>
    </xf>
    <xf numFmtId="3" fontId="43" fillId="28" borderId="34" xfId="0" applyNumberFormat="1" applyFont="1" applyFill="1" applyBorder="1" applyAlignment="1">
      <alignment horizontal="right" wrapText="1"/>
    </xf>
    <xf numFmtId="3" fontId="44" fillId="28" borderId="32" xfId="0" applyNumberFormat="1" applyFont="1" applyFill="1" applyBorder="1" applyAlignment="1">
      <alignment horizontal="right"/>
    </xf>
    <xf numFmtId="0" fontId="43" fillId="28" borderId="45" xfId="0" applyFont="1" applyFill="1" applyBorder="1" applyAlignment="1">
      <alignment horizontal="left" wrapText="1"/>
    </xf>
    <xf numFmtId="3" fontId="43" fillId="28" borderId="37" xfId="0" applyNumberFormat="1" applyFont="1" applyFill="1" applyBorder="1" applyAlignment="1">
      <alignment horizontal="right" wrapText="1"/>
    </xf>
    <xf numFmtId="3" fontId="43" fillId="28" borderId="38" xfId="0" applyNumberFormat="1" applyFont="1" applyFill="1" applyBorder="1" applyAlignment="1">
      <alignment horizontal="right" wrapText="1"/>
    </xf>
    <xf numFmtId="3" fontId="43" fillId="28" borderId="39" xfId="0" applyNumberFormat="1" applyFont="1" applyFill="1" applyBorder="1" applyAlignment="1">
      <alignment horizontal="right" wrapText="1"/>
    </xf>
    <xf numFmtId="0" fontId="43" fillId="3" borderId="47" xfId="0" applyFont="1" applyFill="1" applyBorder="1" applyAlignment="1">
      <alignment wrapText="1"/>
    </xf>
    <xf numFmtId="0" fontId="44" fillId="3" borderId="8" xfId="0" applyFont="1" applyFill="1" applyBorder="1"/>
    <xf numFmtId="0" fontId="44" fillId="3" borderId="10" xfId="0" applyFont="1" applyFill="1" applyBorder="1" applyAlignment="1">
      <alignment horizontal="right"/>
    </xf>
    <xf numFmtId="0" fontId="44" fillId="3" borderId="11" xfId="0" applyFont="1" applyFill="1" applyBorder="1" applyAlignment="1">
      <alignment horizontal="right"/>
    </xf>
    <xf numFmtId="3" fontId="44" fillId="3" borderId="12" xfId="0" applyNumberFormat="1" applyFont="1" applyFill="1" applyBorder="1" applyAlignment="1">
      <alignment horizontal="right"/>
    </xf>
    <xf numFmtId="9" fontId="44" fillId="5" borderId="13" xfId="0" applyNumberFormat="1" applyFont="1" applyFill="1" applyBorder="1" applyAlignment="1">
      <alignment horizontal="center" vertical="center" wrapText="1"/>
    </xf>
    <xf numFmtId="0" fontId="43" fillId="28" borderId="43" xfId="0" applyFont="1" applyFill="1" applyBorder="1" applyAlignment="1">
      <alignment horizontal="left" wrapText="1"/>
    </xf>
    <xf numFmtId="0" fontId="49" fillId="2" borderId="0" xfId="0" applyFont="1" applyFill="1"/>
    <xf numFmtId="3" fontId="44" fillId="28" borderId="36" xfId="0" applyNumberFormat="1" applyFont="1" applyFill="1" applyBorder="1"/>
    <xf numFmtId="3" fontId="44" fillId="5" borderId="73" xfId="0" applyNumberFormat="1" applyFont="1" applyFill="1" applyBorder="1" applyAlignment="1">
      <alignment horizontal="right"/>
    </xf>
    <xf numFmtId="0" fontId="44" fillId="2" borderId="0" xfId="0" applyFont="1" applyFill="1"/>
    <xf numFmtId="0" fontId="44" fillId="0" borderId="19" xfId="0" applyFont="1" applyBorder="1"/>
    <xf numFmtId="3" fontId="43" fillId="0" borderId="37" xfId="0" applyNumberFormat="1" applyFont="1" applyBorder="1" applyAlignment="1">
      <alignment horizontal="right"/>
    </xf>
    <xf numFmtId="3" fontId="43" fillId="0" borderId="39" xfId="0" applyNumberFormat="1" applyFont="1" applyBorder="1"/>
    <xf numFmtId="3" fontId="43" fillId="0" borderId="69" xfId="0" applyNumberFormat="1" applyFont="1" applyBorder="1" applyAlignment="1">
      <alignment horizontal="right"/>
    </xf>
    <xf numFmtId="3" fontId="43" fillId="0" borderId="38" xfId="0" applyNumberFormat="1" applyFont="1" applyBorder="1" applyAlignment="1">
      <alignment horizontal="right"/>
    </xf>
    <xf numFmtId="3" fontId="43" fillId="0" borderId="42" xfId="0" applyNumberFormat="1" applyFont="1" applyBorder="1" applyAlignment="1">
      <alignment horizontal="right"/>
    </xf>
    <xf numFmtId="3" fontId="43" fillId="28" borderId="37" xfId="0" applyNumberFormat="1" applyFont="1" applyFill="1" applyBorder="1" applyAlignment="1">
      <alignment horizontal="right"/>
    </xf>
    <xf numFmtId="9" fontId="43" fillId="28" borderId="39" xfId="0" applyNumberFormat="1" applyFont="1" applyFill="1" applyBorder="1" applyAlignment="1">
      <alignment horizontal="center"/>
    </xf>
    <xf numFmtId="0" fontId="19" fillId="0" borderId="0" xfId="45"/>
    <xf numFmtId="0" fontId="41" fillId="2" borderId="74" xfId="45" applyFont="1" applyFill="1" applyBorder="1" applyAlignment="1">
      <alignment horizontal="center" vertical="center"/>
    </xf>
    <xf numFmtId="3" fontId="19" fillId="0" borderId="74" xfId="45" applyNumberFormat="1" applyBorder="1"/>
    <xf numFmtId="0" fontId="19" fillId="2" borderId="0" xfId="45" applyFill="1"/>
    <xf numFmtId="3" fontId="19" fillId="0" borderId="0" xfId="45" applyNumberFormat="1"/>
    <xf numFmtId="0" fontId="22" fillId="2" borderId="0" xfId="47" applyFill="1"/>
    <xf numFmtId="0" fontId="22" fillId="2" borderId="0" xfId="47" applyFill="1" applyAlignment="1">
      <alignment horizontal="right"/>
    </xf>
    <xf numFmtId="0" fontId="54" fillId="31" borderId="0" xfId="47" applyFont="1" applyFill="1" applyAlignment="1">
      <alignment horizontal="left"/>
    </xf>
    <xf numFmtId="0" fontId="54" fillId="2" borderId="0" xfId="47" applyFont="1" applyFill="1" applyAlignment="1">
      <alignment horizontal="left"/>
    </xf>
    <xf numFmtId="170" fontId="54" fillId="0" borderId="0" xfId="47" applyNumberFormat="1" applyFont="1" applyAlignment="1">
      <alignment horizontal="left"/>
    </xf>
    <xf numFmtId="171" fontId="22" fillId="2" borderId="0" xfId="47" applyNumberFormat="1" applyFill="1"/>
    <xf numFmtId="0" fontId="23" fillId="2" borderId="9" xfId="47" applyFont="1" applyFill="1" applyBorder="1" applyAlignment="1">
      <alignment horizontal="center"/>
    </xf>
    <xf numFmtId="172" fontId="55" fillId="0" borderId="7" xfId="47" applyNumberFormat="1" applyFont="1" applyBorder="1"/>
    <xf numFmtId="0" fontId="56" fillId="2" borderId="0" xfId="47" applyFont="1" applyFill="1"/>
    <xf numFmtId="170" fontId="22" fillId="2" borderId="0" xfId="47" applyNumberFormat="1" applyFill="1"/>
    <xf numFmtId="0" fontId="57" fillId="31" borderId="9" xfId="47" applyFont="1" applyFill="1" applyBorder="1" applyAlignment="1">
      <alignment horizontal="right"/>
    </xf>
    <xf numFmtId="0" fontId="22" fillId="30" borderId="79" xfId="47" applyFill="1" applyBorder="1"/>
    <xf numFmtId="0" fontId="22" fillId="30" borderId="80" xfId="47" applyFill="1" applyBorder="1"/>
    <xf numFmtId="0" fontId="23" fillId="30" borderId="80" xfId="47" applyFont="1" applyFill="1" applyBorder="1" applyAlignment="1">
      <alignment horizontal="center"/>
    </xf>
    <xf numFmtId="0" fontId="23" fillId="30" borderId="81" xfId="47" applyFont="1" applyFill="1" applyBorder="1"/>
    <xf numFmtId="0" fontId="23" fillId="30" borderId="5" xfId="47" applyFont="1" applyFill="1" applyBorder="1" applyAlignment="1">
      <alignment horizontal="center"/>
    </xf>
    <xf numFmtId="0" fontId="23" fillId="30" borderId="82" xfId="47" applyFont="1" applyFill="1" applyBorder="1" applyAlignment="1">
      <alignment horizontal="center"/>
    </xf>
    <xf numFmtId="0" fontId="23" fillId="30" borderId="10" xfId="47" applyFont="1" applyFill="1" applyBorder="1"/>
    <xf numFmtId="0" fontId="23" fillId="30" borderId="11" xfId="47" applyFont="1" applyFill="1" applyBorder="1"/>
    <xf numFmtId="0" fontId="59" fillId="30" borderId="11" xfId="47" applyFont="1" applyFill="1" applyBorder="1" applyAlignment="1">
      <alignment horizontal="right" vertical="top" wrapText="1"/>
    </xf>
    <xf numFmtId="0" fontId="60" fillId="30" borderId="11" xfId="47" applyFont="1" applyFill="1" applyBorder="1" applyAlignment="1">
      <alignment horizontal="right" vertical="top" wrapText="1"/>
    </xf>
    <xf numFmtId="0" fontId="61" fillId="30" borderId="11" xfId="47" applyFont="1" applyFill="1" applyBorder="1" applyAlignment="1">
      <alignment horizontal="right" vertical="top" wrapText="1"/>
    </xf>
    <xf numFmtId="0" fontId="61" fillId="30" borderId="12" xfId="47" applyFont="1" applyFill="1" applyBorder="1" applyAlignment="1">
      <alignment horizontal="center" vertical="top" wrapText="1"/>
    </xf>
    <xf numFmtId="0" fontId="61" fillId="30" borderId="83" xfId="47" applyFont="1" applyFill="1" applyBorder="1" applyAlignment="1">
      <alignment horizontal="center" vertical="top" wrapText="1"/>
    </xf>
    <xf numFmtId="0" fontId="61" fillId="30" borderId="11" xfId="47" applyFont="1" applyFill="1" applyBorder="1" applyAlignment="1">
      <alignment horizontal="center" vertical="top" wrapText="1"/>
    </xf>
    <xf numFmtId="0" fontId="62" fillId="32" borderId="84" xfId="47" applyFont="1" applyFill="1" applyBorder="1" applyAlignment="1">
      <alignment vertical="top"/>
    </xf>
    <xf numFmtId="3" fontId="62" fillId="32" borderId="84" xfId="47" applyNumberFormat="1" applyFont="1" applyFill="1" applyBorder="1" applyAlignment="1">
      <alignment vertical="top"/>
    </xf>
    <xf numFmtId="173" fontId="62" fillId="32" borderId="84" xfId="47" applyNumberFormat="1" applyFont="1" applyFill="1" applyBorder="1" applyAlignment="1">
      <alignment vertical="top"/>
    </xf>
    <xf numFmtId="173" fontId="63" fillId="32" borderId="84" xfId="47" applyNumberFormat="1" applyFont="1" applyFill="1" applyBorder="1" applyAlignment="1">
      <alignment vertical="top"/>
    </xf>
    <xf numFmtId="10" fontId="63" fillId="32" borderId="13" xfId="47" applyNumberFormat="1" applyFont="1" applyFill="1" applyBorder="1" applyAlignment="1">
      <alignment vertical="top"/>
    </xf>
    <xf numFmtId="3" fontId="22" fillId="33" borderId="85" xfId="47" applyNumberFormat="1" applyFill="1" applyBorder="1" applyAlignment="1">
      <alignment horizontal="right"/>
    </xf>
    <xf numFmtId="3" fontId="22" fillId="33" borderId="86" xfId="47" applyNumberFormat="1" applyFill="1" applyBorder="1" applyAlignment="1">
      <alignment horizontal="right"/>
    </xf>
    <xf numFmtId="10" fontId="62" fillId="32" borderId="13" xfId="47" applyNumberFormat="1" applyFont="1" applyFill="1" applyBorder="1" applyAlignment="1">
      <alignment vertical="top"/>
    </xf>
    <xf numFmtId="3" fontId="22" fillId="0" borderId="87" xfId="47" applyNumberFormat="1" applyBorder="1" applyAlignment="1">
      <alignment horizontal="right"/>
    </xf>
    <xf numFmtId="3" fontId="22" fillId="0" borderId="34" xfId="47" applyNumberFormat="1" applyBorder="1" applyAlignment="1">
      <alignment horizontal="right"/>
    </xf>
    <xf numFmtId="3" fontId="22" fillId="0" borderId="88" xfId="47" applyNumberFormat="1" applyBorder="1" applyAlignment="1">
      <alignment horizontal="right"/>
    </xf>
    <xf numFmtId="3" fontId="22" fillId="0" borderId="36" xfId="47" applyNumberFormat="1" applyBorder="1" applyAlignment="1">
      <alignment horizontal="right"/>
    </xf>
    <xf numFmtId="3" fontId="22" fillId="0" borderId="89" xfId="47" applyNumberFormat="1" applyBorder="1" applyAlignment="1">
      <alignment horizontal="right"/>
    </xf>
    <xf numFmtId="3" fontId="22" fillId="0" borderId="39" xfId="47" applyNumberFormat="1" applyBorder="1" applyAlignment="1">
      <alignment horizontal="right"/>
    </xf>
    <xf numFmtId="0" fontId="62" fillId="32" borderId="9" xfId="47" applyFont="1" applyFill="1" applyBorder="1" applyAlignment="1">
      <alignment horizontal="left" vertical="center"/>
    </xf>
    <xf numFmtId="0" fontId="62" fillId="32" borderId="8" xfId="47" applyFont="1" applyFill="1" applyBorder="1" applyAlignment="1">
      <alignment horizontal="left" vertical="center"/>
    </xf>
    <xf numFmtId="3" fontId="22" fillId="0" borderId="90" xfId="47" applyNumberFormat="1" applyBorder="1" applyAlignment="1">
      <alignment horizontal="right"/>
    </xf>
    <xf numFmtId="3" fontId="22" fillId="0" borderId="51" xfId="47" applyNumberFormat="1" applyBorder="1" applyAlignment="1">
      <alignment horizontal="right"/>
    </xf>
    <xf numFmtId="0" fontId="62" fillId="34" borderId="84" xfId="47" applyFont="1" applyFill="1" applyBorder="1" applyAlignment="1">
      <alignment vertical="top"/>
    </xf>
    <xf numFmtId="173" fontId="62" fillId="34" borderId="84" xfId="47" applyNumberFormat="1" applyFont="1" applyFill="1" applyBorder="1" applyAlignment="1">
      <alignment vertical="top"/>
    </xf>
    <xf numFmtId="10" fontId="62" fillId="34" borderId="13" xfId="47" applyNumberFormat="1" applyFont="1" applyFill="1" applyBorder="1" applyAlignment="1">
      <alignment vertical="top"/>
    </xf>
    <xf numFmtId="0" fontId="64" fillId="2" borderId="84" xfId="47" applyFont="1" applyFill="1" applyBorder="1" applyAlignment="1">
      <alignment vertical="top"/>
    </xf>
    <xf numFmtId="173" fontId="64" fillId="2" borderId="84" xfId="47" applyNumberFormat="1" applyFont="1" applyFill="1" applyBorder="1" applyAlignment="1">
      <alignment vertical="top"/>
    </xf>
    <xf numFmtId="10" fontId="64" fillId="2" borderId="13" xfId="47" applyNumberFormat="1" applyFont="1" applyFill="1" applyBorder="1" applyAlignment="1">
      <alignment vertical="top"/>
    </xf>
    <xf numFmtId="3" fontId="65" fillId="0" borderId="88" xfId="47" applyNumberFormat="1" applyFont="1" applyBorder="1" applyAlignment="1">
      <alignment horizontal="right"/>
    </xf>
    <xf numFmtId="3" fontId="65" fillId="0" borderId="36" xfId="47" applyNumberFormat="1" applyFont="1" applyBorder="1" applyAlignment="1">
      <alignment horizontal="right"/>
    </xf>
    <xf numFmtId="0" fontId="65" fillId="2" borderId="0" xfId="47" applyFont="1" applyFill="1"/>
    <xf numFmtId="0" fontId="66" fillId="34" borderId="84" xfId="47" applyFont="1" applyFill="1" applyBorder="1" applyAlignment="1">
      <alignment vertical="top"/>
    </xf>
    <xf numFmtId="173" fontId="66" fillId="34" borderId="84" xfId="47" applyNumberFormat="1" applyFont="1" applyFill="1" applyBorder="1" applyAlignment="1">
      <alignment vertical="top"/>
    </xf>
    <xf numFmtId="10" fontId="66" fillId="34" borderId="13" xfId="47" applyNumberFormat="1" applyFont="1" applyFill="1" applyBorder="1" applyAlignment="1">
      <alignment vertical="top"/>
    </xf>
    <xf numFmtId="0" fontId="62" fillId="2" borderId="84" xfId="47" applyFont="1" applyFill="1" applyBorder="1" applyAlignment="1">
      <alignment vertical="top"/>
    </xf>
    <xf numFmtId="173" fontId="62" fillId="2" borderId="84" xfId="47" applyNumberFormat="1" applyFont="1" applyFill="1" applyBorder="1" applyAlignment="1">
      <alignment vertical="top"/>
    </xf>
    <xf numFmtId="10" fontId="62" fillId="2" borderId="13" xfId="47" applyNumberFormat="1" applyFont="1" applyFill="1" applyBorder="1" applyAlignment="1">
      <alignment vertical="top"/>
    </xf>
    <xf numFmtId="3" fontId="65" fillId="0" borderId="87" xfId="47" applyNumberFormat="1" applyFont="1" applyBorder="1" applyAlignment="1">
      <alignment horizontal="right"/>
    </xf>
    <xf numFmtId="3" fontId="65" fillId="0" borderId="34" xfId="47" applyNumberFormat="1" applyFont="1" applyBorder="1" applyAlignment="1">
      <alignment horizontal="right"/>
    </xf>
    <xf numFmtId="0" fontId="62" fillId="33" borderId="84" xfId="47" applyFont="1" applyFill="1" applyBorder="1" applyAlignment="1">
      <alignment vertical="top"/>
    </xf>
    <xf numFmtId="173" fontId="62" fillId="33" borderId="84" xfId="47" applyNumberFormat="1" applyFont="1" applyFill="1" applyBorder="1" applyAlignment="1">
      <alignment vertical="top"/>
    </xf>
    <xf numFmtId="10" fontId="62" fillId="33" borderId="13" xfId="47" applyNumberFormat="1" applyFont="1" applyFill="1" applyBorder="1" applyAlignment="1">
      <alignment vertical="top"/>
    </xf>
    <xf numFmtId="10" fontId="62" fillId="32" borderId="84" xfId="47" applyNumberFormat="1" applyFont="1" applyFill="1" applyBorder="1" applyAlignment="1">
      <alignment vertical="top"/>
    </xf>
    <xf numFmtId="3" fontId="22" fillId="0" borderId="91" xfId="47" applyNumberFormat="1" applyBorder="1" applyAlignment="1">
      <alignment horizontal="right"/>
    </xf>
    <xf numFmtId="3" fontId="22" fillId="0" borderId="92" xfId="47" applyNumberFormat="1" applyBorder="1" applyAlignment="1">
      <alignment horizontal="right"/>
    </xf>
    <xf numFmtId="3" fontId="22" fillId="0" borderId="0" xfId="47" applyNumberFormat="1" applyAlignment="1">
      <alignment horizontal="right"/>
    </xf>
    <xf numFmtId="0" fontId="55" fillId="2" borderId="1" xfId="47" applyFont="1" applyFill="1" applyBorder="1" applyAlignment="1">
      <alignment vertical="top"/>
    </xf>
    <xf numFmtId="0" fontId="55" fillId="2" borderId="93" xfId="47" applyFont="1" applyFill="1" applyBorder="1" applyAlignment="1">
      <alignment vertical="top" wrapText="1"/>
    </xf>
    <xf numFmtId="0" fontId="55" fillId="2" borderId="94" xfId="47" applyFont="1" applyFill="1" applyBorder="1" applyAlignment="1">
      <alignment vertical="top" wrapText="1"/>
    </xf>
    <xf numFmtId="0" fontId="55" fillId="2" borderId="14" xfId="47" applyFont="1" applyFill="1" applyBorder="1" applyAlignment="1">
      <alignment vertical="top" wrapText="1"/>
    </xf>
    <xf numFmtId="0" fontId="55" fillId="2" borderId="0" xfId="47" applyFont="1" applyFill="1" applyAlignment="1">
      <alignment vertical="top" wrapText="1"/>
    </xf>
    <xf numFmtId="0" fontId="55" fillId="2" borderId="91" xfId="47" applyFont="1" applyFill="1" applyBorder="1" applyAlignment="1">
      <alignment vertical="top" wrapText="1"/>
    </xf>
    <xf numFmtId="0" fontId="55" fillId="2" borderId="8" xfId="47" applyFont="1" applyFill="1" applyBorder="1" applyAlignment="1">
      <alignment vertical="top" wrapText="1"/>
    </xf>
    <xf numFmtId="0" fontId="55" fillId="2" borderId="95" xfId="47" applyFont="1" applyFill="1" applyBorder="1" applyAlignment="1">
      <alignment vertical="top" wrapText="1"/>
    </xf>
    <xf numFmtId="0" fontId="55" fillId="2" borderId="85" xfId="47" applyFont="1" applyFill="1" applyBorder="1" applyAlignment="1">
      <alignment vertical="top" wrapText="1"/>
    </xf>
    <xf numFmtId="169" fontId="43" fillId="2" borderId="0" xfId="42" applyNumberFormat="1" applyFont="1" applyFill="1"/>
    <xf numFmtId="0" fontId="17" fillId="0" borderId="0" xfId="48"/>
    <xf numFmtId="0" fontId="17" fillId="0" borderId="0" xfId="48" applyAlignment="1">
      <alignment horizontal="left"/>
    </xf>
    <xf numFmtId="9" fontId="17" fillId="0" borderId="0" xfId="48" applyNumberFormat="1"/>
    <xf numFmtId="0" fontId="17" fillId="35" borderId="0" xfId="48" applyFill="1" applyAlignment="1">
      <alignment horizontal="left"/>
    </xf>
    <xf numFmtId="0" fontId="17" fillId="35" borderId="0" xfId="48" applyFill="1"/>
    <xf numFmtId="9" fontId="17" fillId="35" borderId="0" xfId="48" applyNumberFormat="1" applyFill="1"/>
    <xf numFmtId="3" fontId="23" fillId="5" borderId="74" xfId="0" applyNumberFormat="1" applyFont="1" applyFill="1" applyBorder="1" applyAlignment="1">
      <alignment horizontal="right"/>
    </xf>
    <xf numFmtId="3" fontId="0" fillId="0" borderId="74" xfId="0" applyNumberFormat="1" applyBorder="1" applyAlignment="1">
      <alignment horizontal="right"/>
    </xf>
    <xf numFmtId="3" fontId="0" fillId="3" borderId="74" xfId="0" applyNumberFormat="1" applyFill="1" applyBorder="1" applyAlignment="1">
      <alignment horizontal="right"/>
    </xf>
    <xf numFmtId="0" fontId="48" fillId="3" borderId="96" xfId="0" applyFont="1" applyFill="1" applyBorder="1"/>
    <xf numFmtId="3" fontId="48" fillId="3" borderId="37" xfId="0" applyNumberFormat="1" applyFont="1" applyFill="1" applyBorder="1" applyAlignment="1">
      <alignment horizontal="right"/>
    </xf>
    <xf numFmtId="3" fontId="48" fillId="3" borderId="39" xfId="0" applyNumberFormat="1" applyFont="1" applyFill="1" applyBorder="1"/>
    <xf numFmtId="3" fontId="48" fillId="3" borderId="69" xfId="0" applyNumberFormat="1" applyFont="1" applyFill="1" applyBorder="1"/>
    <xf numFmtId="3" fontId="48" fillId="3" borderId="38" xfId="0" applyNumberFormat="1" applyFont="1" applyFill="1" applyBorder="1"/>
    <xf numFmtId="3" fontId="48" fillId="3" borderId="38" xfId="0" applyNumberFormat="1" applyFont="1" applyFill="1" applyBorder="1" applyAlignment="1">
      <alignment horizontal="right"/>
    </xf>
    <xf numFmtId="3" fontId="48" fillId="3" borderId="39" xfId="0" applyNumberFormat="1" applyFont="1" applyFill="1" applyBorder="1" applyAlignment="1">
      <alignment horizontal="right"/>
    </xf>
    <xf numFmtId="168" fontId="43" fillId="2" borderId="0" xfId="49" applyNumberFormat="1" applyFont="1" applyFill="1"/>
    <xf numFmtId="9" fontId="43" fillId="28" borderId="34" xfId="49" applyFont="1" applyFill="1" applyBorder="1"/>
    <xf numFmtId="9" fontId="43" fillId="3" borderId="36" xfId="49" applyFont="1" applyFill="1" applyBorder="1"/>
    <xf numFmtId="9" fontId="43" fillId="28" borderId="36" xfId="49" applyFont="1" applyFill="1" applyBorder="1"/>
    <xf numFmtId="3" fontId="0" fillId="0" borderId="75" xfId="0" applyNumberFormat="1" applyBorder="1" applyAlignment="1">
      <alignment horizontal="right"/>
    </xf>
    <xf numFmtId="3" fontId="0" fillId="3" borderId="75" xfId="0" applyNumberFormat="1" applyFill="1" applyBorder="1" applyAlignment="1">
      <alignment horizontal="right"/>
    </xf>
    <xf numFmtId="3" fontId="23" fillId="5" borderId="75" xfId="0" applyNumberFormat="1" applyFont="1" applyFill="1" applyBorder="1" applyAlignment="1">
      <alignment horizontal="right"/>
    </xf>
    <xf numFmtId="3" fontId="23" fillId="28" borderId="98" xfId="0" applyNumberFormat="1" applyFont="1" applyFill="1" applyBorder="1" applyAlignment="1">
      <alignment horizontal="right"/>
    </xf>
    <xf numFmtId="3" fontId="23" fillId="3" borderId="98" xfId="0" applyNumberFormat="1" applyFont="1" applyFill="1" applyBorder="1" applyAlignment="1">
      <alignment horizontal="right"/>
    </xf>
    <xf numFmtId="3" fontId="23" fillId="5" borderId="98" xfId="0" applyNumberFormat="1" applyFont="1" applyFill="1" applyBorder="1" applyAlignment="1">
      <alignment horizontal="right"/>
    </xf>
    <xf numFmtId="3" fontId="23" fillId="5" borderId="99" xfId="0" applyNumberFormat="1" applyFont="1" applyFill="1" applyBorder="1" applyAlignment="1">
      <alignment horizontal="right"/>
    </xf>
    <xf numFmtId="3" fontId="0" fillId="0" borderId="102" xfId="0" applyNumberFormat="1" applyBorder="1" applyAlignment="1">
      <alignment horizontal="left"/>
    </xf>
    <xf numFmtId="168" fontId="0" fillId="28" borderId="101" xfId="49" applyNumberFormat="1" applyFont="1" applyFill="1" applyBorder="1" applyAlignment="1">
      <alignment horizontal="center"/>
    </xf>
    <xf numFmtId="3" fontId="0" fillId="3" borderId="102" xfId="0" applyNumberFormat="1" applyFill="1" applyBorder="1" applyAlignment="1">
      <alignment horizontal="left"/>
    </xf>
    <xf numFmtId="168" fontId="0" fillId="3" borderId="101" xfId="49" applyNumberFormat="1" applyFont="1" applyFill="1" applyBorder="1" applyAlignment="1">
      <alignment horizontal="center"/>
    </xf>
    <xf numFmtId="0" fontId="23" fillId="5" borderId="102" xfId="0" applyFont="1" applyFill="1" applyBorder="1"/>
    <xf numFmtId="168" fontId="23" fillId="5" borderId="101" xfId="49" applyNumberFormat="1" applyFont="1" applyFill="1" applyBorder="1" applyAlignment="1">
      <alignment horizontal="center"/>
    </xf>
    <xf numFmtId="0" fontId="23" fillId="5" borderId="10" xfId="0" applyFont="1" applyFill="1" applyBorder="1"/>
    <xf numFmtId="3" fontId="23" fillId="5" borderId="11" xfId="0" applyNumberFormat="1" applyFont="1" applyFill="1" applyBorder="1" applyAlignment="1">
      <alignment horizontal="right"/>
    </xf>
    <xf numFmtId="3" fontId="23" fillId="5" borderId="103" xfId="0" applyNumberFormat="1" applyFont="1" applyFill="1" applyBorder="1" applyAlignment="1">
      <alignment horizontal="right"/>
    </xf>
    <xf numFmtId="168" fontId="23" fillId="5" borderId="104" xfId="49" applyNumberFormat="1" applyFont="1" applyFill="1" applyBorder="1" applyAlignment="1">
      <alignment horizontal="center"/>
    </xf>
    <xf numFmtId="165" fontId="43" fillId="2" borderId="0" xfId="42" applyFont="1" applyFill="1"/>
    <xf numFmtId="0" fontId="43" fillId="4" borderId="7" xfId="0" applyFont="1" applyFill="1" applyBorder="1"/>
    <xf numFmtId="0" fontId="44" fillId="4" borderId="13" xfId="0" applyFont="1" applyFill="1" applyBorder="1"/>
    <xf numFmtId="0" fontId="69" fillId="3" borderId="106" xfId="0" applyFont="1" applyFill="1" applyBorder="1" applyAlignment="1">
      <alignment horizontal="right"/>
    </xf>
    <xf numFmtId="3" fontId="69" fillId="3" borderId="3" xfId="0" applyNumberFormat="1" applyFont="1" applyFill="1" applyBorder="1" applyAlignment="1">
      <alignment horizontal="right"/>
    </xf>
    <xf numFmtId="0" fontId="68" fillId="5" borderId="9" xfId="0" applyFont="1" applyFill="1" applyBorder="1"/>
    <xf numFmtId="3" fontId="68" fillId="5" borderId="107" xfId="0" applyNumberFormat="1" applyFont="1" applyFill="1" applyBorder="1" applyAlignment="1">
      <alignment horizontal="right"/>
    </xf>
    <xf numFmtId="0" fontId="70" fillId="3" borderId="71" xfId="0" applyFont="1" applyFill="1" applyBorder="1" applyAlignment="1">
      <alignment horizontal="left" wrapText="1"/>
    </xf>
    <xf numFmtId="3" fontId="71" fillId="3" borderId="68" xfId="0" applyNumberFormat="1" applyFont="1" applyFill="1" applyBorder="1" applyAlignment="1">
      <alignment horizontal="right" wrapText="1"/>
    </xf>
    <xf numFmtId="3" fontId="68" fillId="3" borderId="34" xfId="0" applyNumberFormat="1" applyFont="1" applyFill="1" applyBorder="1" applyAlignment="1">
      <alignment horizontal="right"/>
    </xf>
    <xf numFmtId="0" fontId="70" fillId="28" borderId="44" xfId="0" applyFont="1" applyFill="1" applyBorder="1" applyAlignment="1">
      <alignment horizontal="left" wrapText="1"/>
    </xf>
    <xf numFmtId="3" fontId="71" fillId="28" borderId="65" xfId="0" applyNumberFormat="1" applyFont="1" applyFill="1" applyBorder="1" applyAlignment="1">
      <alignment horizontal="right" wrapText="1"/>
    </xf>
    <xf numFmtId="3" fontId="71" fillId="28" borderId="31" xfId="0" applyNumberFormat="1" applyFont="1" applyFill="1" applyBorder="1" applyAlignment="1">
      <alignment horizontal="right" wrapText="1"/>
    </xf>
    <xf numFmtId="0" fontId="70" fillId="3" borderId="44" xfId="0" applyFont="1" applyFill="1" applyBorder="1" applyAlignment="1">
      <alignment horizontal="left" wrapText="1"/>
    </xf>
    <xf numFmtId="3" fontId="71" fillId="3" borderId="65" xfId="0" applyNumberFormat="1" applyFont="1" applyFill="1" applyBorder="1" applyAlignment="1">
      <alignment horizontal="right" wrapText="1"/>
    </xf>
    <xf numFmtId="3" fontId="71" fillId="3" borderId="31" xfId="0" applyNumberFormat="1" applyFont="1" applyFill="1" applyBorder="1" applyAlignment="1">
      <alignment horizontal="right" wrapText="1"/>
    </xf>
    <xf numFmtId="3" fontId="68" fillId="3" borderId="36" xfId="0" applyNumberFormat="1" applyFont="1" applyFill="1" applyBorder="1" applyAlignment="1">
      <alignment horizontal="right"/>
    </xf>
    <xf numFmtId="0" fontId="70" fillId="3" borderId="45" xfId="0" applyFont="1" applyFill="1" applyBorder="1" applyAlignment="1">
      <alignment horizontal="left" wrapText="1"/>
    </xf>
    <xf numFmtId="3" fontId="71" fillId="3" borderId="69" xfId="0" applyNumberFormat="1" applyFont="1" applyFill="1" applyBorder="1" applyAlignment="1">
      <alignment horizontal="right" wrapText="1"/>
    </xf>
    <xf numFmtId="3" fontId="68" fillId="3" borderId="39" xfId="0" applyNumberFormat="1" applyFont="1" applyFill="1" applyBorder="1" applyAlignment="1">
      <alignment horizontal="right"/>
    </xf>
    <xf numFmtId="3" fontId="43" fillId="28" borderId="0" xfId="0" applyNumberFormat="1" applyFont="1" applyFill="1"/>
    <xf numFmtId="3" fontId="70" fillId="28" borderId="0" xfId="0" applyNumberFormat="1" applyFont="1" applyFill="1"/>
    <xf numFmtId="0" fontId="0" fillId="2" borderId="109" xfId="0" applyFill="1" applyBorder="1"/>
    <xf numFmtId="0" fontId="0" fillId="2" borderId="110" xfId="0" applyFill="1" applyBorder="1"/>
    <xf numFmtId="0" fontId="0" fillId="2" borderId="111" xfId="0" applyFill="1" applyBorder="1"/>
    <xf numFmtId="0" fontId="0" fillId="2" borderId="112" xfId="0" applyFill="1" applyBorder="1"/>
    <xf numFmtId="0" fontId="0" fillId="2" borderId="113" xfId="0" applyFill="1" applyBorder="1"/>
    <xf numFmtId="0" fontId="0" fillId="2" borderId="114" xfId="0" applyFill="1" applyBorder="1"/>
    <xf numFmtId="0" fontId="0" fillId="2" borderId="115" xfId="0" applyFill="1" applyBorder="1"/>
    <xf numFmtId="0" fontId="0" fillId="2" borderId="116" xfId="0" applyFill="1" applyBorder="1"/>
    <xf numFmtId="2" fontId="0" fillId="0" borderId="0" xfId="0" applyNumberFormat="1" applyAlignment="1">
      <alignment horizontal="left" readingOrder="1"/>
    </xf>
    <xf numFmtId="0" fontId="74" fillId="2" borderId="0" xfId="0" applyFont="1" applyFill="1" applyAlignment="1">
      <alignment horizontal="center"/>
    </xf>
    <xf numFmtId="0" fontId="78" fillId="2" borderId="0" xfId="0" applyFont="1" applyFill="1"/>
    <xf numFmtId="0" fontId="79" fillId="36" borderId="2" xfId="0" applyFont="1" applyFill="1" applyBorder="1" applyAlignment="1">
      <alignment horizontal="left" wrapText="1"/>
    </xf>
    <xf numFmtId="3" fontId="79" fillId="36" borderId="52" xfId="0" applyNumberFormat="1" applyFont="1" applyFill="1" applyBorder="1" applyAlignment="1">
      <alignment horizontal="right" wrapText="1"/>
    </xf>
    <xf numFmtId="3" fontId="79" fillId="36" borderId="53" xfId="0" applyNumberFormat="1" applyFont="1" applyFill="1" applyBorder="1" applyAlignment="1">
      <alignment horizontal="right" wrapText="1"/>
    </xf>
    <xf numFmtId="3" fontId="79" fillId="36" borderId="54" xfId="0" applyNumberFormat="1" applyFont="1" applyFill="1" applyBorder="1" applyAlignment="1">
      <alignment horizontal="right" wrapText="1"/>
    </xf>
    <xf numFmtId="3" fontId="79" fillId="36" borderId="52" xfId="0" applyNumberFormat="1" applyFont="1" applyFill="1" applyBorder="1" applyAlignment="1">
      <alignment horizontal="right"/>
    </xf>
    <xf numFmtId="9" fontId="79" fillId="36" borderId="54" xfId="49" applyFont="1" applyFill="1" applyBorder="1"/>
    <xf numFmtId="0" fontId="23" fillId="0" borderId="8" xfId="0" applyFont="1" applyBorder="1" applyAlignment="1">
      <alignment horizontal="left" vertical="center" wrapText="1"/>
    </xf>
    <xf numFmtId="0" fontId="56" fillId="3" borderId="7" xfId="0" applyFont="1" applyFill="1" applyBorder="1"/>
    <xf numFmtId="0" fontId="56" fillId="3" borderId="13" xfId="0" applyFont="1" applyFill="1" applyBorder="1"/>
    <xf numFmtId="0" fontId="23" fillId="3" borderId="121" xfId="0" applyFont="1" applyFill="1" applyBorder="1" applyAlignment="1">
      <alignment horizontal="right"/>
    </xf>
    <xf numFmtId="3" fontId="23" fillId="3" borderId="104" xfId="0" applyNumberFormat="1" applyFont="1" applyFill="1" applyBorder="1" applyAlignment="1">
      <alignment horizontal="right"/>
    </xf>
    <xf numFmtId="0" fontId="23" fillId="5" borderId="1" xfId="0" applyFont="1" applyFill="1" applyBorder="1"/>
    <xf numFmtId="3" fontId="23" fillId="5" borderId="120" xfId="0" applyNumberFormat="1" applyFont="1" applyFill="1" applyBorder="1" applyAlignment="1">
      <alignment horizontal="right"/>
    </xf>
    <xf numFmtId="3" fontId="23" fillId="5" borderId="100" xfId="0" applyNumberFormat="1" applyFont="1" applyFill="1" applyBorder="1" applyAlignment="1">
      <alignment horizontal="right"/>
    </xf>
    <xf numFmtId="3" fontId="23" fillId="5" borderId="108" xfId="0" applyNumberFormat="1" applyFont="1" applyFill="1" applyBorder="1" applyAlignment="1">
      <alignment horizontal="right"/>
    </xf>
    <xf numFmtId="3" fontId="23" fillId="5" borderId="94" xfId="0" applyNumberFormat="1" applyFont="1" applyFill="1" applyBorder="1" applyAlignment="1">
      <alignment horizontal="right"/>
    </xf>
    <xf numFmtId="0" fontId="0" fillId="0" borderId="43" xfId="0" applyBorder="1"/>
    <xf numFmtId="3" fontId="0" fillId="0" borderId="32" xfId="0" applyNumberFormat="1" applyBorder="1" applyAlignment="1">
      <alignment horizontal="right"/>
    </xf>
    <xf numFmtId="3" fontId="0" fillId="0" borderId="33" xfId="0" applyNumberFormat="1" applyBorder="1" applyAlignment="1">
      <alignment horizontal="right"/>
    </xf>
    <xf numFmtId="3" fontId="0" fillId="0" borderId="34" xfId="0" applyNumberFormat="1" applyBorder="1" applyAlignment="1">
      <alignment horizontal="right"/>
    </xf>
    <xf numFmtId="3" fontId="0" fillId="28" borderId="87" xfId="0" applyNumberFormat="1" applyFill="1" applyBorder="1" applyAlignment="1">
      <alignment horizontal="right"/>
    </xf>
    <xf numFmtId="0" fontId="0" fillId="3" borderId="44" xfId="0" applyFill="1" applyBorder="1"/>
    <xf numFmtId="3" fontId="0" fillId="3" borderId="35" xfId="0" applyNumberFormat="1" applyFill="1" applyBorder="1" applyAlignment="1">
      <alignment horizontal="right"/>
    </xf>
    <xf numFmtId="3" fontId="0" fillId="3" borderId="31" xfId="0" applyNumberFormat="1" applyFill="1" applyBorder="1" applyAlignment="1">
      <alignment horizontal="right"/>
    </xf>
    <xf numFmtId="3" fontId="0" fillId="3" borderId="36" xfId="0" applyNumberFormat="1" applyFill="1" applyBorder="1" applyAlignment="1">
      <alignment horizontal="right"/>
    </xf>
    <xf numFmtId="3" fontId="0" fillId="3" borderId="88" xfId="0" applyNumberFormat="1" applyFill="1" applyBorder="1" applyAlignment="1">
      <alignment horizontal="right"/>
    </xf>
    <xf numFmtId="0" fontId="0" fillId="0" borderId="44" xfId="0" applyBorder="1"/>
    <xf numFmtId="3" fontId="0" fillId="0" borderId="35" xfId="0" applyNumberFormat="1" applyBorder="1" applyAlignment="1">
      <alignment horizontal="right"/>
    </xf>
    <xf numFmtId="3" fontId="0" fillId="0" borderId="31" xfId="0" applyNumberFormat="1" applyBorder="1" applyAlignment="1">
      <alignment horizontal="right"/>
    </xf>
    <xf numFmtId="3" fontId="0" fillId="0" borderId="36" xfId="0" applyNumberFormat="1" applyBorder="1" applyAlignment="1">
      <alignment horizontal="right"/>
    </xf>
    <xf numFmtId="3" fontId="0" fillId="28" borderId="88" xfId="0" applyNumberFormat="1" applyFill="1" applyBorder="1" applyAlignment="1">
      <alignment horizontal="right"/>
    </xf>
    <xf numFmtId="0" fontId="76" fillId="0" borderId="45" xfId="0" applyFont="1" applyBorder="1"/>
    <xf numFmtId="3" fontId="0" fillId="0" borderId="37" xfId="0" applyNumberFormat="1" applyBorder="1" applyAlignment="1">
      <alignment horizontal="right"/>
    </xf>
    <xf numFmtId="3" fontId="0" fillId="0" borderId="38" xfId="0" applyNumberFormat="1" applyBorder="1" applyAlignment="1">
      <alignment horizontal="right"/>
    </xf>
    <xf numFmtId="3" fontId="0" fillId="0" borderId="39" xfId="0" applyNumberFormat="1" applyBorder="1" applyAlignment="1">
      <alignment horizontal="right"/>
    </xf>
    <xf numFmtId="3" fontId="0" fillId="28" borderId="89" xfId="0" applyNumberFormat="1" applyFill="1" applyBorder="1" applyAlignment="1">
      <alignment horizontal="right"/>
    </xf>
    <xf numFmtId="0" fontId="23" fillId="5" borderId="2" xfId="0" applyFont="1" applyFill="1" applyBorder="1"/>
    <xf numFmtId="3" fontId="23" fillId="5" borderId="105" xfId="0" applyNumberFormat="1" applyFont="1" applyFill="1" applyBorder="1" applyAlignment="1">
      <alignment horizontal="right"/>
    </xf>
    <xf numFmtId="3" fontId="23" fillId="5" borderId="106" xfId="0" applyNumberFormat="1" applyFont="1" applyFill="1" applyBorder="1" applyAlignment="1">
      <alignment horizontal="right"/>
    </xf>
    <xf numFmtId="3" fontId="23" fillId="5" borderId="122" xfId="0" applyNumberFormat="1" applyFont="1" applyFill="1" applyBorder="1" applyAlignment="1">
      <alignment horizontal="right"/>
    </xf>
    <xf numFmtId="3" fontId="23" fillId="5" borderId="3" xfId="0" applyNumberFormat="1" applyFont="1" applyFill="1" applyBorder="1" applyAlignment="1">
      <alignment horizontal="right"/>
    </xf>
    <xf numFmtId="0" fontId="0" fillId="0" borderId="32" xfId="0" applyBorder="1"/>
    <xf numFmtId="3" fontId="0" fillId="28" borderId="34" xfId="0" applyNumberFormat="1" applyFill="1" applyBorder="1" applyAlignment="1">
      <alignment horizontal="right"/>
    </xf>
    <xf numFmtId="0" fontId="0" fillId="3" borderId="35" xfId="0" applyFill="1" applyBorder="1"/>
    <xf numFmtId="0" fontId="0" fillId="0" borderId="35" xfId="0" applyBorder="1"/>
    <xf numFmtId="3" fontId="0" fillId="28" borderId="36" xfId="0" applyNumberFormat="1" applyFill="1" applyBorder="1" applyAlignment="1">
      <alignment horizontal="right"/>
    </xf>
    <xf numFmtId="0" fontId="76" fillId="0" borderId="37" xfId="0" applyFont="1" applyBorder="1"/>
    <xf numFmtId="3" fontId="0" fillId="28" borderId="39" xfId="0" applyNumberFormat="1" applyFill="1" applyBorder="1" applyAlignment="1">
      <alignment horizontal="right"/>
    </xf>
    <xf numFmtId="0" fontId="56" fillId="3" borderId="17" xfId="0" applyFont="1" applyFill="1" applyBorder="1"/>
    <xf numFmtId="0" fontId="23" fillId="3" borderId="123" xfId="0" applyFont="1" applyFill="1" applyBorder="1" applyAlignment="1">
      <alignment horizontal="right"/>
    </xf>
    <xf numFmtId="3" fontId="23" fillId="3" borderId="124" xfId="0" applyNumberFormat="1" applyFont="1" applyFill="1" applyBorder="1" applyAlignment="1">
      <alignment horizontal="right"/>
    </xf>
    <xf numFmtId="0" fontId="0" fillId="0" borderId="43" xfId="0" applyBorder="1" applyAlignment="1">
      <alignment wrapText="1"/>
    </xf>
    <xf numFmtId="0" fontId="0" fillId="3" borderId="45" xfId="0" applyFill="1" applyBorder="1"/>
    <xf numFmtId="3" fontId="0" fillId="3" borderId="37" xfId="0" applyNumberFormat="1" applyFill="1" applyBorder="1" applyAlignment="1">
      <alignment horizontal="right"/>
    </xf>
    <xf numFmtId="3" fontId="0" fillId="3" borderId="38" xfId="0" applyNumberFormat="1" applyFill="1" applyBorder="1" applyAlignment="1">
      <alignment horizontal="right"/>
    </xf>
    <xf numFmtId="3" fontId="0" fillId="3" borderId="39" xfId="0" applyNumberFormat="1" applyFill="1" applyBorder="1" applyAlignment="1">
      <alignment horizontal="right"/>
    </xf>
    <xf numFmtId="3" fontId="0" fillId="3" borderId="89" xfId="0" applyNumberFormat="1" applyFill="1" applyBorder="1" applyAlignment="1">
      <alignment horizontal="right"/>
    </xf>
    <xf numFmtId="0" fontId="0" fillId="0" borderId="32" xfId="0" applyBorder="1" applyAlignment="1">
      <alignment wrapText="1"/>
    </xf>
    <xf numFmtId="0" fontId="0" fillId="3" borderId="37" xfId="0" applyFill="1" applyBorder="1"/>
    <xf numFmtId="3" fontId="0" fillId="0" borderId="0" xfId="0" applyNumberFormat="1" applyAlignment="1">
      <alignment horizontal="right"/>
    </xf>
    <xf numFmtId="0" fontId="0" fillId="28" borderId="0" xfId="0" applyFill="1"/>
    <xf numFmtId="3" fontId="0" fillId="28" borderId="0" xfId="0" applyNumberFormat="1" applyFill="1" applyAlignment="1">
      <alignment horizontal="right"/>
    </xf>
    <xf numFmtId="3" fontId="80" fillId="28" borderId="0" xfId="0" applyNumberFormat="1" applyFont="1" applyFill="1" applyAlignment="1">
      <alignment horizontal="right"/>
    </xf>
    <xf numFmtId="0" fontId="15" fillId="2" borderId="0" xfId="53" applyFill="1"/>
    <xf numFmtId="0" fontId="56" fillId="3" borderId="7" xfId="53" applyFont="1" applyFill="1" applyBorder="1"/>
    <xf numFmtId="0" fontId="56" fillId="3" borderId="13" xfId="53" applyFont="1" applyFill="1" applyBorder="1"/>
    <xf numFmtId="0" fontId="23" fillId="3" borderId="121" xfId="53" applyFont="1" applyFill="1" applyBorder="1" applyAlignment="1">
      <alignment horizontal="right"/>
    </xf>
    <xf numFmtId="3" fontId="23" fillId="3" borderId="104" xfId="53" applyNumberFormat="1" applyFont="1" applyFill="1" applyBorder="1" applyAlignment="1">
      <alignment horizontal="right"/>
    </xf>
    <xf numFmtId="0" fontId="23" fillId="5" borderId="2" xfId="53" applyFont="1" applyFill="1" applyBorder="1"/>
    <xf numFmtId="0" fontId="0" fillId="3" borderId="49" xfId="0" applyFill="1" applyBorder="1"/>
    <xf numFmtId="0" fontId="82" fillId="2" borderId="0" xfId="0" applyFont="1" applyFill="1"/>
    <xf numFmtId="3" fontId="82" fillId="2" borderId="0" xfId="0" applyNumberFormat="1" applyFont="1" applyFill="1"/>
    <xf numFmtId="0" fontId="82" fillId="3" borderId="1" xfId="0" applyFont="1" applyFill="1" applyBorder="1"/>
    <xf numFmtId="9" fontId="78" fillId="5" borderId="7" xfId="0" applyNumberFormat="1" applyFont="1" applyFill="1" applyBorder="1" applyAlignment="1">
      <alignment horizontal="center"/>
    </xf>
    <xf numFmtId="0" fontId="78" fillId="3" borderId="14" xfId="0" applyFont="1" applyFill="1" applyBorder="1"/>
    <xf numFmtId="0" fontId="78" fillId="3" borderId="7" xfId="0" applyFont="1" applyFill="1" applyBorder="1" applyAlignment="1">
      <alignment horizontal="left" wrapText="1"/>
    </xf>
    <xf numFmtId="0" fontId="78" fillId="3" borderId="20" xfId="0" applyFont="1" applyFill="1" applyBorder="1" applyAlignment="1">
      <alignment horizontal="right"/>
    </xf>
    <xf numFmtId="0" fontId="78" fillId="3" borderId="18" xfId="0" applyFont="1" applyFill="1" applyBorder="1" applyAlignment="1">
      <alignment horizontal="right"/>
    </xf>
    <xf numFmtId="3" fontId="78" fillId="3" borderId="21" xfId="0" applyNumberFormat="1" applyFont="1" applyFill="1" applyBorder="1" applyAlignment="1">
      <alignment horizontal="right"/>
    </xf>
    <xf numFmtId="9" fontId="78" fillId="5" borderId="17" xfId="0" applyNumberFormat="1" applyFont="1" applyFill="1" applyBorder="1" applyAlignment="1">
      <alignment horizontal="center" vertical="center" wrapText="1"/>
    </xf>
    <xf numFmtId="0" fontId="78" fillId="5" borderId="9" xfId="0" applyFont="1" applyFill="1" applyBorder="1"/>
    <xf numFmtId="3" fontId="78" fillId="5" borderId="52" xfId="0" applyNumberFormat="1" applyFont="1" applyFill="1" applyBorder="1" applyAlignment="1">
      <alignment horizontal="right"/>
    </xf>
    <xf numFmtId="3" fontId="78" fillId="5" borderId="54" xfId="0" applyNumberFormat="1" applyFont="1" applyFill="1" applyBorder="1" applyAlignment="1">
      <alignment horizontal="right"/>
    </xf>
    <xf numFmtId="3" fontId="78" fillId="5" borderId="63" xfId="0" applyNumberFormat="1" applyFont="1" applyFill="1" applyBorder="1" applyAlignment="1">
      <alignment horizontal="right"/>
    </xf>
    <xf numFmtId="3" fontId="78" fillId="5" borderId="53" xfId="0" applyNumberFormat="1" applyFont="1" applyFill="1" applyBorder="1" applyAlignment="1">
      <alignment horizontal="right"/>
    </xf>
    <xf numFmtId="9" fontId="78" fillId="5" borderId="54" xfId="0" applyNumberFormat="1" applyFont="1" applyFill="1" applyBorder="1" applyAlignment="1">
      <alignment horizontal="center"/>
    </xf>
    <xf numFmtId="0" fontId="83" fillId="28" borderId="55" xfId="0" applyFont="1" applyFill="1" applyBorder="1"/>
    <xf numFmtId="3" fontId="83" fillId="28" borderId="56" xfId="0" applyNumberFormat="1" applyFont="1" applyFill="1" applyBorder="1" applyAlignment="1">
      <alignment horizontal="right"/>
    </xf>
    <xf numFmtId="3" fontId="83" fillId="28" borderId="58" xfId="0" applyNumberFormat="1" applyFont="1" applyFill="1" applyBorder="1"/>
    <xf numFmtId="3" fontId="83" fillId="28" borderId="64" xfId="0" applyNumberFormat="1" applyFont="1" applyFill="1" applyBorder="1"/>
    <xf numFmtId="3" fontId="83" fillId="28" borderId="57" xfId="0" applyNumberFormat="1" applyFont="1" applyFill="1" applyBorder="1"/>
    <xf numFmtId="3" fontId="83" fillId="28" borderId="57" xfId="0" applyNumberFormat="1" applyFont="1" applyFill="1" applyBorder="1" applyAlignment="1">
      <alignment horizontal="right"/>
    </xf>
    <xf numFmtId="3" fontId="83" fillId="28" borderId="58" xfId="0" applyNumberFormat="1" applyFont="1" applyFill="1" applyBorder="1" applyAlignment="1">
      <alignment horizontal="right"/>
    </xf>
    <xf numFmtId="9" fontId="82" fillId="28" borderId="58" xfId="0" applyNumberFormat="1" applyFont="1" applyFill="1" applyBorder="1" applyAlignment="1">
      <alignment horizontal="center"/>
    </xf>
    <xf numFmtId="9" fontId="82" fillId="2" borderId="0" xfId="0" applyNumberFormat="1" applyFont="1" applyFill="1"/>
    <xf numFmtId="0" fontId="83" fillId="3" borderId="47" xfId="0" applyFont="1" applyFill="1" applyBorder="1"/>
    <xf numFmtId="3" fontId="83" fillId="3" borderId="35" xfId="0" applyNumberFormat="1" applyFont="1" applyFill="1" applyBorder="1" applyAlignment="1">
      <alignment horizontal="right"/>
    </xf>
    <xf numFmtId="3" fontId="83" fillId="3" borderId="36" xfId="0" applyNumberFormat="1" applyFont="1" applyFill="1" applyBorder="1"/>
    <xf numFmtId="3" fontId="83" fillId="3" borderId="65" xfId="0" applyNumberFormat="1" applyFont="1" applyFill="1" applyBorder="1"/>
    <xf numFmtId="3" fontId="83" fillId="3" borderId="31" xfId="0" applyNumberFormat="1" applyFont="1" applyFill="1" applyBorder="1"/>
    <xf numFmtId="3" fontId="83" fillId="3" borderId="31" xfId="0" applyNumberFormat="1" applyFont="1" applyFill="1" applyBorder="1" applyAlignment="1">
      <alignment horizontal="right"/>
    </xf>
    <xf numFmtId="3" fontId="83" fillId="3" borderId="36" xfId="0" applyNumberFormat="1" applyFont="1" applyFill="1" applyBorder="1" applyAlignment="1">
      <alignment horizontal="right"/>
    </xf>
    <xf numFmtId="9" fontId="82" fillId="3" borderId="36" xfId="0" applyNumberFormat="1" applyFont="1" applyFill="1" applyBorder="1" applyAlignment="1">
      <alignment horizontal="center"/>
    </xf>
    <xf numFmtId="0" fontId="78" fillId="28" borderId="47" xfId="0" applyFont="1" applyFill="1" applyBorder="1"/>
    <xf numFmtId="3" fontId="82" fillId="28" borderId="35" xfId="0" applyNumberFormat="1" applyFont="1" applyFill="1" applyBorder="1" applyAlignment="1">
      <alignment horizontal="right"/>
    </xf>
    <xf numFmtId="3" fontId="82" fillId="28" borderId="36" xfId="0" applyNumberFormat="1" applyFont="1" applyFill="1" applyBorder="1" applyAlignment="1">
      <alignment horizontal="right"/>
    </xf>
    <xf numFmtId="3" fontId="78" fillId="28" borderId="65" xfId="0" applyNumberFormat="1" applyFont="1" applyFill="1" applyBorder="1" applyAlignment="1">
      <alignment horizontal="right"/>
    </xf>
    <xf numFmtId="3" fontId="78" fillId="28" borderId="31" xfId="0" applyNumberFormat="1" applyFont="1" applyFill="1" applyBorder="1" applyAlignment="1">
      <alignment horizontal="right"/>
    </xf>
    <xf numFmtId="3" fontId="78" fillId="28" borderId="36" xfId="0" applyNumberFormat="1" applyFont="1" applyFill="1" applyBorder="1" applyAlignment="1">
      <alignment horizontal="right"/>
    </xf>
    <xf numFmtId="3" fontId="78" fillId="28" borderId="35" xfId="0" applyNumberFormat="1" applyFont="1" applyFill="1" applyBorder="1" applyAlignment="1">
      <alignment horizontal="right"/>
    </xf>
    <xf numFmtId="9" fontId="77" fillId="28" borderId="36" xfId="0" applyNumberFormat="1" applyFont="1" applyFill="1" applyBorder="1" applyAlignment="1">
      <alignment horizontal="center"/>
    </xf>
    <xf numFmtId="0" fontId="78" fillId="3" borderId="47" xfId="0" applyFont="1" applyFill="1" applyBorder="1"/>
    <xf numFmtId="3" fontId="78" fillId="3" borderId="35" xfId="0" applyNumberFormat="1" applyFont="1" applyFill="1" applyBorder="1" applyAlignment="1">
      <alignment horizontal="right"/>
    </xf>
    <xf numFmtId="3" fontId="78" fillId="3" borderId="36" xfId="0" applyNumberFormat="1" applyFont="1" applyFill="1" applyBorder="1"/>
    <xf numFmtId="3" fontId="78" fillId="3" borderId="65" xfId="0" applyNumberFormat="1" applyFont="1" applyFill="1" applyBorder="1" applyAlignment="1">
      <alignment horizontal="right"/>
    </xf>
    <xf numFmtId="3" fontId="78" fillId="3" borderId="31" xfId="0" applyNumberFormat="1" applyFont="1" applyFill="1" applyBorder="1" applyAlignment="1">
      <alignment horizontal="right"/>
    </xf>
    <xf numFmtId="3" fontId="78" fillId="3" borderId="36" xfId="0" applyNumberFormat="1" applyFont="1" applyFill="1" applyBorder="1" applyAlignment="1">
      <alignment horizontal="right"/>
    </xf>
    <xf numFmtId="3" fontId="82" fillId="3" borderId="35" xfId="0" applyNumberFormat="1" applyFont="1" applyFill="1" applyBorder="1" applyAlignment="1">
      <alignment horizontal="right"/>
    </xf>
    <xf numFmtId="0" fontId="83" fillId="28" borderId="47" xfId="0" applyFont="1" applyFill="1" applyBorder="1"/>
    <xf numFmtId="3" fontId="82" fillId="28" borderId="36" xfId="0" applyNumberFormat="1" applyFont="1" applyFill="1" applyBorder="1"/>
    <xf numFmtId="3" fontId="83" fillId="28" borderId="65" xfId="0" applyNumberFormat="1" applyFont="1" applyFill="1" applyBorder="1" applyAlignment="1">
      <alignment horizontal="right"/>
    </xf>
    <xf numFmtId="3" fontId="83" fillId="28" borderId="31" xfId="0" applyNumberFormat="1" applyFont="1" applyFill="1" applyBorder="1" applyAlignment="1">
      <alignment horizontal="right"/>
    </xf>
    <xf numFmtId="3" fontId="83" fillId="28" borderId="36" xfId="0" applyNumberFormat="1" applyFont="1" applyFill="1" applyBorder="1" applyAlignment="1">
      <alignment horizontal="right"/>
    </xf>
    <xf numFmtId="9" fontId="82" fillId="28" borderId="36" xfId="0" applyNumberFormat="1" applyFont="1" applyFill="1" applyBorder="1" applyAlignment="1">
      <alignment horizontal="center"/>
    </xf>
    <xf numFmtId="0" fontId="83" fillId="3" borderId="47" xfId="0" applyFont="1" applyFill="1" applyBorder="1" applyAlignment="1">
      <alignment horizontal="left"/>
    </xf>
    <xf numFmtId="3" fontId="83" fillId="3" borderId="65" xfId="0" applyNumberFormat="1" applyFont="1" applyFill="1" applyBorder="1" applyAlignment="1">
      <alignment horizontal="right"/>
    </xf>
    <xf numFmtId="3" fontId="83" fillId="28" borderId="35" xfId="0" applyNumberFormat="1" applyFont="1" applyFill="1" applyBorder="1" applyAlignment="1">
      <alignment horizontal="right"/>
    </xf>
    <xf numFmtId="3" fontId="83" fillId="28" borderId="36" xfId="0" applyNumberFormat="1" applyFont="1" applyFill="1" applyBorder="1"/>
    <xf numFmtId="0" fontId="78" fillId="28" borderId="48" xfId="0" applyFont="1" applyFill="1" applyBorder="1"/>
    <xf numFmtId="3" fontId="78" fillId="28" borderId="49" xfId="0" applyNumberFormat="1" applyFont="1" applyFill="1" applyBorder="1" applyAlignment="1">
      <alignment horizontal="right"/>
    </xf>
    <xf numFmtId="3" fontId="78" fillId="28" borderId="51" xfId="0" applyNumberFormat="1" applyFont="1" applyFill="1" applyBorder="1" applyAlignment="1">
      <alignment horizontal="right"/>
    </xf>
    <xf numFmtId="3" fontId="78" fillId="28" borderId="66" xfId="0" applyNumberFormat="1" applyFont="1" applyFill="1" applyBorder="1" applyAlignment="1">
      <alignment horizontal="right"/>
    </xf>
    <xf numFmtId="3" fontId="78" fillId="28" borderId="50" xfId="0" applyNumberFormat="1" applyFont="1" applyFill="1" applyBorder="1" applyAlignment="1">
      <alignment horizontal="right"/>
    </xf>
    <xf numFmtId="9" fontId="83" fillId="28" borderId="51" xfId="0" applyNumberFormat="1" applyFont="1" applyFill="1" applyBorder="1" applyAlignment="1">
      <alignment horizontal="center"/>
    </xf>
    <xf numFmtId="3" fontId="78" fillId="5" borderId="60" xfId="0" applyNumberFormat="1" applyFont="1" applyFill="1" applyBorder="1" applyAlignment="1">
      <alignment horizontal="right"/>
    </xf>
    <xf numFmtId="3" fontId="78" fillId="5" borderId="67" xfId="0" applyNumberFormat="1" applyFont="1" applyFill="1" applyBorder="1" applyAlignment="1">
      <alignment horizontal="right"/>
    </xf>
    <xf numFmtId="3" fontId="78" fillId="5" borderId="59" xfId="0" applyNumberFormat="1" applyFont="1" applyFill="1" applyBorder="1" applyAlignment="1">
      <alignment horizontal="right"/>
    </xf>
    <xf numFmtId="3" fontId="78" fillId="5" borderId="62" xfId="0" applyNumberFormat="1" applyFont="1" applyFill="1" applyBorder="1" applyAlignment="1">
      <alignment horizontal="right"/>
    </xf>
    <xf numFmtId="3" fontId="78" fillId="5" borderId="61" xfId="0" applyNumberFormat="1" applyFont="1" applyFill="1" applyBorder="1" applyAlignment="1">
      <alignment horizontal="right"/>
    </xf>
    <xf numFmtId="9" fontId="78" fillId="5" borderId="60" xfId="0" applyNumberFormat="1" applyFont="1" applyFill="1" applyBorder="1" applyAlignment="1">
      <alignment horizontal="center"/>
    </xf>
    <xf numFmtId="0" fontId="78" fillId="0" borderId="15" xfId="0" applyFont="1" applyBorder="1"/>
    <xf numFmtId="3" fontId="82" fillId="0" borderId="32" xfId="0" applyNumberFormat="1" applyFont="1" applyBorder="1" applyAlignment="1">
      <alignment horizontal="right"/>
    </xf>
    <xf numFmtId="3" fontId="82" fillId="0" borderId="34" xfId="0" applyNumberFormat="1" applyFont="1" applyBorder="1"/>
    <xf numFmtId="3" fontId="82" fillId="0" borderId="68" xfId="0" applyNumberFormat="1" applyFont="1" applyBorder="1" applyAlignment="1">
      <alignment horizontal="right"/>
    </xf>
    <xf numFmtId="3" fontId="82" fillId="0" borderId="33" xfId="0" applyNumberFormat="1" applyFont="1" applyBorder="1" applyAlignment="1">
      <alignment horizontal="right"/>
    </xf>
    <xf numFmtId="3" fontId="82" fillId="0" borderId="40" xfId="0" applyNumberFormat="1" applyFont="1" applyBorder="1" applyAlignment="1">
      <alignment horizontal="right"/>
    </xf>
    <xf numFmtId="3" fontId="82" fillId="28" borderId="32" xfId="0" applyNumberFormat="1" applyFont="1" applyFill="1" applyBorder="1" applyAlignment="1">
      <alignment horizontal="right"/>
    </xf>
    <xf numFmtId="9" fontId="82" fillId="28" borderId="34" xfId="0" applyNumberFormat="1" applyFont="1" applyFill="1" applyBorder="1" applyAlignment="1">
      <alignment horizontal="center"/>
    </xf>
    <xf numFmtId="0" fontId="78" fillId="0" borderId="16" xfId="0" applyFont="1" applyBorder="1"/>
    <xf numFmtId="3" fontId="82" fillId="0" borderId="49" xfId="0" applyNumberFormat="1" applyFont="1" applyBorder="1" applyAlignment="1">
      <alignment horizontal="right"/>
    </xf>
    <xf numFmtId="3" fontId="82" fillId="0" borderId="51" xfId="0" applyNumberFormat="1" applyFont="1" applyBorder="1"/>
    <xf numFmtId="3" fontId="82" fillId="0" borderId="66" xfId="0" applyNumberFormat="1" applyFont="1" applyBorder="1" applyAlignment="1">
      <alignment horizontal="right"/>
    </xf>
    <xf numFmtId="3" fontId="82" fillId="0" borderId="50" xfId="0" applyNumberFormat="1" applyFont="1" applyBorder="1" applyAlignment="1">
      <alignment horizontal="right"/>
    </xf>
    <xf numFmtId="3" fontId="82" fillId="0" borderId="70" xfId="0" applyNumberFormat="1" applyFont="1" applyBorder="1" applyAlignment="1">
      <alignment horizontal="right"/>
    </xf>
    <xf numFmtId="3" fontId="82" fillId="28" borderId="49" xfId="0" applyNumberFormat="1" applyFont="1" applyFill="1" applyBorder="1" applyAlignment="1">
      <alignment horizontal="right"/>
    </xf>
    <xf numFmtId="9" fontId="82" fillId="28" borderId="51" xfId="0" applyNumberFormat="1" applyFont="1" applyFill="1" applyBorder="1" applyAlignment="1">
      <alignment horizontal="center"/>
    </xf>
    <xf numFmtId="0" fontId="78" fillId="0" borderId="19" xfId="0" applyFont="1" applyBorder="1"/>
    <xf numFmtId="3" fontId="82" fillId="0" borderId="37" xfId="0" applyNumberFormat="1" applyFont="1" applyBorder="1" applyAlignment="1">
      <alignment horizontal="right"/>
    </xf>
    <xf numFmtId="3" fontId="82" fillId="0" borderId="39" xfId="0" applyNumberFormat="1" applyFont="1" applyBorder="1"/>
    <xf numFmtId="3" fontId="82" fillId="0" borderId="69" xfId="0" applyNumberFormat="1" applyFont="1" applyBorder="1" applyAlignment="1">
      <alignment horizontal="right"/>
    </xf>
    <xf numFmtId="3" fontId="82" fillId="0" borderId="38" xfId="0" applyNumberFormat="1" applyFont="1" applyBorder="1" applyAlignment="1">
      <alignment horizontal="right"/>
    </xf>
    <xf numFmtId="3" fontId="82" fillId="0" borderId="42" xfId="0" applyNumberFormat="1" applyFont="1" applyBorder="1" applyAlignment="1">
      <alignment horizontal="right"/>
    </xf>
    <xf numFmtId="3" fontId="82" fillId="28" borderId="37" xfId="0" applyNumberFormat="1" applyFont="1" applyFill="1" applyBorder="1" applyAlignment="1">
      <alignment horizontal="right"/>
    </xf>
    <xf numFmtId="9" fontId="82" fillId="28" borderId="39" xfId="0" applyNumberFormat="1" applyFont="1" applyFill="1" applyBorder="1" applyAlignment="1">
      <alignment horizontal="center"/>
    </xf>
    <xf numFmtId="3" fontId="82" fillId="2" borderId="0" xfId="0" applyNumberFormat="1" applyFont="1" applyFill="1" applyAlignment="1">
      <alignment horizontal="right"/>
    </xf>
    <xf numFmtId="9" fontId="82" fillId="2" borderId="0" xfId="0" applyNumberFormat="1" applyFont="1" applyFill="1" applyAlignment="1">
      <alignment horizontal="center"/>
    </xf>
    <xf numFmtId="3" fontId="78" fillId="5" borderId="73" xfId="0" applyNumberFormat="1" applyFont="1" applyFill="1" applyBorder="1" applyAlignment="1">
      <alignment horizontal="right"/>
    </xf>
    <xf numFmtId="9" fontId="83" fillId="28" borderId="36" xfId="0" applyNumberFormat="1" applyFont="1" applyFill="1" applyBorder="1" applyAlignment="1">
      <alignment horizontal="center"/>
    </xf>
    <xf numFmtId="3" fontId="78" fillId="28" borderId="36" xfId="0" applyNumberFormat="1" applyFont="1" applyFill="1" applyBorder="1"/>
    <xf numFmtId="0" fontId="78" fillId="28" borderId="0" xfId="0" applyFont="1" applyFill="1"/>
    <xf numFmtId="3" fontId="78" fillId="28" borderId="0" xfId="0" applyNumberFormat="1" applyFont="1" applyFill="1" applyAlignment="1">
      <alignment horizontal="right"/>
    </xf>
    <xf numFmtId="9" fontId="82" fillId="28" borderId="0" xfId="0" applyNumberFormat="1" applyFont="1" applyFill="1" applyAlignment="1">
      <alignment horizontal="center"/>
    </xf>
    <xf numFmtId="0" fontId="82" fillId="28" borderId="0" xfId="0" applyFont="1" applyFill="1"/>
    <xf numFmtId="3" fontId="78" fillId="3" borderId="9" xfId="0" applyNumberFormat="1" applyFont="1" applyFill="1" applyBorder="1" applyAlignment="1">
      <alignment horizontal="center" wrapText="1"/>
    </xf>
    <xf numFmtId="3" fontId="78" fillId="5" borderId="9" xfId="0" applyNumberFormat="1" applyFont="1" applyFill="1" applyBorder="1" applyAlignment="1">
      <alignment horizontal="right"/>
    </xf>
    <xf numFmtId="168" fontId="83" fillId="28" borderId="55" xfId="0" applyNumberFormat="1" applyFont="1" applyFill="1" applyBorder="1" applyAlignment="1">
      <alignment horizontal="right"/>
    </xf>
    <xf numFmtId="168" fontId="83" fillId="3" borderId="47" xfId="0" applyNumberFormat="1" applyFont="1" applyFill="1" applyBorder="1" applyAlignment="1">
      <alignment horizontal="right"/>
    </xf>
    <xf numFmtId="168" fontId="78" fillId="29" borderId="47" xfId="0" applyNumberFormat="1" applyFont="1" applyFill="1" applyBorder="1" applyAlignment="1">
      <alignment horizontal="right"/>
    </xf>
    <xf numFmtId="168" fontId="82" fillId="3" borderId="47" xfId="0" applyNumberFormat="1" applyFont="1" applyFill="1" applyBorder="1" applyAlignment="1">
      <alignment horizontal="right"/>
    </xf>
    <xf numFmtId="168" fontId="82" fillId="28" borderId="47" xfId="0" applyNumberFormat="1" applyFont="1" applyFill="1" applyBorder="1" applyAlignment="1">
      <alignment horizontal="right"/>
    </xf>
    <xf numFmtId="168" fontId="78" fillId="29" borderId="48" xfId="0" applyNumberFormat="1" applyFont="1" applyFill="1" applyBorder="1" applyAlignment="1">
      <alignment horizontal="right"/>
    </xf>
    <xf numFmtId="168" fontId="78" fillId="5" borderId="7" xfId="0" applyNumberFormat="1" applyFont="1" applyFill="1" applyBorder="1" applyAlignment="1">
      <alignment horizontal="right"/>
    </xf>
    <xf numFmtId="168" fontId="82" fillId="28" borderId="46" xfId="0" applyNumberFormat="1" applyFont="1" applyFill="1" applyBorder="1" applyAlignment="1">
      <alignment horizontal="right"/>
    </xf>
    <xf numFmtId="168" fontId="82" fillId="28" borderId="48" xfId="0" applyNumberFormat="1" applyFont="1" applyFill="1" applyBorder="1" applyAlignment="1">
      <alignment horizontal="right"/>
    </xf>
    <xf numFmtId="168" fontId="78" fillId="28" borderId="0" xfId="0" applyNumberFormat="1" applyFont="1" applyFill="1" applyAlignment="1">
      <alignment horizontal="right"/>
    </xf>
    <xf numFmtId="168" fontId="78" fillId="5" borderId="9" xfId="0" applyNumberFormat="1" applyFont="1" applyFill="1" applyBorder="1" applyAlignment="1">
      <alignment horizontal="right"/>
    </xf>
    <xf numFmtId="0" fontId="82" fillId="28" borderId="71" xfId="0" applyFont="1" applyFill="1" applyBorder="1" applyAlignment="1">
      <alignment horizontal="left" wrapText="1"/>
    </xf>
    <xf numFmtId="0" fontId="82" fillId="28" borderId="32" xfId="0" applyFont="1" applyFill="1" applyBorder="1" applyAlignment="1">
      <alignment horizontal="left" wrapText="1"/>
    </xf>
    <xf numFmtId="0" fontId="82" fillId="28" borderId="32" xfId="0" applyFont="1" applyFill="1" applyBorder="1" applyAlignment="1">
      <alignment horizontal="right" wrapText="1"/>
    </xf>
    <xf numFmtId="4" fontId="82" fillId="28" borderId="32" xfId="0" applyNumberFormat="1" applyFont="1" applyFill="1" applyBorder="1" applyAlignment="1">
      <alignment horizontal="right" wrapText="1"/>
    </xf>
    <xf numFmtId="3" fontId="82" fillId="28" borderId="33" xfId="0" applyNumberFormat="1" applyFont="1" applyFill="1" applyBorder="1" applyAlignment="1">
      <alignment horizontal="right" wrapText="1"/>
    </xf>
    <xf numFmtId="3" fontId="82" fillId="28" borderId="34" xfId="0" applyNumberFormat="1" applyFont="1" applyFill="1" applyBorder="1" applyAlignment="1">
      <alignment horizontal="right" wrapText="1"/>
    </xf>
    <xf numFmtId="3" fontId="78" fillId="28" borderId="32" xfId="0" applyNumberFormat="1" applyFont="1" applyFill="1" applyBorder="1" applyAlignment="1">
      <alignment horizontal="right"/>
    </xf>
    <xf numFmtId="0" fontId="82" fillId="28" borderId="34" xfId="0" applyFont="1" applyFill="1" applyBorder="1"/>
    <xf numFmtId="0" fontId="82" fillId="3" borderId="47" xfId="0" applyFont="1" applyFill="1" applyBorder="1" applyAlignment="1">
      <alignment wrapText="1"/>
    </xf>
    <xf numFmtId="0" fontId="82" fillId="3" borderId="35" xfId="0" applyFont="1" applyFill="1" applyBorder="1" applyAlignment="1">
      <alignment horizontal="left" wrapText="1"/>
    </xf>
    <xf numFmtId="0" fontId="82" fillId="3" borderId="35" xfId="0" applyFont="1" applyFill="1" applyBorder="1" applyAlignment="1">
      <alignment horizontal="right" wrapText="1"/>
    </xf>
    <xf numFmtId="4" fontId="82" fillId="3" borderId="35" xfId="0" applyNumberFormat="1" applyFont="1" applyFill="1" applyBorder="1" applyAlignment="1">
      <alignment horizontal="right" wrapText="1"/>
    </xf>
    <xf numFmtId="3" fontId="82" fillId="3" borderId="31" xfId="0" applyNumberFormat="1" applyFont="1" applyFill="1" applyBorder="1" applyAlignment="1">
      <alignment horizontal="right" wrapText="1"/>
    </xf>
    <xf numFmtId="3" fontId="82" fillId="3" borderId="36" xfId="0" applyNumberFormat="1" applyFont="1" applyFill="1" applyBorder="1" applyAlignment="1">
      <alignment horizontal="right" wrapText="1"/>
    </xf>
    <xf numFmtId="0" fontId="82" fillId="3" borderId="36" xfId="0" applyFont="1" applyFill="1" applyBorder="1"/>
    <xf numFmtId="0" fontId="82" fillId="28" borderId="44" xfId="0" applyFont="1" applyFill="1" applyBorder="1" applyAlignment="1">
      <alignment horizontal="left" wrapText="1"/>
    </xf>
    <xf numFmtId="0" fontId="82" fillId="28" borderId="35" xfId="0" applyFont="1" applyFill="1" applyBorder="1" applyAlignment="1">
      <alignment horizontal="left" wrapText="1"/>
    </xf>
    <xf numFmtId="0" fontId="82" fillId="28" borderId="35" xfId="0" applyFont="1" applyFill="1" applyBorder="1" applyAlignment="1">
      <alignment horizontal="right" wrapText="1"/>
    </xf>
    <xf numFmtId="4" fontId="82" fillId="28" borderId="35" xfId="0" applyNumberFormat="1" applyFont="1" applyFill="1" applyBorder="1" applyAlignment="1">
      <alignment horizontal="right" wrapText="1"/>
    </xf>
    <xf numFmtId="3" fontId="82" fillId="28" borderId="31" xfId="0" applyNumberFormat="1" applyFont="1" applyFill="1" applyBorder="1" applyAlignment="1">
      <alignment horizontal="right" wrapText="1"/>
    </xf>
    <xf numFmtId="3" fontId="82" fillId="28" borderId="36" xfId="0" applyNumberFormat="1" applyFont="1" applyFill="1" applyBorder="1" applyAlignment="1">
      <alignment horizontal="right" wrapText="1"/>
    </xf>
    <xf numFmtId="0" fontId="82" fillId="28" borderId="36" xfId="0" applyFont="1" applyFill="1" applyBorder="1"/>
    <xf numFmtId="0" fontId="82" fillId="28" borderId="45" xfId="0" applyFont="1" applyFill="1" applyBorder="1" applyAlignment="1">
      <alignment horizontal="left" wrapText="1"/>
    </xf>
    <xf numFmtId="0" fontId="82" fillId="28" borderId="37" xfId="0" applyFont="1" applyFill="1" applyBorder="1" applyAlignment="1">
      <alignment horizontal="left" wrapText="1"/>
    </xf>
    <xf numFmtId="0" fontId="82" fillId="28" borderId="37" xfId="0" applyFont="1" applyFill="1" applyBorder="1" applyAlignment="1">
      <alignment horizontal="right" wrapText="1"/>
    </xf>
    <xf numFmtId="4" fontId="82" fillId="28" borderId="37" xfId="0" applyNumberFormat="1" applyFont="1" applyFill="1" applyBorder="1" applyAlignment="1">
      <alignment horizontal="right" wrapText="1"/>
    </xf>
    <xf numFmtId="3" fontId="82" fillId="28" borderId="38" xfId="0" applyNumberFormat="1" applyFont="1" applyFill="1" applyBorder="1" applyAlignment="1">
      <alignment horizontal="right" wrapText="1"/>
    </xf>
    <xf numFmtId="3" fontId="82" fillId="28" borderId="39" xfId="0" applyNumberFormat="1" applyFont="1" applyFill="1" applyBorder="1" applyAlignment="1">
      <alignment horizontal="right" wrapText="1"/>
    </xf>
    <xf numFmtId="3" fontId="78" fillId="28" borderId="37" xfId="0" applyNumberFormat="1" applyFont="1" applyFill="1" applyBorder="1" applyAlignment="1">
      <alignment horizontal="right"/>
    </xf>
    <xf numFmtId="0" fontId="82" fillId="28" borderId="39" xfId="0" applyFont="1" applyFill="1" applyBorder="1"/>
    <xf numFmtId="0" fontId="78" fillId="3" borderId="8" xfId="0" applyFont="1" applyFill="1" applyBorder="1"/>
    <xf numFmtId="0" fontId="78" fillId="3" borderId="10" xfId="0" applyFont="1" applyFill="1" applyBorder="1" applyAlignment="1">
      <alignment horizontal="right"/>
    </xf>
    <xf numFmtId="0" fontId="78" fillId="3" borderId="11" xfId="0" applyFont="1" applyFill="1" applyBorder="1" applyAlignment="1">
      <alignment horizontal="right"/>
    </xf>
    <xf numFmtId="3" fontId="78" fillId="3" borderId="12" xfId="0" applyNumberFormat="1" applyFont="1" applyFill="1" applyBorder="1" applyAlignment="1">
      <alignment horizontal="right"/>
    </xf>
    <xf numFmtId="0" fontId="82" fillId="28" borderId="43" xfId="0" applyFont="1" applyFill="1" applyBorder="1" applyAlignment="1">
      <alignment horizontal="left" wrapText="1"/>
    </xf>
    <xf numFmtId="3" fontId="82" fillId="28" borderId="32" xfId="0" applyNumberFormat="1" applyFont="1" applyFill="1" applyBorder="1" applyAlignment="1">
      <alignment horizontal="left" wrapText="1"/>
    </xf>
    <xf numFmtId="169" fontId="82" fillId="28" borderId="40" xfId="42" applyNumberFormat="1" applyFont="1" applyFill="1" applyBorder="1" applyAlignment="1" applyProtection="1">
      <alignment horizontal="left" wrapText="1"/>
    </xf>
    <xf numFmtId="3" fontId="82" fillId="28" borderId="32" xfId="0" applyNumberFormat="1" applyFont="1" applyFill="1" applyBorder="1" applyAlignment="1">
      <alignment horizontal="right" wrapText="1"/>
    </xf>
    <xf numFmtId="9" fontId="82" fillId="28" borderId="34" xfId="49" applyFont="1" applyFill="1" applyBorder="1"/>
    <xf numFmtId="3" fontId="82" fillId="3" borderId="35" xfId="0" applyNumberFormat="1" applyFont="1" applyFill="1" applyBorder="1" applyAlignment="1">
      <alignment horizontal="left" wrapText="1"/>
    </xf>
    <xf numFmtId="169" fontId="82" fillId="3" borderId="41" xfId="42" applyNumberFormat="1" applyFont="1" applyFill="1" applyBorder="1" applyAlignment="1" applyProtection="1">
      <alignment horizontal="left" wrapText="1"/>
    </xf>
    <xf numFmtId="3" fontId="82" fillId="3" borderId="35" xfId="0" applyNumberFormat="1" applyFont="1" applyFill="1" applyBorder="1" applyAlignment="1">
      <alignment horizontal="right" wrapText="1"/>
    </xf>
    <xf numFmtId="9" fontId="82" fillId="3" borderId="36" xfId="49" applyFont="1" applyFill="1" applyBorder="1"/>
    <xf numFmtId="3" fontId="82" fillId="28" borderId="35" xfId="0" applyNumberFormat="1" applyFont="1" applyFill="1" applyBorder="1" applyAlignment="1">
      <alignment horizontal="left" wrapText="1"/>
    </xf>
    <xf numFmtId="169" fontId="82" fillId="28" borderId="41" xfId="42" applyNumberFormat="1" applyFont="1" applyFill="1" applyBorder="1" applyAlignment="1" applyProtection="1">
      <alignment horizontal="left" wrapText="1"/>
    </xf>
    <xf numFmtId="3" fontId="82" fillId="28" borderId="35" xfId="0" applyNumberFormat="1" applyFont="1" applyFill="1" applyBorder="1" applyAlignment="1">
      <alignment horizontal="right" wrapText="1"/>
    </xf>
    <xf numFmtId="9" fontId="82" fillId="28" borderId="36" xfId="49" applyFont="1" applyFill="1" applyBorder="1"/>
    <xf numFmtId="0" fontId="83" fillId="3" borderId="47" xfId="0" applyFont="1" applyFill="1" applyBorder="1" applyAlignment="1">
      <alignment wrapText="1"/>
    </xf>
    <xf numFmtId="0" fontId="83" fillId="3" borderId="35" xfId="0" applyFont="1" applyFill="1" applyBorder="1" applyAlignment="1">
      <alignment horizontal="left" wrapText="1"/>
    </xf>
    <xf numFmtId="9" fontId="83" fillId="3" borderId="41" xfId="49" applyFont="1" applyFill="1" applyBorder="1" applyAlignment="1" applyProtection="1">
      <alignment horizontal="left" wrapText="1"/>
    </xf>
    <xf numFmtId="9" fontId="83" fillId="3" borderId="35" xfId="49" applyFont="1" applyFill="1" applyBorder="1" applyAlignment="1" applyProtection="1">
      <alignment horizontal="right" wrapText="1"/>
    </xf>
    <xf numFmtId="9" fontId="83" fillId="3" borderId="31" xfId="49" applyFont="1" applyFill="1" applyBorder="1" applyAlignment="1" applyProtection="1">
      <alignment horizontal="right" wrapText="1"/>
    </xf>
    <xf numFmtId="9" fontId="83" fillId="3" borderId="36" xfId="49" applyFont="1" applyFill="1" applyBorder="1" applyAlignment="1" applyProtection="1">
      <alignment horizontal="right" wrapText="1"/>
    </xf>
    <xf numFmtId="9" fontId="77" fillId="3" borderId="35" xfId="49" applyFont="1" applyFill="1" applyBorder="1" applyAlignment="1">
      <alignment horizontal="right"/>
    </xf>
    <xf numFmtId="9" fontId="83" fillId="3" borderId="36" xfId="49" applyFont="1" applyFill="1" applyBorder="1"/>
    <xf numFmtId="0" fontId="83" fillId="3" borderId="72" xfId="0" applyFont="1" applyFill="1" applyBorder="1" applyAlignment="1">
      <alignment wrapText="1"/>
    </xf>
    <xf numFmtId="0" fontId="83" fillId="3" borderId="49" xfId="0" applyFont="1" applyFill="1" applyBorder="1" applyAlignment="1">
      <alignment horizontal="left" wrapText="1"/>
    </xf>
    <xf numFmtId="9" fontId="83" fillId="3" borderId="70" xfId="49" applyFont="1" applyFill="1" applyBorder="1" applyAlignment="1" applyProtection="1">
      <alignment horizontal="left" wrapText="1"/>
    </xf>
    <xf numFmtId="9" fontId="83" fillId="3" borderId="49" xfId="49" applyFont="1" applyFill="1" applyBorder="1" applyAlignment="1" applyProtection="1">
      <alignment horizontal="right" wrapText="1"/>
    </xf>
    <xf numFmtId="9" fontId="83" fillId="3" borderId="50" xfId="49" applyFont="1" applyFill="1" applyBorder="1" applyAlignment="1" applyProtection="1">
      <alignment horizontal="right" wrapText="1"/>
    </xf>
    <xf numFmtId="9" fontId="83" fillId="3" borderId="51" xfId="49" applyFont="1" applyFill="1" applyBorder="1" applyAlignment="1" applyProtection="1">
      <alignment horizontal="right" wrapText="1"/>
    </xf>
    <xf numFmtId="9" fontId="77" fillId="3" borderId="49" xfId="49" applyFont="1" applyFill="1" applyBorder="1" applyAlignment="1">
      <alignment horizontal="right"/>
    </xf>
    <xf numFmtId="9" fontId="83" fillId="3" borderId="51" xfId="49" applyFont="1" applyFill="1" applyBorder="1"/>
    <xf numFmtId="0" fontId="83" fillId="2" borderId="0" xfId="0" applyFont="1" applyFill="1"/>
    <xf numFmtId="0" fontId="78" fillId="28" borderId="45" xfId="0" applyFont="1" applyFill="1" applyBorder="1" applyAlignment="1">
      <alignment horizontal="left" wrapText="1"/>
    </xf>
    <xf numFmtId="3" fontId="78" fillId="28" borderId="37" xfId="0" applyNumberFormat="1" applyFont="1" applyFill="1" applyBorder="1" applyAlignment="1">
      <alignment horizontal="left" wrapText="1"/>
    </xf>
    <xf numFmtId="169" fontId="78" fillId="28" borderId="42" xfId="42" applyNumberFormat="1" applyFont="1" applyFill="1" applyBorder="1" applyAlignment="1" applyProtection="1">
      <alignment horizontal="left" wrapText="1"/>
    </xf>
    <xf numFmtId="3" fontId="78" fillId="28" borderId="37" xfId="0" applyNumberFormat="1" applyFont="1" applyFill="1" applyBorder="1" applyAlignment="1">
      <alignment horizontal="right" wrapText="1"/>
    </xf>
    <xf numFmtId="3" fontId="78" fillId="28" borderId="38" xfId="0" applyNumberFormat="1" applyFont="1" applyFill="1" applyBorder="1" applyAlignment="1">
      <alignment horizontal="right" wrapText="1"/>
    </xf>
    <xf numFmtId="3" fontId="78" fillId="28" borderId="39" xfId="0" applyNumberFormat="1" applyFont="1" applyFill="1" applyBorder="1" applyAlignment="1">
      <alignment horizontal="right" wrapText="1"/>
    </xf>
    <xf numFmtId="9" fontId="78" fillId="28" borderId="39" xfId="49" applyFont="1" applyFill="1" applyBorder="1"/>
    <xf numFmtId="0" fontId="83" fillId="3" borderId="45" xfId="0" applyFont="1" applyFill="1" applyBorder="1" applyAlignment="1">
      <alignment wrapText="1"/>
    </xf>
    <xf numFmtId="0" fontId="83" fillId="3" borderId="37" xfId="0" applyFont="1" applyFill="1" applyBorder="1" applyAlignment="1">
      <alignment horizontal="left" wrapText="1"/>
    </xf>
    <xf numFmtId="9" fontId="83" fillId="3" borderId="42" xfId="49" applyFont="1" applyFill="1" applyBorder="1" applyAlignment="1" applyProtection="1">
      <alignment horizontal="left" wrapText="1"/>
    </xf>
    <xf numFmtId="9" fontId="83" fillId="3" borderId="37" xfId="49" applyFont="1" applyFill="1" applyBorder="1" applyAlignment="1" applyProtection="1">
      <alignment horizontal="right" wrapText="1"/>
    </xf>
    <xf numFmtId="9" fontId="83" fillId="3" borderId="38" xfId="49" applyFont="1" applyFill="1" applyBorder="1" applyAlignment="1" applyProtection="1">
      <alignment horizontal="right" wrapText="1"/>
    </xf>
    <xf numFmtId="9" fontId="83" fillId="3" borderId="39" xfId="49" applyFont="1" applyFill="1" applyBorder="1" applyAlignment="1" applyProtection="1">
      <alignment horizontal="right" wrapText="1"/>
    </xf>
    <xf numFmtId="9" fontId="77" fillId="3" borderId="37" xfId="49" applyFont="1" applyFill="1" applyBorder="1" applyAlignment="1">
      <alignment horizontal="right"/>
    </xf>
    <xf numFmtId="9" fontId="83" fillId="3" borderId="39" xfId="49" applyFont="1" applyFill="1" applyBorder="1"/>
    <xf numFmtId="2" fontId="0" fillId="35" borderId="0" xfId="0" applyNumberFormat="1" applyFill="1" applyAlignment="1">
      <alignment horizontal="left" readingOrder="1"/>
    </xf>
    <xf numFmtId="1" fontId="0" fillId="0" borderId="0" xfId="0" applyNumberFormat="1" applyAlignment="1">
      <alignment horizontal="left" readingOrder="1"/>
    </xf>
    <xf numFmtId="165" fontId="71" fillId="2" borderId="0" xfId="42" applyFont="1" applyFill="1"/>
    <xf numFmtId="0" fontId="71" fillId="2" borderId="0" xfId="0" applyFont="1" applyFill="1"/>
    <xf numFmtId="3" fontId="23" fillId="3" borderId="7" xfId="0" applyNumberFormat="1" applyFont="1" applyFill="1" applyBorder="1" applyAlignment="1">
      <alignment horizontal="right"/>
    </xf>
    <xf numFmtId="0" fontId="0" fillId="0" borderId="74" xfId="0" applyBorder="1" applyAlignment="1">
      <alignment wrapText="1"/>
    </xf>
    <xf numFmtId="3" fontId="0" fillId="28" borderId="98" xfId="0" applyNumberFormat="1" applyFill="1" applyBorder="1" applyAlignment="1">
      <alignment horizontal="right"/>
    </xf>
    <xf numFmtId="0" fontId="0" fillId="3" borderId="74" xfId="0" applyFill="1" applyBorder="1"/>
    <xf numFmtId="3" fontId="0" fillId="3" borderId="98" xfId="0" applyNumberFormat="1" applyFill="1" applyBorder="1" applyAlignment="1">
      <alignment horizontal="right"/>
    </xf>
    <xf numFmtId="169" fontId="0" fillId="2" borderId="0" xfId="42" applyNumberFormat="1" applyFont="1" applyFill="1"/>
    <xf numFmtId="0" fontId="0" fillId="0" borderId="74" xfId="0" applyBorder="1"/>
    <xf numFmtId="0" fontId="23" fillId="3" borderId="74" xfId="0" applyFont="1" applyFill="1" applyBorder="1"/>
    <xf numFmtId="3" fontId="23" fillId="3" borderId="74" xfId="0" applyNumberFormat="1" applyFont="1" applyFill="1" applyBorder="1" applyAlignment="1">
      <alignment horizontal="right"/>
    </xf>
    <xf numFmtId="3" fontId="23" fillId="3" borderId="75" xfId="0" applyNumberFormat="1" applyFont="1" applyFill="1" applyBorder="1" applyAlignment="1">
      <alignment horizontal="right"/>
    </xf>
    <xf numFmtId="3" fontId="23" fillId="3" borderId="99" xfId="0" applyNumberFormat="1" applyFont="1" applyFill="1" applyBorder="1" applyAlignment="1">
      <alignment horizontal="right"/>
    </xf>
    <xf numFmtId="169" fontId="23" fillId="2" borderId="0" xfId="42" applyNumberFormat="1" applyFont="1" applyFill="1"/>
    <xf numFmtId="0" fontId="23" fillId="2" borderId="0" xfId="0" applyFont="1" applyFill="1"/>
    <xf numFmtId="3" fontId="23" fillId="3" borderId="35" xfId="0" applyNumberFormat="1" applyFont="1" applyFill="1" applyBorder="1" applyAlignment="1">
      <alignment horizontal="right"/>
    </xf>
    <xf numFmtId="3" fontId="23" fillId="3" borderId="31" xfId="0" applyNumberFormat="1" applyFont="1" applyFill="1" applyBorder="1" applyAlignment="1">
      <alignment horizontal="right"/>
    </xf>
    <xf numFmtId="3" fontId="23" fillId="3" borderId="36" xfId="0" applyNumberFormat="1" applyFont="1" applyFill="1" applyBorder="1" applyAlignment="1">
      <alignment horizontal="right"/>
    </xf>
    <xf numFmtId="168" fontId="77" fillId="37" borderId="53" xfId="49" applyNumberFormat="1" applyFont="1" applyFill="1" applyBorder="1" applyAlignment="1" applyProtection="1">
      <alignment horizontal="right" wrapText="1"/>
    </xf>
    <xf numFmtId="0" fontId="43" fillId="3" borderId="35" xfId="0" applyFont="1" applyFill="1" applyBorder="1" applyAlignment="1">
      <alignment wrapText="1"/>
    </xf>
    <xf numFmtId="0" fontId="43" fillId="0" borderId="0" xfId="0" applyFont="1"/>
    <xf numFmtId="3" fontId="0" fillId="0" borderId="77" xfId="0" applyNumberFormat="1" applyBorder="1" applyAlignment="1">
      <alignment horizontal="right"/>
    </xf>
    <xf numFmtId="3" fontId="0" fillId="3" borderId="77" xfId="0" applyNumberFormat="1" applyFill="1" applyBorder="1" applyAlignment="1">
      <alignment horizontal="right"/>
    </xf>
    <xf numFmtId="3" fontId="23" fillId="5" borderId="77" xfId="0" applyNumberFormat="1" applyFont="1" applyFill="1" applyBorder="1" applyAlignment="1">
      <alignment horizontal="right"/>
    </xf>
    <xf numFmtId="3" fontId="23" fillId="5" borderId="83" xfId="0" applyNumberFormat="1" applyFont="1" applyFill="1" applyBorder="1" applyAlignment="1">
      <alignment horizontal="right"/>
    </xf>
    <xf numFmtId="3" fontId="0" fillId="0" borderId="98" xfId="0" applyNumberFormat="1" applyBorder="1"/>
    <xf numFmtId="3" fontId="0" fillId="3" borderId="98" xfId="0" applyNumberFormat="1" applyFill="1" applyBorder="1"/>
    <xf numFmtId="0" fontId="43" fillId="28" borderId="0" xfId="0" applyFont="1" applyFill="1" applyAlignment="1">
      <alignment horizontal="left" wrapText="1"/>
    </xf>
    <xf numFmtId="3" fontId="43" fillId="28" borderId="0" xfId="0" applyNumberFormat="1" applyFont="1" applyFill="1" applyAlignment="1">
      <alignment horizontal="right" wrapText="1"/>
    </xf>
    <xf numFmtId="9" fontId="43" fillId="28" borderId="0" xfId="49" applyFont="1" applyFill="1" applyBorder="1"/>
    <xf numFmtId="169" fontId="79" fillId="36" borderId="9" xfId="42" applyNumberFormat="1" applyFont="1" applyFill="1" applyBorder="1" applyAlignment="1" applyProtection="1">
      <alignment horizontal="left" wrapText="1"/>
    </xf>
    <xf numFmtId="169" fontId="43" fillId="3" borderId="55" xfId="42" applyNumberFormat="1" applyFont="1" applyFill="1" applyBorder="1" applyAlignment="1" applyProtection="1">
      <alignment horizontal="left" wrapText="1"/>
    </xf>
    <xf numFmtId="0" fontId="44" fillId="0" borderId="0" xfId="0" applyFont="1"/>
    <xf numFmtId="3" fontId="44" fillId="0" borderId="0" xfId="0" applyNumberFormat="1" applyFont="1" applyAlignment="1">
      <alignment horizontal="right"/>
    </xf>
    <xf numFmtId="9" fontId="44" fillId="0" borderId="0" xfId="0" applyNumberFormat="1" applyFont="1" applyAlignment="1">
      <alignment horizontal="center"/>
    </xf>
    <xf numFmtId="10" fontId="77" fillId="37" borderId="9" xfId="49" applyNumberFormat="1" applyFont="1" applyFill="1" applyBorder="1" applyAlignment="1" applyProtection="1">
      <alignment horizontal="right" wrapText="1"/>
    </xf>
    <xf numFmtId="10" fontId="77" fillId="37" borderId="53" xfId="49" applyNumberFormat="1" applyFont="1" applyFill="1" applyBorder="1" applyAlignment="1" applyProtection="1">
      <alignment horizontal="right" wrapText="1"/>
    </xf>
    <xf numFmtId="10" fontId="77" fillId="37" borderId="54" xfId="49" applyNumberFormat="1" applyFont="1" applyFill="1" applyBorder="1" applyAlignment="1" applyProtection="1">
      <alignment horizontal="right" wrapText="1"/>
    </xf>
    <xf numFmtId="10" fontId="43" fillId="3" borderId="31" xfId="49" applyNumberFormat="1" applyFont="1" applyFill="1" applyBorder="1" applyAlignment="1" applyProtection="1">
      <alignment horizontal="right" wrapText="1"/>
    </xf>
    <xf numFmtId="10" fontId="43" fillId="3" borderId="36" xfId="49" applyNumberFormat="1" applyFont="1" applyFill="1" applyBorder="1" applyAlignment="1" applyProtection="1">
      <alignment horizontal="right" wrapText="1"/>
    </xf>
    <xf numFmtId="0" fontId="75" fillId="0" borderId="0" xfId="0" applyFont="1"/>
    <xf numFmtId="2" fontId="73" fillId="0" borderId="0" xfId="0" applyNumberFormat="1" applyFont="1" applyAlignment="1">
      <alignment readingOrder="1"/>
    </xf>
    <xf numFmtId="0" fontId="48" fillId="3" borderId="9" xfId="0" applyFont="1" applyFill="1" applyBorder="1"/>
    <xf numFmtId="3" fontId="48" fillId="3" borderId="52" xfId="0" applyNumberFormat="1" applyFont="1" applyFill="1" applyBorder="1" applyAlignment="1">
      <alignment horizontal="right"/>
    </xf>
    <xf numFmtId="3" fontId="48" fillId="3" borderId="54" xfId="0" applyNumberFormat="1" applyFont="1" applyFill="1" applyBorder="1"/>
    <xf numFmtId="3" fontId="48" fillId="3" borderId="63" xfId="0" applyNumberFormat="1" applyFont="1" applyFill="1" applyBorder="1"/>
    <xf numFmtId="3" fontId="48" fillId="3" borderId="53" xfId="0" applyNumberFormat="1" applyFont="1" applyFill="1" applyBorder="1"/>
    <xf numFmtId="3" fontId="48" fillId="3" borderId="53" xfId="0" applyNumberFormat="1" applyFont="1" applyFill="1" applyBorder="1" applyAlignment="1">
      <alignment horizontal="right"/>
    </xf>
    <xf numFmtId="3" fontId="48" fillId="3" borderId="54" xfId="0" applyNumberFormat="1" applyFont="1" applyFill="1" applyBorder="1" applyAlignment="1">
      <alignment horizontal="right"/>
    </xf>
    <xf numFmtId="9" fontId="43" fillId="2" borderId="0" xfId="49" applyFont="1" applyFill="1"/>
    <xf numFmtId="9" fontId="43" fillId="3" borderId="54" xfId="49" applyFont="1" applyFill="1" applyBorder="1" applyAlignment="1">
      <alignment horizontal="center"/>
    </xf>
    <xf numFmtId="9" fontId="71" fillId="3" borderId="47" xfId="0" applyNumberFormat="1" applyFont="1" applyFill="1" applyBorder="1" applyAlignment="1">
      <alignment horizontal="center"/>
    </xf>
    <xf numFmtId="174" fontId="71" fillId="2" borderId="0" xfId="0" applyNumberFormat="1" applyFont="1" applyFill="1"/>
    <xf numFmtId="174" fontId="49" fillId="28" borderId="44" xfId="0" applyNumberFormat="1" applyFont="1" applyFill="1" applyBorder="1" applyAlignment="1">
      <alignment horizontal="right"/>
    </xf>
    <xf numFmtId="174" fontId="49" fillId="3" borderId="44" xfId="0" applyNumberFormat="1" applyFont="1" applyFill="1" applyBorder="1" applyAlignment="1">
      <alignment horizontal="right"/>
    </xf>
    <xf numFmtId="174" fontId="71" fillId="3" borderId="47" xfId="0" applyNumberFormat="1" applyFont="1" applyFill="1" applyBorder="1" applyAlignment="1">
      <alignment horizontal="right"/>
    </xf>
    <xf numFmtId="174" fontId="71" fillId="28" borderId="47" xfId="0" applyNumberFormat="1" applyFont="1" applyFill="1" applyBorder="1" applyAlignment="1">
      <alignment horizontal="right"/>
    </xf>
    <xf numFmtId="9" fontId="71" fillId="28" borderId="47" xfId="0" applyNumberFormat="1" applyFont="1" applyFill="1" applyBorder="1" applyAlignment="1">
      <alignment horizontal="center"/>
    </xf>
    <xf numFmtId="174" fontId="71" fillId="0" borderId="43" xfId="0" applyNumberFormat="1" applyFont="1" applyBorder="1" applyAlignment="1">
      <alignment horizontal="right"/>
    </xf>
    <xf numFmtId="174" fontId="71" fillId="0" borderId="46" xfId="0" applyNumberFormat="1" applyFont="1" applyBorder="1"/>
    <xf numFmtId="174" fontId="71" fillId="28" borderId="46" xfId="0" applyNumberFormat="1" applyFont="1" applyFill="1" applyBorder="1" applyAlignment="1">
      <alignment horizontal="right"/>
    </xf>
    <xf numFmtId="9" fontId="71" fillId="28" borderId="46" xfId="0" applyNumberFormat="1" applyFont="1" applyFill="1" applyBorder="1" applyAlignment="1">
      <alignment horizontal="center"/>
    </xf>
    <xf numFmtId="174" fontId="71" fillId="0" borderId="72" xfId="0" applyNumberFormat="1" applyFont="1" applyBorder="1" applyAlignment="1">
      <alignment horizontal="right"/>
    </xf>
    <xf numFmtId="174" fontId="71" fillId="0" borderId="48" xfId="0" applyNumberFormat="1" applyFont="1" applyBorder="1"/>
    <xf numFmtId="174" fontId="71" fillId="28" borderId="48" xfId="0" applyNumberFormat="1" applyFont="1" applyFill="1" applyBorder="1" applyAlignment="1">
      <alignment horizontal="right"/>
    </xf>
    <xf numFmtId="9" fontId="71" fillId="28" borderId="48" xfId="0" applyNumberFormat="1" applyFont="1" applyFill="1" applyBorder="1" applyAlignment="1">
      <alignment horizontal="center"/>
    </xf>
    <xf numFmtId="0" fontId="49" fillId="0" borderId="46" xfId="0" applyFont="1" applyBorder="1"/>
    <xf numFmtId="0" fontId="49" fillId="0" borderId="96" xfId="0" applyFont="1" applyBorder="1"/>
    <xf numFmtId="174" fontId="71" fillId="0" borderId="45" xfId="0" applyNumberFormat="1" applyFont="1" applyBorder="1" applyAlignment="1">
      <alignment horizontal="right"/>
    </xf>
    <xf numFmtId="174" fontId="71" fillId="0" borderId="96" xfId="0" applyNumberFormat="1" applyFont="1" applyBorder="1"/>
    <xf numFmtId="174" fontId="71" fillId="28" borderId="96" xfId="0" applyNumberFormat="1" applyFont="1" applyFill="1" applyBorder="1" applyAlignment="1">
      <alignment horizontal="right"/>
    </xf>
    <xf numFmtId="9" fontId="71" fillId="28" borderId="96" xfId="0" applyNumberFormat="1" applyFont="1" applyFill="1" applyBorder="1" applyAlignment="1">
      <alignment horizontal="center"/>
    </xf>
    <xf numFmtId="174" fontId="71" fillId="2" borderId="17" xfId="0" applyNumberFormat="1" applyFont="1" applyFill="1" applyBorder="1"/>
    <xf numFmtId="174" fontId="71" fillId="2" borderId="17" xfId="0" applyNumberFormat="1" applyFont="1" applyFill="1" applyBorder="1" applyAlignment="1">
      <alignment horizontal="right"/>
    </xf>
    <xf numFmtId="9" fontId="71" fillId="2" borderId="17" xfId="0" applyNumberFormat="1" applyFont="1" applyFill="1" applyBorder="1" applyAlignment="1">
      <alignment horizontal="center"/>
    </xf>
    <xf numFmtId="0" fontId="49" fillId="28" borderId="0" xfId="0" applyFont="1" applyFill="1"/>
    <xf numFmtId="174" fontId="49" fillId="28" borderId="0" xfId="0" applyNumberFormat="1" applyFont="1" applyFill="1" applyAlignment="1">
      <alignment horizontal="right"/>
    </xf>
    <xf numFmtId="174" fontId="49" fillId="28" borderId="17" xfId="0" applyNumberFormat="1" applyFont="1" applyFill="1" applyBorder="1" applyAlignment="1">
      <alignment horizontal="right"/>
    </xf>
    <xf numFmtId="9" fontId="71" fillId="28" borderId="17" xfId="0" applyNumberFormat="1" applyFont="1" applyFill="1" applyBorder="1" applyAlignment="1">
      <alignment horizontal="center"/>
    </xf>
    <xf numFmtId="1" fontId="0" fillId="35" borderId="0" xfId="0" applyNumberFormat="1" applyFill="1" applyAlignment="1">
      <alignment horizontal="left" readingOrder="1"/>
    </xf>
    <xf numFmtId="175" fontId="0" fillId="35" borderId="0" xfId="0" applyNumberFormat="1" applyFill="1" applyAlignment="1">
      <alignment horizontal="left" readingOrder="1"/>
    </xf>
    <xf numFmtId="3" fontId="82" fillId="28" borderId="0" xfId="0" applyNumberFormat="1" applyFont="1" applyFill="1"/>
    <xf numFmtId="9" fontId="82" fillId="2" borderId="0" xfId="49" applyFont="1" applyFill="1"/>
    <xf numFmtId="168" fontId="83" fillId="3" borderId="47" xfId="49" applyNumberFormat="1" applyFont="1" applyFill="1" applyBorder="1" applyAlignment="1">
      <alignment wrapText="1"/>
    </xf>
    <xf numFmtId="168" fontId="83" fillId="3" borderId="35" xfId="49" applyNumberFormat="1" applyFont="1" applyFill="1" applyBorder="1" applyAlignment="1" applyProtection="1">
      <alignment horizontal="left" wrapText="1"/>
    </xf>
    <xf numFmtId="168" fontId="83" fillId="3" borderId="35" xfId="49" applyNumberFormat="1" applyFont="1" applyFill="1" applyBorder="1" applyAlignment="1" applyProtection="1">
      <alignment horizontal="right" wrapText="1"/>
    </xf>
    <xf numFmtId="168" fontId="83" fillId="3" borderId="31" xfId="49" applyNumberFormat="1" applyFont="1" applyFill="1" applyBorder="1" applyAlignment="1" applyProtection="1">
      <alignment horizontal="right" wrapText="1"/>
    </xf>
    <xf numFmtId="168" fontId="83" fillId="3" borderId="36" xfId="49" applyNumberFormat="1" applyFont="1" applyFill="1" applyBorder="1" applyAlignment="1" applyProtection="1">
      <alignment horizontal="right" wrapText="1"/>
    </xf>
    <xf numFmtId="168" fontId="77" fillId="3" borderId="35" xfId="49" applyNumberFormat="1" applyFont="1" applyFill="1" applyBorder="1" applyAlignment="1">
      <alignment horizontal="right"/>
    </xf>
    <xf numFmtId="168" fontId="83" fillId="3" borderId="36" xfId="49" applyNumberFormat="1" applyFont="1" applyFill="1" applyBorder="1"/>
    <xf numFmtId="168" fontId="82" fillId="2" borderId="0" xfId="49" applyNumberFormat="1" applyFont="1" applyFill="1"/>
    <xf numFmtId="9" fontId="83" fillId="3" borderId="72" xfId="49" applyFont="1" applyFill="1" applyBorder="1" applyAlignment="1">
      <alignment wrapText="1"/>
    </xf>
    <xf numFmtId="9" fontId="83" fillId="3" borderId="49" xfId="49" applyFont="1" applyFill="1" applyBorder="1" applyAlignment="1" applyProtection="1">
      <alignment horizontal="left" wrapText="1"/>
    </xf>
    <xf numFmtId="9" fontId="83" fillId="2" borderId="0" xfId="49" applyFont="1" applyFill="1"/>
    <xf numFmtId="0" fontId="86" fillId="2" borderId="0" xfId="0" applyFont="1" applyFill="1"/>
    <xf numFmtId="0" fontId="87" fillId="2" borderId="0" xfId="0" applyFont="1" applyFill="1"/>
    <xf numFmtId="0" fontId="87" fillId="2" borderId="0" xfId="0" applyFont="1" applyFill="1" applyAlignment="1">
      <alignment horizontal="left"/>
    </xf>
    <xf numFmtId="0" fontId="88" fillId="2" borderId="0" xfId="0" applyFont="1" applyFill="1"/>
    <xf numFmtId="177" fontId="86" fillId="2" borderId="0" xfId="0" applyNumberFormat="1" applyFont="1" applyFill="1" applyAlignment="1">
      <alignment horizontal="right"/>
    </xf>
    <xf numFmtId="3" fontId="71" fillId="2" borderId="0" xfId="0" applyNumberFormat="1" applyFont="1" applyFill="1"/>
    <xf numFmtId="0" fontId="71" fillId="3" borderId="1" xfId="0" applyFont="1" applyFill="1" applyBorder="1"/>
    <xf numFmtId="0" fontId="49" fillId="3" borderId="14" xfId="0" applyFont="1" applyFill="1" applyBorder="1"/>
    <xf numFmtId="174" fontId="49" fillId="3" borderId="7" xfId="0" applyNumberFormat="1" applyFont="1" applyFill="1" applyBorder="1" applyAlignment="1">
      <alignment horizontal="right"/>
    </xf>
    <xf numFmtId="0" fontId="71" fillId="0" borderId="0" xfId="0" applyFont="1"/>
    <xf numFmtId="174" fontId="71" fillId="0" borderId="0" xfId="0" applyNumberFormat="1" applyFont="1"/>
    <xf numFmtId="0" fontId="71" fillId="28" borderId="55" xfId="0" applyFont="1" applyFill="1" applyBorder="1"/>
    <xf numFmtId="174" fontId="71" fillId="28" borderId="71" xfId="0" applyNumberFormat="1" applyFont="1" applyFill="1" applyBorder="1" applyAlignment="1">
      <alignment horizontal="right"/>
    </xf>
    <xf numFmtId="174" fontId="71" fillId="28" borderId="55" xfId="0" applyNumberFormat="1" applyFont="1" applyFill="1" applyBorder="1"/>
    <xf numFmtId="176" fontId="71" fillId="28" borderId="64" xfId="42" applyNumberFormat="1" applyFont="1" applyFill="1" applyBorder="1" applyAlignment="1"/>
    <xf numFmtId="174" fontId="71" fillId="28" borderId="55" xfId="0" applyNumberFormat="1" applyFont="1" applyFill="1" applyBorder="1" applyAlignment="1">
      <alignment horizontal="right"/>
    </xf>
    <xf numFmtId="168" fontId="71" fillId="28" borderId="55" xfId="49" applyNumberFormat="1" applyFont="1" applyFill="1" applyBorder="1" applyAlignment="1">
      <alignment horizontal="center"/>
    </xf>
    <xf numFmtId="0" fontId="71" fillId="3" borderId="47" xfId="0" applyFont="1" applyFill="1" applyBorder="1"/>
    <xf numFmtId="174" fontId="71" fillId="3" borderId="44" xfId="0" applyNumberFormat="1" applyFont="1" applyFill="1" applyBorder="1" applyAlignment="1">
      <alignment horizontal="right"/>
    </xf>
    <xf numFmtId="174" fontId="71" fillId="3" borderId="55" xfId="0" applyNumberFormat="1" applyFont="1" applyFill="1" applyBorder="1"/>
    <xf numFmtId="176" fontId="71" fillId="3" borderId="65" xfId="42" applyNumberFormat="1" applyFont="1" applyFill="1" applyBorder="1" applyAlignment="1"/>
    <xf numFmtId="176" fontId="71" fillId="3" borderId="31" xfId="42" applyNumberFormat="1" applyFont="1" applyFill="1" applyBorder="1" applyAlignment="1"/>
    <xf numFmtId="176" fontId="71" fillId="3" borderId="31" xfId="42" applyNumberFormat="1" applyFont="1" applyFill="1" applyBorder="1" applyAlignment="1">
      <alignment horizontal="right"/>
    </xf>
    <xf numFmtId="176" fontId="71" fillId="3" borderId="41" xfId="42" applyNumberFormat="1" applyFont="1" applyFill="1" applyBorder="1" applyAlignment="1">
      <alignment horizontal="right"/>
    </xf>
    <xf numFmtId="176" fontId="49" fillId="3" borderId="65" xfId="42" applyNumberFormat="1" applyFont="1" applyFill="1" applyBorder="1" applyAlignment="1">
      <alignment horizontal="right"/>
    </xf>
    <xf numFmtId="176" fontId="49" fillId="3" borderId="31" xfId="42" applyNumberFormat="1" applyFont="1" applyFill="1" applyBorder="1" applyAlignment="1">
      <alignment horizontal="right"/>
    </xf>
    <xf numFmtId="176" fontId="49" fillId="3" borderId="41" xfId="42" applyNumberFormat="1" applyFont="1" applyFill="1" applyBorder="1" applyAlignment="1">
      <alignment horizontal="right"/>
    </xf>
    <xf numFmtId="0" fontId="71" fillId="28" borderId="47" xfId="0" applyFont="1" applyFill="1" applyBorder="1"/>
    <xf numFmtId="176" fontId="71" fillId="28" borderId="65" xfId="42" applyNumberFormat="1" applyFont="1" applyFill="1" applyBorder="1" applyAlignment="1">
      <alignment horizontal="right"/>
    </xf>
    <xf numFmtId="0" fontId="71" fillId="3" borderId="47" xfId="0" applyFont="1" applyFill="1" applyBorder="1" applyAlignment="1">
      <alignment horizontal="left"/>
    </xf>
    <xf numFmtId="174" fontId="71" fillId="28" borderId="44" xfId="0" applyNumberFormat="1" applyFont="1" applyFill="1" applyBorder="1" applyAlignment="1">
      <alignment horizontal="right"/>
    </xf>
    <xf numFmtId="176" fontId="71" fillId="2" borderId="0" xfId="42" applyNumberFormat="1" applyFont="1" applyFill="1"/>
    <xf numFmtId="174" fontId="71" fillId="3" borderId="47" xfId="0" applyNumberFormat="1" applyFont="1" applyFill="1" applyBorder="1"/>
    <xf numFmtId="176" fontId="71" fillId="3" borderId="65" xfId="42" applyNumberFormat="1" applyFont="1" applyFill="1" applyBorder="1" applyAlignment="1">
      <alignment horizontal="right"/>
    </xf>
    <xf numFmtId="176" fontId="71" fillId="3" borderId="31" xfId="42" applyNumberFormat="1" applyFont="1" applyFill="1" applyBorder="1"/>
    <xf numFmtId="176" fontId="49" fillId="3" borderId="125" xfId="42" applyNumberFormat="1" applyFont="1" applyFill="1" applyBorder="1" applyAlignment="1">
      <alignment horizontal="right"/>
    </xf>
    <xf numFmtId="176" fontId="49" fillId="3" borderId="18" xfId="42" applyNumberFormat="1" applyFont="1" applyFill="1" applyBorder="1" applyAlignment="1">
      <alignment horizontal="right"/>
    </xf>
    <xf numFmtId="176" fontId="49" fillId="3" borderId="126" xfId="42" applyNumberFormat="1" applyFont="1" applyFill="1" applyBorder="1" applyAlignment="1">
      <alignment horizontal="right"/>
    </xf>
    <xf numFmtId="176" fontId="84" fillId="0" borderId="68" xfId="42" applyNumberFormat="1" applyFont="1" applyFill="1" applyBorder="1" applyAlignment="1">
      <alignment horizontal="right"/>
    </xf>
    <xf numFmtId="176" fontId="84" fillId="0" borderId="33" xfId="42" applyNumberFormat="1" applyFont="1" applyFill="1" applyBorder="1" applyAlignment="1">
      <alignment horizontal="right"/>
    </xf>
    <xf numFmtId="176" fontId="71" fillId="0" borderId="33" xfId="42" applyNumberFormat="1" applyFont="1" applyFill="1" applyBorder="1" applyAlignment="1">
      <alignment horizontal="right"/>
    </xf>
    <xf numFmtId="176" fontId="71" fillId="0" borderId="40" xfId="42" applyNumberFormat="1" applyFont="1" applyFill="1" applyBorder="1" applyAlignment="1">
      <alignment horizontal="right"/>
    </xf>
    <xf numFmtId="176" fontId="84" fillId="0" borderId="66" xfId="42" applyNumberFormat="1" applyFont="1" applyFill="1" applyBorder="1" applyAlignment="1">
      <alignment horizontal="right"/>
    </xf>
    <xf numFmtId="176" fontId="71" fillId="0" borderId="50" xfId="42" applyNumberFormat="1" applyFont="1" applyFill="1" applyBorder="1" applyAlignment="1">
      <alignment horizontal="right"/>
    </xf>
    <xf numFmtId="176" fontId="71" fillId="0" borderId="68" xfId="42" applyNumberFormat="1" applyFont="1" applyFill="1" applyBorder="1" applyAlignment="1">
      <alignment horizontal="right"/>
    </xf>
    <xf numFmtId="176" fontId="71" fillId="0" borderId="69" xfId="42" applyNumberFormat="1" applyFont="1" applyFill="1" applyBorder="1" applyAlignment="1">
      <alignment horizontal="right"/>
    </xf>
    <xf numFmtId="176" fontId="71" fillId="2" borderId="0" xfId="42" applyNumberFormat="1" applyFont="1" applyFill="1" applyBorder="1" applyAlignment="1">
      <alignment horizontal="right"/>
    </xf>
    <xf numFmtId="176" fontId="49" fillId="28" borderId="0" xfId="42" applyNumberFormat="1" applyFont="1" applyFill="1" applyBorder="1" applyAlignment="1">
      <alignment horizontal="right"/>
    </xf>
    <xf numFmtId="4" fontId="71" fillId="2" borderId="0" xfId="0" applyNumberFormat="1" applyFont="1" applyFill="1"/>
    <xf numFmtId="176" fontId="71" fillId="2" borderId="0" xfId="42" applyNumberFormat="1" applyFont="1" applyFill="1" applyAlignment="1">
      <alignment horizontal="right"/>
    </xf>
    <xf numFmtId="0" fontId="89" fillId="5" borderId="9" xfId="0" applyFont="1" applyFill="1" applyBorder="1"/>
    <xf numFmtId="174" fontId="89" fillId="5" borderId="2" xfId="0" applyNumberFormat="1" applyFont="1" applyFill="1" applyBorder="1" applyAlignment="1">
      <alignment horizontal="right"/>
    </xf>
    <xf numFmtId="174" fontId="89" fillId="5" borderId="9" xfId="0" applyNumberFormat="1" applyFont="1" applyFill="1" applyBorder="1" applyAlignment="1">
      <alignment horizontal="right"/>
    </xf>
    <xf numFmtId="176" fontId="89" fillId="5" borderId="63" xfId="42" applyNumberFormat="1" applyFont="1" applyFill="1" applyBorder="1" applyAlignment="1">
      <alignment horizontal="right"/>
    </xf>
    <xf numFmtId="176" fontId="89" fillId="5" borderId="53" xfId="42" applyNumberFormat="1" applyFont="1" applyFill="1" applyBorder="1" applyAlignment="1">
      <alignment horizontal="right"/>
    </xf>
    <xf numFmtId="176" fontId="89" fillId="5" borderId="73" xfId="42" applyNumberFormat="1" applyFont="1" applyFill="1" applyBorder="1" applyAlignment="1">
      <alignment horizontal="right"/>
    </xf>
    <xf numFmtId="9" fontId="89" fillId="5" borderId="9" xfId="0" applyNumberFormat="1" applyFont="1" applyFill="1" applyBorder="1" applyAlignment="1">
      <alignment horizontal="center"/>
    </xf>
    <xf numFmtId="0" fontId="89" fillId="2" borderId="0" xfId="0" applyFont="1" applyFill="1"/>
    <xf numFmtId="0" fontId="89" fillId="28" borderId="47" xfId="0" applyFont="1" applyFill="1" applyBorder="1"/>
    <xf numFmtId="174" fontId="89" fillId="28" borderId="44" xfId="0" applyNumberFormat="1" applyFont="1" applyFill="1" applyBorder="1" applyAlignment="1">
      <alignment horizontal="right"/>
    </xf>
    <xf numFmtId="174" fontId="90" fillId="28" borderId="55" xfId="0" applyNumberFormat="1" applyFont="1" applyFill="1" applyBorder="1"/>
    <xf numFmtId="176" fontId="89" fillId="28" borderId="65" xfId="42" applyNumberFormat="1" applyFont="1" applyFill="1" applyBorder="1" applyAlignment="1">
      <alignment horizontal="right"/>
    </xf>
    <xf numFmtId="176" fontId="89" fillId="28" borderId="31" xfId="42" applyNumberFormat="1" applyFont="1" applyFill="1" applyBorder="1" applyAlignment="1">
      <alignment horizontal="right"/>
    </xf>
    <xf numFmtId="176" fontId="89" fillId="28" borderId="41" xfId="42" applyNumberFormat="1" applyFont="1" applyFill="1" applyBorder="1" applyAlignment="1">
      <alignment horizontal="right"/>
    </xf>
    <xf numFmtId="174" fontId="89" fillId="28" borderId="47" xfId="0" applyNumberFormat="1" applyFont="1" applyFill="1" applyBorder="1" applyAlignment="1">
      <alignment horizontal="right"/>
    </xf>
    <xf numFmtId="9" fontId="90" fillId="28" borderId="47" xfId="0" applyNumberFormat="1" applyFont="1" applyFill="1" applyBorder="1" applyAlignment="1">
      <alignment horizontal="center"/>
    </xf>
    <xf numFmtId="0" fontId="90" fillId="2" borderId="0" xfId="0" applyFont="1" applyFill="1"/>
    <xf numFmtId="0" fontId="89" fillId="3" borderId="47" xfId="0" applyFont="1" applyFill="1" applyBorder="1"/>
    <xf numFmtId="174" fontId="89" fillId="3" borderId="44" xfId="0" applyNumberFormat="1" applyFont="1" applyFill="1" applyBorder="1" applyAlignment="1">
      <alignment horizontal="right"/>
    </xf>
    <xf numFmtId="174" fontId="90" fillId="3" borderId="55" xfId="0" applyNumberFormat="1" applyFont="1" applyFill="1" applyBorder="1"/>
    <xf numFmtId="176" fontId="89" fillId="3" borderId="65" xfId="42" applyNumberFormat="1" applyFont="1" applyFill="1" applyBorder="1" applyAlignment="1">
      <alignment horizontal="right"/>
    </xf>
    <xf numFmtId="176" fontId="89" fillId="3" borderId="31" xfId="42" applyNumberFormat="1" applyFont="1" applyFill="1" applyBorder="1" applyAlignment="1">
      <alignment horizontal="right"/>
    </xf>
    <xf numFmtId="176" fontId="89" fillId="3" borderId="41" xfId="42" applyNumberFormat="1" applyFont="1" applyFill="1" applyBorder="1" applyAlignment="1">
      <alignment horizontal="right"/>
    </xf>
    <xf numFmtId="174" fontId="90" fillId="3" borderId="47" xfId="0" applyNumberFormat="1" applyFont="1" applyFill="1" applyBorder="1" applyAlignment="1">
      <alignment horizontal="right"/>
    </xf>
    <xf numFmtId="9" fontId="90" fillId="3" borderId="47" xfId="0" applyNumberFormat="1" applyFont="1" applyFill="1" applyBorder="1" applyAlignment="1">
      <alignment horizontal="center"/>
    </xf>
    <xf numFmtId="0" fontId="89" fillId="28" borderId="48" xfId="0" applyFont="1" applyFill="1" applyBorder="1"/>
    <xf numFmtId="174" fontId="89" fillId="28" borderId="72" xfId="0" applyNumberFormat="1" applyFont="1" applyFill="1" applyBorder="1" applyAlignment="1">
      <alignment horizontal="right"/>
    </xf>
    <xf numFmtId="174" fontId="89" fillId="28" borderId="48" xfId="0" applyNumberFormat="1" applyFont="1" applyFill="1" applyBorder="1" applyAlignment="1">
      <alignment horizontal="right"/>
    </xf>
    <xf numFmtId="176" fontId="89" fillId="28" borderId="66" xfId="42" applyNumberFormat="1" applyFont="1" applyFill="1" applyBorder="1" applyAlignment="1">
      <alignment horizontal="right"/>
    </xf>
    <xf numFmtId="176" fontId="89" fillId="28" borderId="50" xfId="42" applyNumberFormat="1" applyFont="1" applyFill="1" applyBorder="1" applyAlignment="1">
      <alignment horizontal="right"/>
    </xf>
    <xf numFmtId="176" fontId="89" fillId="28" borderId="70" xfId="42" applyNumberFormat="1" applyFont="1" applyFill="1" applyBorder="1" applyAlignment="1">
      <alignment horizontal="right"/>
    </xf>
    <xf numFmtId="9" fontId="90" fillId="28" borderId="48" xfId="0" applyNumberFormat="1" applyFont="1" applyFill="1" applyBorder="1" applyAlignment="1">
      <alignment horizontal="center"/>
    </xf>
    <xf numFmtId="174" fontId="89" fillId="5" borderId="1" xfId="0" applyNumberFormat="1" applyFont="1" applyFill="1" applyBorder="1" applyAlignment="1">
      <alignment horizontal="right"/>
    </xf>
    <xf numFmtId="174" fontId="89" fillId="5" borderId="7" xfId="0" applyNumberFormat="1" applyFont="1" applyFill="1" applyBorder="1" applyAlignment="1">
      <alignment horizontal="right"/>
    </xf>
    <xf numFmtId="176" fontId="89" fillId="5" borderId="67" xfId="42" applyNumberFormat="1" applyFont="1" applyFill="1" applyBorder="1" applyAlignment="1">
      <alignment horizontal="right"/>
    </xf>
    <xf numFmtId="176" fontId="89" fillId="5" borderId="59" xfId="42" applyNumberFormat="1" applyFont="1" applyFill="1" applyBorder="1" applyAlignment="1">
      <alignment horizontal="right"/>
    </xf>
    <xf numFmtId="176" fontId="89" fillId="5" borderId="62" xfId="42" applyNumberFormat="1" applyFont="1" applyFill="1" applyBorder="1" applyAlignment="1">
      <alignment horizontal="right"/>
    </xf>
    <xf numFmtId="9" fontId="89" fillId="5" borderId="7" xfId="0" applyNumberFormat="1" applyFont="1" applyFill="1" applyBorder="1" applyAlignment="1">
      <alignment horizontal="center"/>
    </xf>
    <xf numFmtId="0" fontId="71" fillId="28" borderId="0" xfId="0" applyFont="1" applyFill="1"/>
    <xf numFmtId="3" fontId="71" fillId="28" borderId="0" xfId="0" applyNumberFormat="1" applyFont="1" applyFill="1"/>
    <xf numFmtId="0" fontId="70" fillId="28" borderId="0" xfId="0" applyFont="1" applyFill="1"/>
    <xf numFmtId="3" fontId="91" fillId="5" borderId="7" xfId="0" applyNumberFormat="1" applyFont="1" applyFill="1" applyBorder="1" applyAlignment="1">
      <alignment horizontal="right"/>
    </xf>
    <xf numFmtId="3" fontId="91" fillId="5" borderId="120" xfId="0" applyNumberFormat="1" applyFont="1" applyFill="1" applyBorder="1" applyAlignment="1">
      <alignment horizontal="right"/>
    </xf>
    <xf numFmtId="0" fontId="92" fillId="28" borderId="0" xfId="0" applyFont="1" applyFill="1"/>
    <xf numFmtId="0" fontId="91" fillId="3" borderId="105" xfId="0" applyFont="1" applyFill="1" applyBorder="1" applyAlignment="1">
      <alignment horizontal="right"/>
    </xf>
    <xf numFmtId="0" fontId="91" fillId="3" borderId="106" xfId="0" applyFont="1" applyFill="1" applyBorder="1" applyAlignment="1">
      <alignment horizontal="right"/>
    </xf>
    <xf numFmtId="3" fontId="91" fillId="3" borderId="3" xfId="0" applyNumberFormat="1" applyFont="1" applyFill="1" applyBorder="1" applyAlignment="1">
      <alignment horizontal="right"/>
    </xf>
    <xf numFmtId="0" fontId="44" fillId="3" borderId="125" xfId="0" applyFont="1" applyFill="1" applyBorder="1" applyAlignment="1">
      <alignment horizontal="right"/>
    </xf>
    <xf numFmtId="3" fontId="48" fillId="28" borderId="55" xfId="0" applyNumberFormat="1" applyFont="1" applyFill="1" applyBorder="1"/>
    <xf numFmtId="3" fontId="48" fillId="3" borderId="47" xfId="0" applyNumberFormat="1" applyFont="1" applyFill="1" applyBorder="1"/>
    <xf numFmtId="3" fontId="44" fillId="28" borderId="47" xfId="0" applyNumberFormat="1" applyFont="1" applyFill="1" applyBorder="1" applyAlignment="1">
      <alignment horizontal="right"/>
    </xf>
    <xf numFmtId="3" fontId="44" fillId="3" borderId="47" xfId="0" applyNumberFormat="1" applyFont="1" applyFill="1" applyBorder="1"/>
    <xf numFmtId="3" fontId="44" fillId="28" borderId="47" xfId="0" applyNumberFormat="1" applyFont="1" applyFill="1" applyBorder="1"/>
    <xf numFmtId="3" fontId="48" fillId="28" borderId="47" xfId="0" applyNumberFormat="1" applyFont="1" applyFill="1" applyBorder="1"/>
    <xf numFmtId="3" fontId="44" fillId="28" borderId="48" xfId="0" applyNumberFormat="1" applyFont="1" applyFill="1" applyBorder="1" applyAlignment="1">
      <alignment horizontal="right"/>
    </xf>
    <xf numFmtId="3" fontId="44" fillId="5" borderId="7" xfId="0" applyNumberFormat="1" applyFont="1" applyFill="1" applyBorder="1" applyAlignment="1">
      <alignment horizontal="right"/>
    </xf>
    <xf numFmtId="3" fontId="43" fillId="0" borderId="46" xfId="0" applyNumberFormat="1" applyFont="1" applyBorder="1"/>
    <xf numFmtId="3" fontId="43" fillId="0" borderId="48" xfId="0" applyNumberFormat="1" applyFont="1" applyBorder="1"/>
    <xf numFmtId="3" fontId="43" fillId="0" borderId="96" xfId="0" applyNumberFormat="1" applyFont="1" applyBorder="1"/>
    <xf numFmtId="3" fontId="43" fillId="2" borderId="17" xfId="0" applyNumberFormat="1" applyFont="1" applyFill="1" applyBorder="1"/>
    <xf numFmtId="169" fontId="82" fillId="3" borderId="47" xfId="42" applyNumberFormat="1" applyFont="1" applyFill="1" applyBorder="1" applyAlignment="1" applyProtection="1">
      <alignment horizontal="left" wrapText="1"/>
    </xf>
    <xf numFmtId="169" fontId="82" fillId="28" borderId="47" xfId="42" applyNumberFormat="1" applyFont="1" applyFill="1" applyBorder="1" applyAlignment="1" applyProtection="1">
      <alignment horizontal="left" wrapText="1"/>
    </xf>
    <xf numFmtId="0" fontId="70" fillId="5" borderId="2" xfId="0" applyFont="1" applyFill="1" applyBorder="1"/>
    <xf numFmtId="3" fontId="70" fillId="5" borderId="52" xfId="0" applyNumberFormat="1" applyFont="1" applyFill="1" applyBorder="1" applyAlignment="1">
      <alignment horizontal="right"/>
    </xf>
    <xf numFmtId="3" fontId="70" fillId="5" borderId="53" xfId="0" applyNumberFormat="1" applyFont="1" applyFill="1" applyBorder="1" applyAlignment="1">
      <alignment horizontal="right"/>
    </xf>
    <xf numFmtId="3" fontId="70" fillId="5" borderId="54" xfId="0" applyNumberFormat="1" applyFont="1" applyFill="1" applyBorder="1" applyAlignment="1">
      <alignment horizontal="right"/>
    </xf>
    <xf numFmtId="3" fontId="70" fillId="5" borderId="3" xfId="0" applyNumberFormat="1" applyFont="1" applyFill="1" applyBorder="1" applyAlignment="1">
      <alignment horizontal="right"/>
    </xf>
    <xf numFmtId="169" fontId="70" fillId="2" borderId="0" xfId="42" applyNumberFormat="1" applyFont="1" applyFill="1"/>
    <xf numFmtId="0" fontId="70" fillId="2" borderId="0" xfId="0" applyFont="1" applyFill="1"/>
    <xf numFmtId="0" fontId="68" fillId="3" borderId="7" xfId="0" applyFont="1" applyFill="1" applyBorder="1"/>
    <xf numFmtId="0" fontId="68" fillId="3" borderId="17" xfId="0" applyFont="1" applyFill="1" applyBorder="1"/>
    <xf numFmtId="0" fontId="70" fillId="0" borderId="43" xfId="0" applyFont="1" applyBorder="1" applyAlignment="1">
      <alignment wrapText="1"/>
    </xf>
    <xf numFmtId="3" fontId="70" fillId="0" borderId="32" xfId="0" applyNumberFormat="1" applyFont="1" applyBorder="1" applyAlignment="1">
      <alignment horizontal="right"/>
    </xf>
    <xf numFmtId="3" fontId="70" fillId="0" borderId="33" xfId="0" applyNumberFormat="1" applyFont="1" applyBorder="1" applyAlignment="1">
      <alignment horizontal="right"/>
    </xf>
    <xf numFmtId="3" fontId="70" fillId="0" borderId="34" xfId="0" applyNumberFormat="1" applyFont="1" applyBorder="1" applyAlignment="1">
      <alignment horizontal="right"/>
    </xf>
    <xf numFmtId="3" fontId="70" fillId="28" borderId="87" xfId="0" applyNumberFormat="1" applyFont="1" applyFill="1" applyBorder="1" applyAlignment="1">
      <alignment horizontal="right"/>
    </xf>
    <xf numFmtId="0" fontId="70" fillId="3" borderId="44" xfId="0" applyFont="1" applyFill="1" applyBorder="1"/>
    <xf numFmtId="3" fontId="70" fillId="3" borderId="35" xfId="0" applyNumberFormat="1" applyFont="1" applyFill="1" applyBorder="1" applyAlignment="1">
      <alignment horizontal="right"/>
    </xf>
    <xf numFmtId="3" fontId="70" fillId="3" borderId="31" xfId="0" applyNumberFormat="1" applyFont="1" applyFill="1" applyBorder="1" applyAlignment="1">
      <alignment horizontal="right"/>
    </xf>
    <xf numFmtId="3" fontId="70" fillId="3" borderId="36" xfId="0" applyNumberFormat="1" applyFont="1" applyFill="1" applyBorder="1" applyAlignment="1">
      <alignment horizontal="right"/>
    </xf>
    <xf numFmtId="3" fontId="70" fillId="3" borderId="88" xfId="0" applyNumberFormat="1" applyFont="1" applyFill="1" applyBorder="1" applyAlignment="1">
      <alignment horizontal="right"/>
    </xf>
    <xf numFmtId="0" fontId="70" fillId="0" borderId="44" xfId="0" applyFont="1" applyBorder="1"/>
    <xf numFmtId="3" fontId="70" fillId="0" borderId="35" xfId="0" applyNumberFormat="1" applyFont="1" applyBorder="1" applyAlignment="1">
      <alignment horizontal="right"/>
    </xf>
    <xf numFmtId="3" fontId="70" fillId="0" borderId="31" xfId="0" applyNumberFormat="1" applyFont="1" applyBorder="1" applyAlignment="1">
      <alignment horizontal="right"/>
    </xf>
    <xf numFmtId="3" fontId="70" fillId="0" borderId="36" xfId="0" applyNumberFormat="1" applyFont="1" applyBorder="1" applyAlignment="1">
      <alignment horizontal="right"/>
    </xf>
    <xf numFmtId="3" fontId="70" fillId="28" borderId="88" xfId="0" applyNumberFormat="1" applyFont="1" applyFill="1" applyBorder="1" applyAlignment="1">
      <alignment horizontal="right"/>
    </xf>
    <xf numFmtId="0" fontId="70" fillId="3" borderId="45" xfId="0" applyFont="1" applyFill="1" applyBorder="1"/>
    <xf numFmtId="3" fontId="70" fillId="3" borderId="37" xfId="0" applyNumberFormat="1" applyFont="1" applyFill="1" applyBorder="1" applyAlignment="1">
      <alignment horizontal="right"/>
    </xf>
    <xf numFmtId="3" fontId="70" fillId="3" borderId="38" xfId="0" applyNumberFormat="1" applyFont="1" applyFill="1" applyBorder="1" applyAlignment="1">
      <alignment horizontal="right"/>
    </xf>
    <xf numFmtId="3" fontId="70" fillId="3" borderId="39" xfId="0" applyNumberFormat="1" applyFont="1" applyFill="1" applyBorder="1" applyAlignment="1">
      <alignment horizontal="right"/>
    </xf>
    <xf numFmtId="3" fontId="70" fillId="3" borderId="89" xfId="0" applyNumberFormat="1" applyFont="1" applyFill="1" applyBorder="1" applyAlignment="1">
      <alignment horizontal="right"/>
    </xf>
    <xf numFmtId="0" fontId="68" fillId="3" borderId="13" xfId="0" applyFont="1" applyFill="1" applyBorder="1"/>
    <xf numFmtId="0" fontId="70" fillId="0" borderId="32" xfId="0" applyFont="1" applyBorder="1" applyAlignment="1">
      <alignment wrapText="1"/>
    </xf>
    <xf numFmtId="3" fontId="70" fillId="28" borderId="34" xfId="0" applyNumberFormat="1" applyFont="1" applyFill="1" applyBorder="1" applyAlignment="1">
      <alignment horizontal="right"/>
    </xf>
    <xf numFmtId="0" fontId="70" fillId="3" borderId="35" xfId="0" applyFont="1" applyFill="1" applyBorder="1"/>
    <xf numFmtId="0" fontId="70" fillId="0" borderId="35" xfId="0" applyFont="1" applyBorder="1"/>
    <xf numFmtId="3" fontId="70" fillId="28" borderId="36" xfId="0" applyNumberFormat="1" applyFont="1" applyFill="1" applyBorder="1" applyAlignment="1">
      <alignment horizontal="right"/>
    </xf>
    <xf numFmtId="0" fontId="70" fillId="3" borderId="37" xfId="0" applyFont="1" applyFill="1" applyBorder="1"/>
    <xf numFmtId="0" fontId="70" fillId="0" borderId="0" xfId="0" applyFont="1"/>
    <xf numFmtId="3" fontId="70" fillId="0" borderId="0" xfId="0" applyNumberFormat="1" applyFont="1" applyAlignment="1">
      <alignment horizontal="right"/>
    </xf>
    <xf numFmtId="3" fontId="70" fillId="28" borderId="0" xfId="0" applyNumberFormat="1" applyFont="1" applyFill="1" applyAlignment="1">
      <alignment horizontal="right"/>
    </xf>
    <xf numFmtId="3" fontId="68" fillId="28" borderId="0" xfId="0" applyNumberFormat="1" applyFont="1" applyFill="1" applyAlignment="1">
      <alignment horizontal="right"/>
    </xf>
    <xf numFmtId="3" fontId="70" fillId="0" borderId="74" xfId="0" applyNumberFormat="1" applyFont="1" applyBorder="1" applyAlignment="1">
      <alignment horizontal="right"/>
    </xf>
    <xf numFmtId="3" fontId="70" fillId="0" borderId="75" xfId="0" applyNumberFormat="1" applyFont="1" applyBorder="1" applyAlignment="1">
      <alignment horizontal="right"/>
    </xf>
    <xf numFmtId="3" fontId="70" fillId="28" borderId="98" xfId="0" applyNumberFormat="1" applyFont="1" applyFill="1" applyBorder="1" applyAlignment="1">
      <alignment horizontal="right"/>
    </xf>
    <xf numFmtId="3" fontId="70" fillId="3" borderId="74" xfId="0" applyNumberFormat="1" applyFont="1" applyFill="1" applyBorder="1" applyAlignment="1">
      <alignment horizontal="right"/>
    </xf>
    <xf numFmtId="3" fontId="70" fillId="3" borderId="75" xfId="0" applyNumberFormat="1" applyFont="1" applyFill="1" applyBorder="1" applyAlignment="1">
      <alignment horizontal="right"/>
    </xf>
    <xf numFmtId="3" fontId="70" fillId="3" borderId="98" xfId="0" applyNumberFormat="1" applyFont="1" applyFill="1" applyBorder="1" applyAlignment="1">
      <alignment horizontal="right"/>
    </xf>
    <xf numFmtId="3" fontId="68" fillId="3" borderId="99" xfId="0" applyNumberFormat="1" applyFont="1" applyFill="1" applyBorder="1" applyAlignment="1">
      <alignment horizontal="right"/>
    </xf>
    <xf numFmtId="169" fontId="68" fillId="2" borderId="0" xfId="42" applyNumberFormat="1" applyFont="1" applyFill="1"/>
    <xf numFmtId="0" fontId="68" fillId="2" borderId="0" xfId="0" applyFont="1" applyFill="1"/>
    <xf numFmtId="0" fontId="70" fillId="3" borderId="72" xfId="0" applyFont="1" applyFill="1" applyBorder="1"/>
    <xf numFmtId="3" fontId="70" fillId="3" borderId="49" xfId="0" applyNumberFormat="1" applyFont="1" applyFill="1" applyBorder="1" applyAlignment="1">
      <alignment horizontal="right"/>
    </xf>
    <xf numFmtId="3" fontId="70" fillId="3" borderId="50" xfId="0" applyNumberFormat="1" applyFont="1" applyFill="1" applyBorder="1" applyAlignment="1">
      <alignment horizontal="right"/>
    </xf>
    <xf numFmtId="3" fontId="70" fillId="3" borderId="51" xfId="0" applyNumberFormat="1" applyFont="1" applyFill="1" applyBorder="1" applyAlignment="1">
      <alignment horizontal="right"/>
    </xf>
    <xf numFmtId="3" fontId="70" fillId="3" borderId="90" xfId="0" applyNumberFormat="1" applyFont="1" applyFill="1" applyBorder="1" applyAlignment="1">
      <alignment horizontal="right"/>
    </xf>
    <xf numFmtId="0" fontId="68" fillId="3" borderId="44" xfId="0" applyFont="1" applyFill="1" applyBorder="1"/>
    <xf numFmtId="3" fontId="68" fillId="3" borderId="35" xfId="0" applyNumberFormat="1" applyFont="1" applyFill="1" applyBorder="1" applyAlignment="1">
      <alignment horizontal="right"/>
    </xf>
    <xf numFmtId="3" fontId="68" fillId="3" borderId="31" xfId="0" applyNumberFormat="1" applyFont="1" applyFill="1" applyBorder="1" applyAlignment="1">
      <alignment horizontal="right"/>
    </xf>
    <xf numFmtId="3" fontId="68" fillId="3" borderId="88" xfId="0" applyNumberFormat="1" applyFont="1" applyFill="1" applyBorder="1" applyAlignment="1">
      <alignment horizontal="right"/>
    </xf>
    <xf numFmtId="176" fontId="68" fillId="3" borderId="125" xfId="42" applyNumberFormat="1" applyFont="1" applyFill="1" applyBorder="1" applyAlignment="1">
      <alignment horizontal="right"/>
    </xf>
    <xf numFmtId="176" fontId="68" fillId="3" borderId="18" xfId="42" applyNumberFormat="1" applyFont="1" applyFill="1" applyBorder="1" applyAlignment="1">
      <alignment horizontal="right"/>
    </xf>
    <xf numFmtId="176" fontId="68" fillId="3" borderId="126" xfId="42" applyNumberFormat="1" applyFont="1" applyFill="1" applyBorder="1" applyAlignment="1">
      <alignment horizontal="right"/>
    </xf>
    <xf numFmtId="174" fontId="68" fillId="3" borderId="7" xfId="0" applyNumberFormat="1" applyFont="1" applyFill="1" applyBorder="1" applyAlignment="1">
      <alignment horizontal="right"/>
    </xf>
    <xf numFmtId="3" fontId="70" fillId="3" borderId="56" xfId="0" applyNumberFormat="1" applyFont="1" applyFill="1" applyBorder="1" applyAlignment="1">
      <alignment horizontal="right"/>
    </xf>
    <xf numFmtId="3" fontId="70" fillId="3" borderId="57" xfId="0" applyNumberFormat="1" applyFont="1" applyFill="1" applyBorder="1" applyAlignment="1">
      <alignment horizontal="right"/>
    </xf>
    <xf numFmtId="3" fontId="70" fillId="3" borderId="58" xfId="0" applyNumberFormat="1" applyFont="1" applyFill="1" applyBorder="1" applyAlignment="1">
      <alignment horizontal="right"/>
    </xf>
    <xf numFmtId="3" fontId="70" fillId="3" borderId="127" xfId="0" applyNumberFormat="1" applyFont="1" applyFill="1" applyBorder="1" applyAlignment="1">
      <alignment horizontal="right"/>
    </xf>
    <xf numFmtId="174" fontId="68" fillId="3" borderId="9" xfId="0" applyNumberFormat="1" applyFont="1" applyFill="1" applyBorder="1" applyAlignment="1">
      <alignment horizontal="right"/>
    </xf>
    <xf numFmtId="3" fontId="70" fillId="0" borderId="128" xfId="0" applyNumberFormat="1" applyFont="1" applyBorder="1" applyAlignment="1">
      <alignment horizontal="right"/>
    </xf>
    <xf numFmtId="3" fontId="70" fillId="0" borderId="129" xfId="0" applyNumberFormat="1" applyFont="1" applyBorder="1" applyAlignment="1">
      <alignment horizontal="right"/>
    </xf>
    <xf numFmtId="176" fontId="68" fillId="3" borderId="105" xfId="42" applyNumberFormat="1" applyFont="1" applyFill="1" applyBorder="1" applyAlignment="1">
      <alignment horizontal="right"/>
    </xf>
    <xf numFmtId="176" fontId="68" fillId="3" borderId="106" xfId="42" applyNumberFormat="1" applyFont="1" applyFill="1" applyBorder="1" applyAlignment="1">
      <alignment horizontal="right"/>
    </xf>
    <xf numFmtId="176" fontId="68" fillId="3" borderId="122" xfId="42" applyNumberFormat="1" applyFont="1" applyFill="1" applyBorder="1" applyAlignment="1">
      <alignment horizontal="right"/>
    </xf>
    <xf numFmtId="176" fontId="68" fillId="3" borderId="130" xfId="42" applyNumberFormat="1" applyFont="1" applyFill="1" applyBorder="1" applyAlignment="1">
      <alignment horizontal="right"/>
    </xf>
    <xf numFmtId="0" fontId="68" fillId="3" borderId="45" xfId="0" applyFont="1" applyFill="1" applyBorder="1"/>
    <xf numFmtId="3" fontId="68" fillId="3" borderId="37" xfId="0" applyNumberFormat="1" applyFont="1" applyFill="1" applyBorder="1" applyAlignment="1">
      <alignment horizontal="right"/>
    </xf>
    <xf numFmtId="3" fontId="68" fillId="3" borderId="38" xfId="0" applyNumberFormat="1" applyFont="1" applyFill="1" applyBorder="1" applyAlignment="1">
      <alignment horizontal="right"/>
    </xf>
    <xf numFmtId="3" fontId="68" fillId="3" borderId="89" xfId="0" applyNumberFormat="1" applyFont="1" applyFill="1" applyBorder="1" applyAlignment="1">
      <alignment horizontal="right"/>
    </xf>
    <xf numFmtId="0" fontId="70" fillId="0" borderId="102" xfId="0" applyFont="1" applyBorder="1" applyAlignment="1">
      <alignment wrapText="1"/>
    </xf>
    <xf numFmtId="0" fontId="70" fillId="3" borderId="102" xfId="0" applyFont="1" applyFill="1" applyBorder="1"/>
    <xf numFmtId="0" fontId="70" fillId="0" borderId="102" xfId="0" applyFont="1" applyBorder="1"/>
    <xf numFmtId="0" fontId="68" fillId="3" borderId="10" xfId="0" applyFont="1" applyFill="1" applyBorder="1"/>
    <xf numFmtId="3" fontId="68" fillId="3" borderId="11" xfId="0" applyNumberFormat="1" applyFont="1" applyFill="1" applyBorder="1" applyAlignment="1">
      <alignment horizontal="right"/>
    </xf>
    <xf numFmtId="3" fontId="68" fillId="3" borderId="103" xfId="0" applyNumberFormat="1" applyFont="1" applyFill="1" applyBorder="1" applyAlignment="1">
      <alignment horizontal="right"/>
    </xf>
    <xf numFmtId="3" fontId="70" fillId="2" borderId="0" xfId="0" applyNumberFormat="1" applyFont="1" applyFill="1"/>
    <xf numFmtId="0" fontId="14" fillId="0" borderId="0" xfId="48" applyFont="1"/>
    <xf numFmtId="173" fontId="22" fillId="2" borderId="0" xfId="47" applyNumberFormat="1" applyFill="1"/>
    <xf numFmtId="165" fontId="95" fillId="0" borderId="74" xfId="42" applyFont="1" applyBorder="1"/>
    <xf numFmtId="3" fontId="41" fillId="38" borderId="74" xfId="45" applyNumberFormat="1" applyFont="1" applyFill="1" applyBorder="1"/>
    <xf numFmtId="3" fontId="41" fillId="38" borderId="74" xfId="45" applyNumberFormat="1" applyFont="1" applyFill="1" applyBorder="1" applyAlignment="1">
      <alignment horizontal="right" vertical="center"/>
    </xf>
    <xf numFmtId="3" fontId="53" fillId="38" borderId="74" xfId="45" applyNumberFormat="1" applyFont="1" applyFill="1" applyBorder="1" applyAlignment="1">
      <alignment horizontal="right" vertical="center"/>
    </xf>
    <xf numFmtId="0" fontId="41" fillId="39" borderId="74" xfId="45" applyFont="1" applyFill="1" applyBorder="1" applyAlignment="1">
      <alignment horizontal="center" vertical="center" wrapText="1"/>
    </xf>
    <xf numFmtId="0" fontId="41" fillId="38" borderId="74" xfId="45" applyFont="1" applyFill="1" applyBorder="1" applyAlignment="1">
      <alignment horizontal="center" vertical="center"/>
    </xf>
    <xf numFmtId="3" fontId="41" fillId="39" borderId="77" xfId="45" applyNumberFormat="1" applyFont="1" applyFill="1" applyBorder="1" applyAlignment="1">
      <alignment horizontal="center" vertical="center" wrapText="1"/>
    </xf>
    <xf numFmtId="165" fontId="95" fillId="38" borderId="74" xfId="42" applyFont="1" applyFill="1" applyBorder="1"/>
    <xf numFmtId="0" fontId="19" fillId="38" borderId="74" xfId="45" applyFill="1" applyBorder="1"/>
    <xf numFmtId="165" fontId="95" fillId="3" borderId="74" xfId="42" applyFont="1" applyFill="1" applyBorder="1"/>
    <xf numFmtId="0" fontId="51" fillId="38" borderId="75" xfId="45" applyFont="1" applyFill="1" applyBorder="1" applyAlignment="1">
      <alignment horizontal="center" vertical="center"/>
    </xf>
    <xf numFmtId="0" fontId="51" fillId="38" borderId="77" xfId="45" applyFont="1" applyFill="1" applyBorder="1" applyAlignment="1">
      <alignment horizontal="center" vertical="center"/>
    </xf>
    <xf numFmtId="0" fontId="41" fillId="38" borderId="75" xfId="45" applyFont="1" applyFill="1" applyBorder="1" applyAlignment="1">
      <alignment horizontal="center" vertical="center"/>
    </xf>
    <xf numFmtId="0" fontId="41" fillId="38" borderId="76" xfId="45" applyFont="1" applyFill="1" applyBorder="1" applyAlignment="1">
      <alignment horizontal="center" vertical="center"/>
    </xf>
    <xf numFmtId="0" fontId="41" fillId="38" borderId="77" xfId="45" applyFont="1" applyFill="1" applyBorder="1" applyAlignment="1">
      <alignment horizontal="center" vertical="center"/>
    </xf>
    <xf numFmtId="3" fontId="19" fillId="0" borderId="77" xfId="45" applyNumberFormat="1" applyBorder="1"/>
    <xf numFmtId="0" fontId="41" fillId="38" borderId="18" xfId="45" applyFont="1" applyFill="1" applyBorder="1" applyAlignment="1">
      <alignment horizontal="center" vertical="center"/>
    </xf>
    <xf numFmtId="3" fontId="41" fillId="38" borderId="18" xfId="45" applyNumberFormat="1" applyFont="1" applyFill="1" applyBorder="1" applyAlignment="1">
      <alignment horizontal="right" vertical="center"/>
    </xf>
    <xf numFmtId="3" fontId="53" fillId="38" borderId="18" xfId="45" applyNumberFormat="1" applyFont="1" applyFill="1" applyBorder="1" applyAlignment="1">
      <alignment horizontal="right" vertical="center"/>
    </xf>
    <xf numFmtId="0" fontId="41" fillId="39" borderId="128" xfId="45" applyFont="1" applyFill="1" applyBorder="1" applyAlignment="1">
      <alignment horizontal="center" vertical="center" wrapText="1"/>
    </xf>
    <xf numFmtId="0" fontId="41" fillId="39" borderId="129" xfId="45" applyFont="1" applyFill="1" applyBorder="1" applyAlignment="1">
      <alignment horizontal="center" vertical="center" wrapText="1"/>
    </xf>
    <xf numFmtId="0" fontId="41" fillId="39" borderId="131" xfId="45" applyFont="1" applyFill="1" applyBorder="1" applyAlignment="1">
      <alignment horizontal="center" vertical="center" wrapText="1"/>
    </xf>
    <xf numFmtId="0" fontId="51" fillId="38" borderId="129" xfId="45" applyFont="1" applyFill="1" applyBorder="1" applyAlignment="1">
      <alignment horizontal="center" vertical="center"/>
    </xf>
    <xf numFmtId="0" fontId="51" fillId="38" borderId="132" xfId="45" applyFont="1" applyFill="1" applyBorder="1" applyAlignment="1">
      <alignment horizontal="center" vertical="center"/>
    </xf>
    <xf numFmtId="0" fontId="51" fillId="38" borderId="131" xfId="45" applyFont="1" applyFill="1" applyBorder="1" applyAlignment="1">
      <alignment horizontal="center" vertical="center"/>
    </xf>
    <xf numFmtId="3" fontId="19" fillId="2" borderId="0" xfId="45" applyNumberFormat="1" applyFill="1"/>
    <xf numFmtId="169" fontId="82" fillId="2" borderId="0" xfId="42" applyNumberFormat="1" applyFont="1" applyFill="1"/>
    <xf numFmtId="169" fontId="78" fillId="3" borderId="21" xfId="42" applyNumberFormat="1" applyFont="1" applyFill="1" applyBorder="1" applyAlignment="1">
      <alignment horizontal="right"/>
    </xf>
    <xf numFmtId="169" fontId="78" fillId="5" borderId="52" xfId="42" applyNumberFormat="1" applyFont="1" applyFill="1" applyBorder="1" applyAlignment="1">
      <alignment horizontal="right"/>
    </xf>
    <xf numFmtId="169" fontId="83" fillId="28" borderId="56" xfId="42" applyNumberFormat="1" applyFont="1" applyFill="1" applyBorder="1" applyAlignment="1">
      <alignment horizontal="right"/>
    </xf>
    <xf numFmtId="169" fontId="83" fillId="3" borderId="35" xfId="42" applyNumberFormat="1" applyFont="1" applyFill="1" applyBorder="1" applyAlignment="1">
      <alignment horizontal="right"/>
    </xf>
    <xf numFmtId="169" fontId="78" fillId="28" borderId="35" xfId="42" applyNumberFormat="1" applyFont="1" applyFill="1" applyBorder="1" applyAlignment="1">
      <alignment horizontal="right"/>
    </xf>
    <xf numFmtId="169" fontId="82" fillId="3" borderId="35" xfId="42" applyNumberFormat="1" applyFont="1" applyFill="1" applyBorder="1" applyAlignment="1">
      <alignment horizontal="right"/>
    </xf>
    <xf numFmtId="169" fontId="82" fillId="28" borderId="35" xfId="42" applyNumberFormat="1" applyFont="1" applyFill="1" applyBorder="1" applyAlignment="1">
      <alignment horizontal="right"/>
    </xf>
    <xf numFmtId="169" fontId="78" fillId="28" borderId="49" xfId="42" applyNumberFormat="1" applyFont="1" applyFill="1" applyBorder="1" applyAlignment="1">
      <alignment horizontal="right"/>
    </xf>
    <xf numFmtId="169" fontId="78" fillId="5" borderId="61" xfId="42" applyNumberFormat="1" applyFont="1" applyFill="1" applyBorder="1" applyAlignment="1">
      <alignment horizontal="right"/>
    </xf>
    <xf numFmtId="169" fontId="82" fillId="28" borderId="32" xfId="42" applyNumberFormat="1" applyFont="1" applyFill="1" applyBorder="1" applyAlignment="1">
      <alignment horizontal="right"/>
    </xf>
    <xf numFmtId="169" fontId="82" fillId="28" borderId="49" xfId="42" applyNumberFormat="1" applyFont="1" applyFill="1" applyBorder="1" applyAlignment="1">
      <alignment horizontal="right"/>
    </xf>
    <xf numFmtId="169" fontId="82" fillId="28" borderId="37" xfId="42" applyNumberFormat="1" applyFont="1" applyFill="1" applyBorder="1" applyAlignment="1">
      <alignment horizontal="right"/>
    </xf>
    <xf numFmtId="169" fontId="82" fillId="2" borderId="0" xfId="42" applyNumberFormat="1" applyFont="1" applyFill="1" applyBorder="1" applyAlignment="1">
      <alignment horizontal="right"/>
    </xf>
    <xf numFmtId="169" fontId="78" fillId="28" borderId="0" xfId="42" applyNumberFormat="1" applyFont="1" applyFill="1" applyBorder="1" applyAlignment="1">
      <alignment horizontal="right"/>
    </xf>
    <xf numFmtId="169" fontId="78" fillId="28" borderId="32" xfId="42" applyNumberFormat="1" applyFont="1" applyFill="1" applyBorder="1" applyAlignment="1">
      <alignment horizontal="right"/>
    </xf>
    <xf numFmtId="169" fontId="78" fillId="3" borderId="35" xfId="42" applyNumberFormat="1" applyFont="1" applyFill="1" applyBorder="1" applyAlignment="1">
      <alignment horizontal="right"/>
    </xf>
    <xf numFmtId="169" fontId="78" fillId="28" borderId="37" xfId="42" applyNumberFormat="1" applyFont="1" applyFill="1" applyBorder="1" applyAlignment="1">
      <alignment horizontal="right"/>
    </xf>
    <xf numFmtId="169" fontId="78" fillId="3" borderId="12" xfId="42" applyNumberFormat="1" applyFont="1" applyFill="1" applyBorder="1" applyAlignment="1">
      <alignment horizontal="right"/>
    </xf>
    <xf numFmtId="169" fontId="77" fillId="3" borderId="49" xfId="42" applyNumberFormat="1" applyFont="1" applyFill="1" applyBorder="1" applyAlignment="1">
      <alignment horizontal="right"/>
    </xf>
    <xf numFmtId="0" fontId="97" fillId="0" borderId="0" xfId="56" applyFont="1"/>
    <xf numFmtId="0" fontId="53" fillId="39" borderId="74" xfId="56" applyFont="1" applyFill="1" applyBorder="1" applyAlignment="1">
      <alignment horizontal="center" vertical="center" wrapText="1"/>
    </xf>
    <xf numFmtId="0" fontId="53" fillId="2" borderId="74" xfId="56" applyFont="1" applyFill="1" applyBorder="1" applyAlignment="1">
      <alignment horizontal="center" vertical="center"/>
    </xf>
    <xf numFmtId="0" fontId="97" fillId="38" borderId="74" xfId="56" applyFont="1" applyFill="1" applyBorder="1"/>
    <xf numFmtId="0" fontId="53" fillId="38" borderId="74" xfId="56" applyFont="1" applyFill="1" applyBorder="1" applyAlignment="1">
      <alignment horizontal="center" vertical="center"/>
    </xf>
    <xf numFmtId="0" fontId="97" fillId="2" borderId="0" xfId="56" applyFont="1" applyFill="1"/>
    <xf numFmtId="0" fontId="53" fillId="38" borderId="18" xfId="56" applyFont="1" applyFill="1" applyBorder="1" applyAlignment="1">
      <alignment horizontal="center" vertical="center"/>
    </xf>
    <xf numFmtId="0" fontId="76" fillId="0" borderId="0" xfId="0" applyFont="1" applyAlignment="1">
      <alignment vertical="center"/>
    </xf>
    <xf numFmtId="165" fontId="82" fillId="0" borderId="68" xfId="42" applyFont="1" applyFill="1" applyBorder="1" applyAlignment="1">
      <alignment horizontal="right"/>
    </xf>
    <xf numFmtId="165" fontId="82" fillId="0" borderId="33" xfId="42" applyFont="1" applyFill="1" applyBorder="1" applyAlignment="1">
      <alignment horizontal="right"/>
    </xf>
    <xf numFmtId="165" fontId="82" fillId="0" borderId="40" xfId="42" applyFont="1" applyFill="1" applyBorder="1" applyAlignment="1">
      <alignment horizontal="right"/>
    </xf>
    <xf numFmtId="165" fontId="82" fillId="0" borderId="69" xfId="42" applyFont="1" applyFill="1" applyBorder="1" applyAlignment="1">
      <alignment horizontal="right"/>
    </xf>
    <xf numFmtId="165" fontId="82" fillId="0" borderId="38" xfId="42" applyFont="1" applyFill="1" applyBorder="1" applyAlignment="1">
      <alignment horizontal="right"/>
    </xf>
    <xf numFmtId="165" fontId="82" fillId="0" borderId="42" xfId="42" applyFont="1" applyFill="1" applyBorder="1" applyAlignment="1">
      <alignment horizontal="right"/>
    </xf>
    <xf numFmtId="165" fontId="82" fillId="2" borderId="0" xfId="42" applyFont="1" applyFill="1" applyBorder="1"/>
    <xf numFmtId="178" fontId="71" fillId="2" borderId="0" xfId="42" applyNumberFormat="1" applyFont="1" applyFill="1"/>
    <xf numFmtId="178" fontId="89" fillId="5" borderId="60" xfId="42" applyNumberFormat="1" applyFont="1" applyFill="1" applyBorder="1" applyAlignment="1">
      <alignment horizontal="right"/>
    </xf>
    <xf numFmtId="178" fontId="71" fillId="0" borderId="34" xfId="42" applyNumberFormat="1" applyFont="1" applyBorder="1"/>
    <xf numFmtId="178" fontId="71" fillId="0" borderId="51" xfId="42" applyNumberFormat="1" applyFont="1" applyBorder="1"/>
    <xf numFmtId="178" fontId="71" fillId="0" borderId="39" xfId="42" applyNumberFormat="1" applyFont="1" applyBorder="1"/>
    <xf numFmtId="178" fontId="71" fillId="2" borderId="0" xfId="42" applyNumberFormat="1" applyFont="1" applyFill="1" applyBorder="1"/>
    <xf numFmtId="178" fontId="89" fillId="5" borderId="54" xfId="42" applyNumberFormat="1" applyFont="1" applyFill="1" applyBorder="1" applyAlignment="1">
      <alignment horizontal="right"/>
    </xf>
    <xf numFmtId="178" fontId="90" fillId="2" borderId="0" xfId="42" applyNumberFormat="1" applyFont="1" applyFill="1"/>
    <xf numFmtId="178" fontId="49" fillId="5" borderId="60" xfId="42" applyNumberFormat="1" applyFont="1" applyFill="1" applyBorder="1" applyAlignment="1">
      <alignment horizontal="right"/>
    </xf>
    <xf numFmtId="178" fontId="49" fillId="5" borderId="54" xfId="42" applyNumberFormat="1" applyFont="1" applyFill="1" applyBorder="1" applyAlignment="1">
      <alignment horizontal="right"/>
    </xf>
    <xf numFmtId="9" fontId="89" fillId="5" borderId="2" xfId="0" applyNumberFormat="1" applyFont="1" applyFill="1" applyBorder="1" applyAlignment="1">
      <alignment horizontal="center"/>
    </xf>
    <xf numFmtId="0" fontId="71" fillId="2" borderId="74" xfId="0" applyFont="1" applyFill="1" applyBorder="1"/>
    <xf numFmtId="0" fontId="100" fillId="32" borderId="74" xfId="47" applyFont="1" applyFill="1" applyBorder="1" applyAlignment="1">
      <alignment vertical="center"/>
    </xf>
    <xf numFmtId="178" fontId="71" fillId="28" borderId="46" xfId="42" applyNumberFormat="1" applyFont="1" applyFill="1" applyBorder="1"/>
    <xf numFmtId="178" fontId="71" fillId="3" borderId="47" xfId="42" applyNumberFormat="1" applyFont="1" applyFill="1" applyBorder="1"/>
    <xf numFmtId="178" fontId="89" fillId="28" borderId="47" xfId="42" applyNumberFormat="1" applyFont="1" applyFill="1" applyBorder="1" applyAlignment="1">
      <alignment horizontal="right"/>
    </xf>
    <xf numFmtId="178" fontId="89" fillId="3" borderId="47" xfId="42" applyNumberFormat="1" applyFont="1" applyFill="1" applyBorder="1"/>
    <xf numFmtId="178" fontId="49" fillId="28" borderId="47" xfId="42" applyNumberFormat="1" applyFont="1" applyFill="1" applyBorder="1"/>
    <xf numFmtId="178" fontId="49" fillId="3" borderId="47" xfId="42" applyNumberFormat="1" applyFont="1" applyFill="1" applyBorder="1"/>
    <xf numFmtId="178" fontId="49" fillId="3" borderId="96" xfId="42" applyNumberFormat="1" applyFont="1" applyFill="1" applyBorder="1"/>
    <xf numFmtId="0" fontId="101" fillId="35" borderId="74" xfId="57" applyFont="1" applyFill="1" applyBorder="1" applyAlignment="1">
      <alignment horizontal="center" vertical="center" wrapText="1"/>
    </xf>
    <xf numFmtId="169" fontId="101" fillId="35" borderId="74" xfId="58" applyNumberFormat="1" applyFont="1" applyFill="1" applyBorder="1" applyAlignment="1">
      <alignment horizontal="center" vertical="center" wrapText="1"/>
    </xf>
    <xf numFmtId="0" fontId="97" fillId="0" borderId="0" xfId="57" applyFont="1"/>
    <xf numFmtId="0" fontId="101" fillId="35" borderId="74" xfId="57" applyFont="1" applyFill="1" applyBorder="1" applyAlignment="1">
      <alignment horizontal="center" vertical="center"/>
    </xf>
    <xf numFmtId="0" fontId="98" fillId="0" borderId="74" xfId="57" applyFont="1" applyBorder="1"/>
    <xf numFmtId="169" fontId="98" fillId="0" borderId="74" xfId="58" applyNumberFormat="1" applyFont="1" applyBorder="1" applyAlignment="1">
      <alignment horizontal="center"/>
    </xf>
    <xf numFmtId="9" fontId="98" fillId="35" borderId="74" xfId="59" applyFont="1" applyFill="1" applyBorder="1" applyAlignment="1">
      <alignment horizontal="center" vertical="center"/>
    </xf>
    <xf numFmtId="169" fontId="98" fillId="0" borderId="0" xfId="58" applyNumberFormat="1" applyFont="1" applyAlignment="1">
      <alignment horizontal="center"/>
    </xf>
    <xf numFmtId="0" fontId="96" fillId="0" borderId="0" xfId="57" applyFont="1"/>
    <xf numFmtId="169" fontId="101" fillId="0" borderId="0" xfId="58" applyNumberFormat="1" applyFont="1" applyAlignment="1">
      <alignment horizontal="center"/>
    </xf>
    <xf numFmtId="0" fontId="97" fillId="0" borderId="74" xfId="57" applyFont="1" applyBorder="1"/>
    <xf numFmtId="9" fontId="97" fillId="0" borderId="74" xfId="59" applyFont="1" applyBorder="1"/>
    <xf numFmtId="9" fontId="97" fillId="0" borderId="0" xfId="57" applyNumberFormat="1" applyFont="1"/>
    <xf numFmtId="0" fontId="96" fillId="35" borderId="0" xfId="57" applyFont="1" applyFill="1"/>
    <xf numFmtId="0" fontId="97" fillId="35" borderId="74" xfId="57" applyFont="1" applyFill="1" applyBorder="1"/>
    <xf numFmtId="9" fontId="103" fillId="5" borderId="7" xfId="0" applyNumberFormat="1" applyFont="1" applyFill="1" applyBorder="1" applyAlignment="1">
      <alignment horizontal="center"/>
    </xf>
    <xf numFmtId="0" fontId="103" fillId="3" borderId="20" xfId="0" applyFont="1" applyFill="1" applyBorder="1" applyAlignment="1">
      <alignment horizontal="right"/>
    </xf>
    <xf numFmtId="0" fontId="103" fillId="3" borderId="18" xfId="0" applyFont="1" applyFill="1" applyBorder="1" applyAlignment="1">
      <alignment horizontal="right"/>
    </xf>
    <xf numFmtId="3" fontId="103" fillId="3" borderId="21" xfId="0" applyNumberFormat="1" applyFont="1" applyFill="1" applyBorder="1" applyAlignment="1">
      <alignment horizontal="right"/>
    </xf>
    <xf numFmtId="9" fontId="103" fillId="5" borderId="17" xfId="0" applyNumberFormat="1" applyFont="1" applyFill="1" applyBorder="1" applyAlignment="1">
      <alignment horizontal="center" vertical="center" wrapText="1"/>
    </xf>
    <xf numFmtId="0" fontId="103" fillId="5" borderId="9" xfId="0" applyFont="1" applyFill="1" applyBorder="1"/>
    <xf numFmtId="3" fontId="103" fillId="5" borderId="52" xfId="0" applyNumberFormat="1" applyFont="1" applyFill="1" applyBorder="1" applyAlignment="1">
      <alignment horizontal="right"/>
    </xf>
    <xf numFmtId="3" fontId="103" fillId="5" borderId="54" xfId="0" applyNumberFormat="1" applyFont="1" applyFill="1" applyBorder="1" applyAlignment="1">
      <alignment horizontal="right"/>
    </xf>
    <xf numFmtId="3" fontId="103" fillId="5" borderId="63" xfId="0" applyNumberFormat="1" applyFont="1" applyFill="1" applyBorder="1" applyAlignment="1">
      <alignment horizontal="right"/>
    </xf>
    <xf numFmtId="3" fontId="103" fillId="5" borderId="53" xfId="0" applyNumberFormat="1" applyFont="1" applyFill="1" applyBorder="1" applyAlignment="1">
      <alignment horizontal="right"/>
    </xf>
    <xf numFmtId="168" fontId="103" fillId="5" borderId="54" xfId="0" applyNumberFormat="1" applyFont="1" applyFill="1" applyBorder="1" applyAlignment="1">
      <alignment horizontal="center"/>
    </xf>
    <xf numFmtId="0" fontId="104" fillId="2" borderId="0" xfId="0" applyFont="1" applyFill="1"/>
    <xf numFmtId="0" fontId="43" fillId="28" borderId="55" xfId="0" applyFont="1" applyFill="1" applyBorder="1"/>
    <xf numFmtId="3" fontId="43" fillId="28" borderId="56" xfId="0" applyNumberFormat="1" applyFont="1" applyFill="1" applyBorder="1" applyAlignment="1">
      <alignment horizontal="right"/>
    </xf>
    <xf numFmtId="3" fontId="43" fillId="28" borderId="64" xfId="0" applyNumberFormat="1" applyFont="1" applyFill="1" applyBorder="1"/>
    <xf numFmtId="3" fontId="43" fillId="28" borderId="57" xfId="0" applyNumberFormat="1" applyFont="1" applyFill="1" applyBorder="1"/>
    <xf numFmtId="3" fontId="43" fillId="28" borderId="57" xfId="0" applyNumberFormat="1" applyFont="1" applyFill="1" applyBorder="1" applyAlignment="1">
      <alignment horizontal="right"/>
    </xf>
    <xf numFmtId="3" fontId="43" fillId="28" borderId="58" xfId="0" applyNumberFormat="1" applyFont="1" applyFill="1" applyBorder="1" applyAlignment="1">
      <alignment horizontal="right"/>
    </xf>
    <xf numFmtId="0" fontId="43" fillId="3" borderId="47" xfId="0" applyFont="1" applyFill="1" applyBorder="1"/>
    <xf numFmtId="3" fontId="43" fillId="3" borderId="65" xfId="0" applyNumberFormat="1" applyFont="1" applyFill="1" applyBorder="1"/>
    <xf numFmtId="3" fontId="43" fillId="3" borderId="31" xfId="0" applyNumberFormat="1" applyFont="1" applyFill="1" applyBorder="1"/>
    <xf numFmtId="3" fontId="43" fillId="3" borderId="31" xfId="0" applyNumberFormat="1" applyFont="1" applyFill="1" applyBorder="1" applyAlignment="1">
      <alignment horizontal="right"/>
    </xf>
    <xf numFmtId="3" fontId="43" fillId="3" borderId="36" xfId="0" applyNumberFormat="1" applyFont="1" applyFill="1" applyBorder="1" applyAlignment="1">
      <alignment horizontal="right"/>
    </xf>
    <xf numFmtId="0" fontId="103" fillId="28" borderId="47" xfId="0" applyFont="1" applyFill="1" applyBorder="1"/>
    <xf numFmtId="3" fontId="103" fillId="28" borderId="35" xfId="0" applyNumberFormat="1" applyFont="1" applyFill="1" applyBorder="1" applyAlignment="1">
      <alignment horizontal="right"/>
    </xf>
    <xf numFmtId="3" fontId="103" fillId="28" borderId="36" xfId="0" applyNumberFormat="1" applyFont="1" applyFill="1" applyBorder="1" applyAlignment="1">
      <alignment horizontal="right"/>
    </xf>
    <xf numFmtId="3" fontId="103" fillId="28" borderId="65" xfId="0" applyNumberFormat="1" applyFont="1" applyFill="1" applyBorder="1" applyAlignment="1">
      <alignment horizontal="right"/>
    </xf>
    <xf numFmtId="3" fontId="103" fillId="28" borderId="31" xfId="0" applyNumberFormat="1" applyFont="1" applyFill="1" applyBorder="1" applyAlignment="1">
      <alignment horizontal="right"/>
    </xf>
    <xf numFmtId="9" fontId="103" fillId="28" borderId="36" xfId="0" applyNumberFormat="1" applyFont="1" applyFill="1" applyBorder="1" applyAlignment="1">
      <alignment horizontal="center"/>
    </xf>
    <xf numFmtId="0" fontId="103" fillId="2" borderId="0" xfId="0" applyFont="1" applyFill="1"/>
    <xf numFmtId="0" fontId="103" fillId="3" borderId="47" xfId="0" applyFont="1" applyFill="1" applyBorder="1"/>
    <xf numFmtId="9" fontId="104" fillId="3" borderId="36" xfId="0" applyNumberFormat="1" applyFont="1" applyFill="1" applyBorder="1" applyAlignment="1">
      <alignment horizontal="center"/>
    </xf>
    <xf numFmtId="0" fontId="43" fillId="28" borderId="47" xfId="0" applyFont="1" applyFill="1" applyBorder="1"/>
    <xf numFmtId="3" fontId="43" fillId="28" borderId="65" xfId="0" applyNumberFormat="1" applyFont="1" applyFill="1" applyBorder="1" applyAlignment="1">
      <alignment horizontal="right"/>
    </xf>
    <xf numFmtId="3" fontId="43" fillId="28" borderId="31" xfId="0" applyNumberFormat="1" applyFont="1" applyFill="1" applyBorder="1" applyAlignment="1">
      <alignment horizontal="right"/>
    </xf>
    <xf numFmtId="3" fontId="43" fillId="28" borderId="36" xfId="0" applyNumberFormat="1" applyFont="1" applyFill="1" applyBorder="1" applyAlignment="1">
      <alignment horizontal="right"/>
    </xf>
    <xf numFmtId="0" fontId="43" fillId="3" borderId="47" xfId="0" applyFont="1" applyFill="1" applyBorder="1" applyAlignment="1">
      <alignment horizontal="left"/>
    </xf>
    <xf numFmtId="3" fontId="43" fillId="3" borderId="65" xfId="0" applyNumberFormat="1" applyFont="1" applyFill="1" applyBorder="1" applyAlignment="1">
      <alignment horizontal="right"/>
    </xf>
    <xf numFmtId="0" fontId="103" fillId="28" borderId="48" xfId="0" applyFont="1" applyFill="1" applyBorder="1"/>
    <xf numFmtId="3" fontId="103" fillId="28" borderId="49" xfId="0" applyNumberFormat="1" applyFont="1" applyFill="1" applyBorder="1" applyAlignment="1">
      <alignment horizontal="right"/>
    </xf>
    <xf numFmtId="3" fontId="103" fillId="28" borderId="51" xfId="0" applyNumberFormat="1" applyFont="1" applyFill="1" applyBorder="1" applyAlignment="1">
      <alignment horizontal="right"/>
    </xf>
    <xf numFmtId="3" fontId="103" fillId="28" borderId="66" xfId="0" applyNumberFormat="1" applyFont="1" applyFill="1" applyBorder="1" applyAlignment="1">
      <alignment horizontal="right"/>
    </xf>
    <xf numFmtId="3" fontId="103" fillId="28" borderId="50" xfId="0" applyNumberFormat="1" applyFont="1" applyFill="1" applyBorder="1" applyAlignment="1">
      <alignment horizontal="right"/>
    </xf>
    <xf numFmtId="9" fontId="104" fillId="28" borderId="51" xfId="0" applyNumberFormat="1" applyFont="1" applyFill="1" applyBorder="1" applyAlignment="1">
      <alignment horizontal="center"/>
    </xf>
    <xf numFmtId="3" fontId="103" fillId="5" borderId="67" xfId="0" applyNumberFormat="1" applyFont="1" applyFill="1" applyBorder="1" applyAlignment="1">
      <alignment horizontal="right"/>
    </xf>
    <xf numFmtId="3" fontId="103" fillId="5" borderId="59" xfId="0" applyNumberFormat="1" applyFont="1" applyFill="1" applyBorder="1" applyAlignment="1">
      <alignment horizontal="right"/>
    </xf>
    <xf numFmtId="3" fontId="103" fillId="5" borderId="62" xfId="0" applyNumberFormat="1" applyFont="1" applyFill="1" applyBorder="1" applyAlignment="1">
      <alignment horizontal="right"/>
    </xf>
    <xf numFmtId="3" fontId="103" fillId="5" borderId="61" xfId="0" applyNumberFormat="1" applyFont="1" applyFill="1" applyBorder="1" applyAlignment="1">
      <alignment horizontal="right"/>
    </xf>
    <xf numFmtId="9" fontId="103" fillId="5" borderId="60" xfId="0" applyNumberFormat="1" applyFont="1" applyFill="1" applyBorder="1" applyAlignment="1">
      <alignment horizontal="center"/>
    </xf>
    <xf numFmtId="3" fontId="104" fillId="0" borderId="68" xfId="0" applyNumberFormat="1" applyFont="1" applyBorder="1" applyAlignment="1">
      <alignment horizontal="right"/>
    </xf>
    <xf numFmtId="3" fontId="104" fillId="0" borderId="33" xfId="0" applyNumberFormat="1" applyFont="1" applyBorder="1" applyAlignment="1">
      <alignment horizontal="right"/>
    </xf>
    <xf numFmtId="3" fontId="104" fillId="0" borderId="40" xfId="0" applyNumberFormat="1" applyFont="1" applyBorder="1" applyAlignment="1">
      <alignment horizontal="right"/>
    </xf>
    <xf numFmtId="3" fontId="104" fillId="28" borderId="32" xfId="0" applyNumberFormat="1" applyFont="1" applyFill="1" applyBorder="1" applyAlignment="1">
      <alignment horizontal="right"/>
    </xf>
    <xf numFmtId="9" fontId="104" fillId="28" borderId="34" xfId="0" applyNumberFormat="1" applyFont="1" applyFill="1" applyBorder="1" applyAlignment="1">
      <alignment horizontal="center"/>
    </xf>
    <xf numFmtId="3" fontId="104" fillId="0" borderId="66" xfId="0" applyNumberFormat="1" applyFont="1" applyBorder="1" applyAlignment="1">
      <alignment horizontal="right"/>
    </xf>
    <xf numFmtId="3" fontId="104" fillId="0" borderId="50" xfId="0" applyNumberFormat="1" applyFont="1" applyBorder="1" applyAlignment="1">
      <alignment horizontal="right"/>
    </xf>
    <xf numFmtId="3" fontId="104" fillId="0" borderId="70" xfId="0" applyNumberFormat="1" applyFont="1" applyBorder="1" applyAlignment="1">
      <alignment horizontal="right"/>
    </xf>
    <xf numFmtId="3" fontId="104" fillId="28" borderId="49" xfId="0" applyNumberFormat="1" applyFont="1" applyFill="1" applyBorder="1" applyAlignment="1">
      <alignment horizontal="right"/>
    </xf>
    <xf numFmtId="3" fontId="104" fillId="0" borderId="69" xfId="0" applyNumberFormat="1" applyFont="1" applyBorder="1" applyAlignment="1">
      <alignment horizontal="right"/>
    </xf>
    <xf numFmtId="3" fontId="104" fillId="0" borderId="38" xfId="0" applyNumberFormat="1" applyFont="1" applyBorder="1" applyAlignment="1">
      <alignment horizontal="right"/>
    </xf>
    <xf numFmtId="3" fontId="104" fillId="0" borderId="42" xfId="0" applyNumberFormat="1" applyFont="1" applyBorder="1" applyAlignment="1">
      <alignment horizontal="right"/>
    </xf>
    <xf numFmtId="3" fontId="104" fillId="28" borderId="37" xfId="0" applyNumberFormat="1" applyFont="1" applyFill="1" applyBorder="1" applyAlignment="1">
      <alignment horizontal="right"/>
    </xf>
    <xf numFmtId="9" fontId="104" fillId="28" borderId="39" xfId="0" applyNumberFormat="1" applyFont="1" applyFill="1" applyBorder="1" applyAlignment="1">
      <alignment horizontal="center"/>
    </xf>
    <xf numFmtId="3" fontId="103" fillId="5" borderId="73" xfId="0" applyNumberFormat="1" applyFont="1" applyFill="1" applyBorder="1" applyAlignment="1">
      <alignment horizontal="right"/>
    </xf>
    <xf numFmtId="9" fontId="103" fillId="5" borderId="54" xfId="0" applyNumberFormat="1" applyFont="1" applyFill="1" applyBorder="1" applyAlignment="1">
      <alignment horizontal="center"/>
    </xf>
    <xf numFmtId="3" fontId="43" fillId="28" borderId="31" xfId="0" applyNumberFormat="1" applyFont="1" applyFill="1" applyBorder="1" applyAlignment="1">
      <alignment horizontal="left"/>
    </xf>
    <xf numFmtId="9" fontId="43" fillId="28" borderId="39" xfId="49" applyFont="1" applyFill="1" applyBorder="1"/>
    <xf numFmtId="9" fontId="43" fillId="3" borderId="35" xfId="49" applyFont="1" applyFill="1" applyBorder="1" applyAlignment="1" applyProtection="1">
      <alignment horizontal="right" wrapText="1"/>
    </xf>
    <xf numFmtId="9" fontId="43" fillId="3" borderId="31" xfId="49" applyFont="1" applyFill="1" applyBorder="1" applyAlignment="1" applyProtection="1">
      <alignment horizontal="right" wrapText="1"/>
    </xf>
    <xf numFmtId="9" fontId="43" fillId="3" borderId="36" xfId="49" applyFont="1" applyFill="1" applyBorder="1" applyAlignment="1" applyProtection="1">
      <alignment horizontal="right" wrapText="1"/>
    </xf>
    <xf numFmtId="0" fontId="43" fillId="3" borderId="72" xfId="0" applyFont="1" applyFill="1" applyBorder="1" applyAlignment="1">
      <alignment wrapText="1"/>
    </xf>
    <xf numFmtId="9" fontId="43" fillId="3" borderId="49" xfId="49" applyFont="1" applyFill="1" applyBorder="1" applyAlignment="1" applyProtection="1">
      <alignment horizontal="right" wrapText="1"/>
    </xf>
    <xf numFmtId="9" fontId="43" fillId="3" borderId="50" xfId="49" applyFont="1" applyFill="1" applyBorder="1" applyAlignment="1" applyProtection="1">
      <alignment horizontal="right" wrapText="1"/>
    </xf>
    <xf numFmtId="9" fontId="43" fillId="3" borderId="51" xfId="49" applyFont="1" applyFill="1" applyBorder="1" applyAlignment="1" applyProtection="1">
      <alignment horizontal="right" wrapText="1"/>
    </xf>
    <xf numFmtId="0" fontId="44" fillId="28" borderId="45" xfId="0" applyFont="1" applyFill="1" applyBorder="1" applyAlignment="1">
      <alignment horizontal="left" wrapText="1"/>
    </xf>
    <xf numFmtId="3" fontId="44" fillId="28" borderId="37" xfId="0" applyNumberFormat="1" applyFont="1" applyFill="1" applyBorder="1" applyAlignment="1">
      <alignment horizontal="right" wrapText="1"/>
    </xf>
    <xf numFmtId="3" fontId="44" fillId="28" borderId="38" xfId="0" applyNumberFormat="1" applyFont="1" applyFill="1" applyBorder="1" applyAlignment="1">
      <alignment horizontal="right" wrapText="1"/>
    </xf>
    <xf numFmtId="3" fontId="44" fillId="28" borderId="39" xfId="0" applyNumberFormat="1" applyFont="1" applyFill="1" applyBorder="1" applyAlignment="1">
      <alignment horizontal="right" wrapText="1"/>
    </xf>
    <xf numFmtId="0" fontId="43" fillId="3" borderId="45" xfId="0" applyFont="1" applyFill="1" applyBorder="1" applyAlignment="1">
      <alignment wrapText="1"/>
    </xf>
    <xf numFmtId="9" fontId="43" fillId="3" borderId="37" xfId="49" applyFont="1" applyFill="1" applyBorder="1" applyAlignment="1" applyProtection="1">
      <alignment horizontal="right" wrapText="1"/>
    </xf>
    <xf numFmtId="9" fontId="43" fillId="3" borderId="38" xfId="49" applyFont="1" applyFill="1" applyBorder="1" applyAlignment="1" applyProtection="1">
      <alignment horizontal="right" wrapText="1"/>
    </xf>
    <xf numFmtId="9" fontId="43" fillId="3" borderId="39" xfId="49" applyFont="1" applyFill="1" applyBorder="1" applyAlignment="1" applyProtection="1">
      <alignment horizontal="right" wrapText="1"/>
    </xf>
    <xf numFmtId="3" fontId="104" fillId="2" borderId="0" xfId="0" applyNumberFormat="1" applyFont="1" applyFill="1"/>
    <xf numFmtId="0" fontId="89" fillId="35" borderId="47" xfId="0" applyFont="1" applyFill="1" applyBorder="1"/>
    <xf numFmtId="174" fontId="89" fillId="35" borderId="44" xfId="0" applyNumberFormat="1" applyFont="1" applyFill="1" applyBorder="1" applyAlignment="1">
      <alignment horizontal="right"/>
    </xf>
    <xf numFmtId="174" fontId="90" fillId="35" borderId="55" xfId="0" applyNumberFormat="1" applyFont="1" applyFill="1" applyBorder="1"/>
    <xf numFmtId="176" fontId="89" fillId="35" borderId="65" xfId="42" applyNumberFormat="1" applyFont="1" applyFill="1" applyBorder="1" applyAlignment="1">
      <alignment horizontal="right"/>
    </xf>
    <xf numFmtId="9" fontId="90" fillId="35" borderId="47" xfId="0" applyNumberFormat="1" applyFont="1" applyFill="1" applyBorder="1" applyAlignment="1">
      <alignment horizontal="center"/>
    </xf>
    <xf numFmtId="0" fontId="49" fillId="35" borderId="46" xfId="0" applyFont="1" applyFill="1" applyBorder="1"/>
    <xf numFmtId="174" fontId="71" fillId="35" borderId="43" xfId="0" applyNumberFormat="1" applyFont="1" applyFill="1" applyBorder="1" applyAlignment="1">
      <alignment horizontal="right"/>
    </xf>
    <xf numFmtId="174" fontId="71" fillId="35" borderId="46" xfId="0" applyNumberFormat="1" applyFont="1" applyFill="1" applyBorder="1"/>
    <xf numFmtId="176" fontId="84" fillId="35" borderId="68" xfId="42" applyNumberFormat="1" applyFont="1" applyFill="1" applyBorder="1" applyAlignment="1">
      <alignment horizontal="right"/>
    </xf>
    <xf numFmtId="174" fontId="71" fillId="35" borderId="46" xfId="0" applyNumberFormat="1" applyFont="1" applyFill="1" applyBorder="1" applyAlignment="1">
      <alignment horizontal="right"/>
    </xf>
    <xf numFmtId="9" fontId="71" fillId="35" borderId="46" xfId="0" applyNumberFormat="1" applyFont="1" applyFill="1" applyBorder="1" applyAlignment="1">
      <alignment horizontal="center"/>
    </xf>
    <xf numFmtId="0" fontId="49" fillId="35" borderId="96" xfId="0" applyFont="1" applyFill="1" applyBorder="1"/>
    <xf numFmtId="174" fontId="71" fillId="35" borderId="72" xfId="0" applyNumberFormat="1" applyFont="1" applyFill="1" applyBorder="1" applyAlignment="1">
      <alignment horizontal="right"/>
    </xf>
    <xf numFmtId="174" fontId="71" fillId="35" borderId="48" xfId="0" applyNumberFormat="1" applyFont="1" applyFill="1" applyBorder="1"/>
    <xf numFmtId="176" fontId="84" fillId="35" borderId="66" xfId="42" applyNumberFormat="1" applyFont="1" applyFill="1" applyBorder="1" applyAlignment="1">
      <alignment horizontal="right"/>
    </xf>
    <xf numFmtId="174" fontId="71" fillId="35" borderId="48" xfId="0" applyNumberFormat="1" applyFont="1" applyFill="1" applyBorder="1" applyAlignment="1">
      <alignment horizontal="right"/>
    </xf>
    <xf numFmtId="9" fontId="71" fillId="35" borderId="48" xfId="0" applyNumberFormat="1" applyFont="1" applyFill="1" applyBorder="1" applyAlignment="1">
      <alignment horizontal="center"/>
    </xf>
    <xf numFmtId="165" fontId="43" fillId="28" borderId="0" xfId="42" applyFont="1" applyFill="1" applyAlignment="1">
      <alignment horizontal="right"/>
    </xf>
    <xf numFmtId="165" fontId="68" fillId="5" borderId="1" xfId="42" applyFont="1" applyFill="1" applyBorder="1" applyAlignment="1">
      <alignment horizontal="right"/>
    </xf>
    <xf numFmtId="165" fontId="70" fillId="3" borderId="32" xfId="42" applyFont="1" applyFill="1" applyBorder="1" applyAlignment="1" applyProtection="1">
      <alignment horizontal="right" wrapText="1"/>
    </xf>
    <xf numFmtId="165" fontId="70" fillId="28" borderId="35" xfId="42" applyFont="1" applyFill="1" applyBorder="1" applyAlignment="1" applyProtection="1">
      <alignment horizontal="right" wrapText="1"/>
    </xf>
    <xf numFmtId="165" fontId="70" fillId="3" borderId="35" xfId="42" applyFont="1" applyFill="1" applyBorder="1" applyAlignment="1" applyProtection="1">
      <alignment horizontal="right" wrapText="1"/>
    </xf>
    <xf numFmtId="165" fontId="70" fillId="3" borderId="37" xfId="42" applyFont="1" applyFill="1" applyBorder="1" applyAlignment="1" applyProtection="1">
      <alignment horizontal="right" wrapText="1"/>
    </xf>
    <xf numFmtId="4" fontId="82" fillId="28" borderId="32" xfId="0" applyNumberFormat="1" applyFont="1" applyFill="1" applyBorder="1" applyAlignment="1">
      <alignment horizontal="left" wrapText="1"/>
    </xf>
    <xf numFmtId="4" fontId="82" fillId="3" borderId="35" xfId="0" applyNumberFormat="1" applyFont="1" applyFill="1" applyBorder="1" applyAlignment="1">
      <alignment horizontal="left" wrapText="1"/>
    </xf>
    <xf numFmtId="4" fontId="82" fillId="28" borderId="35" xfId="0" applyNumberFormat="1" applyFont="1" applyFill="1" applyBorder="1" applyAlignment="1">
      <alignment horizontal="left" wrapText="1"/>
    </xf>
    <xf numFmtId="4" fontId="82" fillId="28" borderId="37" xfId="0" applyNumberFormat="1" applyFont="1" applyFill="1" applyBorder="1" applyAlignment="1">
      <alignment horizontal="left" wrapText="1"/>
    </xf>
    <xf numFmtId="0" fontId="71" fillId="28" borderId="43" xfId="0" applyFont="1" applyFill="1" applyBorder="1" applyAlignment="1">
      <alignment horizontal="left" wrapText="1"/>
    </xf>
    <xf numFmtId="0" fontId="71" fillId="3" borderId="44" xfId="0" applyFont="1" applyFill="1" applyBorder="1" applyAlignment="1">
      <alignment wrapText="1"/>
    </xf>
    <xf numFmtId="0" fontId="105" fillId="36" borderId="2" xfId="0" applyFont="1" applyFill="1" applyBorder="1" applyAlignment="1">
      <alignment horizontal="left" vertical="center" wrapText="1"/>
    </xf>
    <xf numFmtId="3" fontId="105" fillId="36" borderId="53" xfId="0" applyNumberFormat="1" applyFont="1" applyFill="1" applyBorder="1" applyAlignment="1">
      <alignment horizontal="right" wrapText="1"/>
    </xf>
    <xf numFmtId="3" fontId="105" fillId="36" borderId="54" xfId="0" applyNumberFormat="1" applyFont="1" applyFill="1" applyBorder="1" applyAlignment="1">
      <alignment horizontal="right" wrapText="1"/>
    </xf>
    <xf numFmtId="0" fontId="71" fillId="0" borderId="0" xfId="0" applyFont="1" applyAlignment="1">
      <alignment wrapText="1"/>
    </xf>
    <xf numFmtId="3" fontId="71" fillId="0" borderId="0" xfId="0" applyNumberFormat="1" applyFont="1" applyAlignment="1">
      <alignment horizontal="right" wrapText="1"/>
    </xf>
    <xf numFmtId="3" fontId="49" fillId="0" borderId="0" xfId="0" applyNumberFormat="1" applyFont="1" applyAlignment="1">
      <alignment horizontal="right"/>
    </xf>
    <xf numFmtId="3" fontId="71" fillId="0" borderId="0" xfId="49" applyNumberFormat="1" applyFont="1" applyFill="1" applyBorder="1"/>
    <xf numFmtId="165" fontId="71" fillId="0" borderId="0" xfId="42" applyFont="1" applyFill="1" applyBorder="1"/>
    <xf numFmtId="0" fontId="84" fillId="0" borderId="0" xfId="0" applyFont="1"/>
    <xf numFmtId="169" fontId="84" fillId="0" borderId="105" xfId="42" applyNumberFormat="1" applyFont="1" applyBorder="1" applyAlignment="1">
      <alignment horizontal="center" vertical="center"/>
    </xf>
    <xf numFmtId="169" fontId="84" fillId="0" borderId="106" xfId="42" applyNumberFormat="1" applyFont="1" applyBorder="1" applyAlignment="1">
      <alignment horizontal="center" vertical="center"/>
    </xf>
    <xf numFmtId="169" fontId="84" fillId="0" borderId="130" xfId="42" applyNumberFormat="1" applyFont="1" applyBorder="1" applyAlignment="1">
      <alignment horizontal="center" vertical="center"/>
    </xf>
    <xf numFmtId="169" fontId="84" fillId="0" borderId="9" xfId="42" applyNumberFormat="1" applyFont="1" applyBorder="1" applyAlignment="1">
      <alignment horizontal="center"/>
    </xf>
    <xf numFmtId="169" fontId="84" fillId="0" borderId="55" xfId="42" applyNumberFormat="1" applyFont="1" applyBorder="1" applyAlignment="1">
      <alignment horizontal="center"/>
    </xf>
    <xf numFmtId="169" fontId="84" fillId="0" borderId="35" xfId="42" applyNumberFormat="1" applyFont="1" applyBorder="1" applyAlignment="1">
      <alignment horizontal="center"/>
    </xf>
    <xf numFmtId="169" fontId="84" fillId="0" borderId="31" xfId="42" applyNumberFormat="1" applyFont="1" applyBorder="1" applyAlignment="1">
      <alignment horizontal="center"/>
    </xf>
    <xf numFmtId="169" fontId="84" fillId="0" borderId="41" xfId="42" applyNumberFormat="1" applyFont="1" applyBorder="1" applyAlignment="1">
      <alignment horizontal="center"/>
    </xf>
    <xf numFmtId="169" fontId="84" fillId="0" borderId="47" xfId="42" applyNumberFormat="1" applyFont="1" applyBorder="1" applyAlignment="1">
      <alignment horizontal="center"/>
    </xf>
    <xf numFmtId="169" fontId="84" fillId="0" borderId="37" xfId="42" applyNumberFormat="1" applyFont="1" applyBorder="1" applyAlignment="1">
      <alignment horizontal="center"/>
    </xf>
    <xf numFmtId="169" fontId="84" fillId="0" borderId="38" xfId="42" applyNumberFormat="1" applyFont="1" applyBorder="1" applyAlignment="1">
      <alignment horizontal="center"/>
    </xf>
    <xf numFmtId="169" fontId="84" fillId="0" borderId="42" xfId="42" applyNumberFormat="1" applyFont="1" applyBorder="1" applyAlignment="1">
      <alignment horizontal="center"/>
    </xf>
    <xf numFmtId="169" fontId="84" fillId="0" borderId="96" xfId="42" applyNumberFormat="1" applyFont="1" applyBorder="1" applyAlignment="1">
      <alignment horizontal="center"/>
    </xf>
    <xf numFmtId="176" fontId="107" fillId="0" borderId="0" xfId="42" applyNumberFormat="1" applyFont="1" applyFill="1" applyBorder="1" applyAlignment="1" applyProtection="1">
      <alignment horizontal="right" wrapText="1"/>
    </xf>
    <xf numFmtId="174" fontId="107" fillId="0" borderId="0" xfId="49" applyNumberFormat="1" applyFont="1" applyFill="1" applyBorder="1" applyAlignment="1">
      <alignment horizontal="right"/>
    </xf>
    <xf numFmtId="169" fontId="84" fillId="0" borderId="120" xfId="42" applyNumberFormat="1" applyFont="1" applyBorder="1" applyAlignment="1">
      <alignment horizontal="center" vertical="center"/>
    </xf>
    <xf numFmtId="169" fontId="84" fillId="0" borderId="100" xfId="42" applyNumberFormat="1" applyFont="1" applyBorder="1" applyAlignment="1">
      <alignment horizontal="center" vertical="center"/>
    </xf>
    <xf numFmtId="169" fontId="84" fillId="0" borderId="137" xfId="42" applyNumberFormat="1" applyFont="1" applyBorder="1" applyAlignment="1">
      <alignment horizontal="center" vertical="center"/>
    </xf>
    <xf numFmtId="169" fontId="84" fillId="0" borderId="32" xfId="42" applyNumberFormat="1" applyFont="1" applyBorder="1" applyAlignment="1">
      <alignment horizontal="center"/>
    </xf>
    <xf numFmtId="169" fontId="84" fillId="0" borderId="33" xfId="42" applyNumberFormat="1" applyFont="1" applyBorder="1" applyAlignment="1">
      <alignment horizontal="center"/>
    </xf>
    <xf numFmtId="169" fontId="84" fillId="0" borderId="40" xfId="42" applyNumberFormat="1" applyFont="1" applyBorder="1" applyAlignment="1">
      <alignment horizontal="center"/>
    </xf>
    <xf numFmtId="169" fontId="107" fillId="37" borderId="52" xfId="42" applyNumberFormat="1" applyFont="1" applyFill="1" applyBorder="1" applyAlignment="1" applyProtection="1">
      <alignment horizontal="right" wrapText="1"/>
    </xf>
    <xf numFmtId="169" fontId="107" fillId="37" borderId="53" xfId="42" applyNumberFormat="1" applyFont="1" applyFill="1" applyBorder="1" applyAlignment="1" applyProtection="1">
      <alignment horizontal="right" wrapText="1"/>
    </xf>
    <xf numFmtId="169" fontId="107" fillId="37" borderId="54" xfId="42" applyNumberFormat="1" applyFont="1" applyFill="1" applyBorder="1" applyAlignment="1" applyProtection="1">
      <alignment horizontal="right" wrapText="1"/>
    </xf>
    <xf numFmtId="169" fontId="84" fillId="0" borderId="0" xfId="42" applyNumberFormat="1" applyFont="1" applyAlignment="1">
      <alignment horizontal="center"/>
    </xf>
    <xf numFmtId="169" fontId="84" fillId="0" borderId="0" xfId="42" applyNumberFormat="1" applyFont="1"/>
    <xf numFmtId="176" fontId="77" fillId="0" borderId="0" xfId="42" applyNumberFormat="1" applyFont="1" applyFill="1" applyBorder="1" applyAlignment="1" applyProtection="1">
      <alignment horizontal="right" wrapText="1"/>
    </xf>
    <xf numFmtId="174" fontId="77" fillId="0" borderId="0" xfId="49" applyNumberFormat="1" applyFont="1" applyFill="1" applyBorder="1" applyAlignment="1">
      <alignment horizontal="right"/>
    </xf>
    <xf numFmtId="169" fontId="106" fillId="0" borderId="105" xfId="42" applyNumberFormat="1" applyFont="1" applyBorder="1" applyAlignment="1">
      <alignment horizontal="center" vertical="center"/>
    </xf>
    <xf numFmtId="169" fontId="106" fillId="0" borderId="106" xfId="42" applyNumberFormat="1" applyFont="1" applyBorder="1" applyAlignment="1">
      <alignment horizontal="center" vertical="center"/>
    </xf>
    <xf numFmtId="169" fontId="106" fillId="0" borderId="130" xfId="42" applyNumberFormat="1" applyFont="1" applyBorder="1" applyAlignment="1">
      <alignment horizontal="center" vertical="center"/>
    </xf>
    <xf numFmtId="0" fontId="46" fillId="0" borderId="0" xfId="0" applyFont="1"/>
    <xf numFmtId="3" fontId="71" fillId="3" borderId="55" xfId="42" applyNumberFormat="1" applyFont="1" applyFill="1" applyBorder="1" applyAlignment="1" applyProtection="1">
      <alignment horizontal="right" wrapText="1"/>
    </xf>
    <xf numFmtId="0" fontId="43" fillId="0" borderId="44" xfId="0" applyFont="1" applyBorder="1" applyAlignment="1">
      <alignment horizontal="left" wrapText="1"/>
    </xf>
    <xf numFmtId="3" fontId="43" fillId="0" borderId="31" xfId="0" applyNumberFormat="1" applyFont="1" applyBorder="1" applyAlignment="1">
      <alignment horizontal="right" wrapText="1"/>
    </xf>
    <xf numFmtId="3" fontId="43" fillId="0" borderId="36" xfId="0" applyNumberFormat="1" applyFont="1" applyBorder="1" applyAlignment="1">
      <alignment horizontal="right" wrapText="1"/>
    </xf>
    <xf numFmtId="0" fontId="82" fillId="3" borderId="44" xfId="0" applyFont="1" applyFill="1" applyBorder="1" applyAlignment="1">
      <alignment horizontal="left" wrapText="1"/>
    </xf>
    <xf numFmtId="3" fontId="82" fillId="28" borderId="50" xfId="0" applyNumberFormat="1" applyFont="1" applyFill="1" applyBorder="1" applyAlignment="1">
      <alignment horizontal="right" wrapText="1"/>
    </xf>
    <xf numFmtId="3" fontId="82" fillId="28" borderId="51" xfId="0" applyNumberFormat="1" applyFont="1" applyFill="1" applyBorder="1" applyAlignment="1">
      <alignment horizontal="right" wrapText="1"/>
    </xf>
    <xf numFmtId="0" fontId="43" fillId="3" borderId="44" xfId="0" applyFont="1" applyFill="1" applyBorder="1" applyAlignment="1">
      <alignment horizontal="left" wrapText="1"/>
    </xf>
    <xf numFmtId="0" fontId="98" fillId="0" borderId="0" xfId="66" applyFont="1"/>
    <xf numFmtId="0" fontId="98" fillId="0" borderId="74" xfId="66" applyFont="1" applyBorder="1"/>
    <xf numFmtId="0" fontId="101" fillId="0" borderId="74" xfId="66" applyFont="1" applyBorder="1"/>
    <xf numFmtId="0" fontId="101" fillId="0" borderId="0" xfId="66" applyFont="1"/>
    <xf numFmtId="169" fontId="96" fillId="0" borderId="0" xfId="57" applyNumberFormat="1" applyFont="1"/>
    <xf numFmtId="0" fontId="101" fillId="0" borderId="74" xfId="57" applyFont="1" applyBorder="1"/>
    <xf numFmtId="169" fontId="101" fillId="0" borderId="74" xfId="58" applyNumberFormat="1" applyFont="1" applyBorder="1" applyAlignment="1">
      <alignment horizontal="center"/>
    </xf>
    <xf numFmtId="9" fontId="44" fillId="5" borderId="94" xfId="0" applyNumberFormat="1" applyFont="1" applyFill="1" applyBorder="1" applyAlignment="1">
      <alignment horizontal="center"/>
    </xf>
    <xf numFmtId="9" fontId="43" fillId="28" borderId="87" xfId="49" applyFont="1" applyFill="1" applyBorder="1"/>
    <xf numFmtId="9" fontId="43" fillId="3" borderId="88" xfId="49" applyFont="1" applyFill="1" applyBorder="1"/>
    <xf numFmtId="9" fontId="43" fillId="28" borderId="88" xfId="49" applyFont="1" applyFill="1" applyBorder="1"/>
    <xf numFmtId="3" fontId="44" fillId="28" borderId="46" xfId="0" applyNumberFormat="1" applyFont="1" applyFill="1" applyBorder="1" applyAlignment="1">
      <alignment horizontal="right"/>
    </xf>
    <xf numFmtId="3" fontId="44" fillId="3" borderId="47" xfId="0" applyNumberFormat="1" applyFont="1" applyFill="1" applyBorder="1" applyAlignment="1">
      <alignment horizontal="right"/>
    </xf>
    <xf numFmtId="3" fontId="44" fillId="28" borderId="96" xfId="0" applyNumberFormat="1" applyFont="1" applyFill="1" applyBorder="1" applyAlignment="1">
      <alignment horizontal="right"/>
    </xf>
    <xf numFmtId="3" fontId="48" fillId="28" borderId="136" xfId="0" applyNumberFormat="1" applyFont="1" applyFill="1" applyBorder="1" applyAlignment="1">
      <alignment horizontal="right"/>
    </xf>
    <xf numFmtId="3" fontId="48" fillId="3" borderId="41" xfId="0" applyNumberFormat="1" applyFont="1" applyFill="1" applyBorder="1" applyAlignment="1">
      <alignment horizontal="right"/>
    </xf>
    <xf numFmtId="3" fontId="44" fillId="28" borderId="41" xfId="0" applyNumberFormat="1" applyFont="1" applyFill="1" applyBorder="1" applyAlignment="1">
      <alignment horizontal="right"/>
    </xf>
    <xf numFmtId="3" fontId="44" fillId="3" borderId="41" xfId="0" applyNumberFormat="1" applyFont="1" applyFill="1" applyBorder="1" applyAlignment="1">
      <alignment horizontal="right"/>
    </xf>
    <xf numFmtId="3" fontId="48" fillId="28" borderId="41" xfId="0" applyNumberFormat="1" applyFont="1" applyFill="1" applyBorder="1" applyAlignment="1">
      <alignment horizontal="right"/>
    </xf>
    <xf numFmtId="3" fontId="44" fillId="28" borderId="70" xfId="0" applyNumberFormat="1" applyFont="1" applyFill="1" applyBorder="1" applyAlignment="1">
      <alignment horizontal="right"/>
    </xf>
    <xf numFmtId="3" fontId="43" fillId="0" borderId="141" xfId="0" applyNumberFormat="1" applyFont="1" applyBorder="1" applyAlignment="1">
      <alignment horizontal="right"/>
    </xf>
    <xf numFmtId="3" fontId="43" fillId="0" borderId="142" xfId="0" applyNumberFormat="1" applyFont="1" applyBorder="1" applyAlignment="1">
      <alignment horizontal="right"/>
    </xf>
    <xf numFmtId="3" fontId="44" fillId="5" borderId="78" xfId="0" applyNumberFormat="1" applyFont="1" applyFill="1" applyBorder="1" applyAlignment="1">
      <alignment horizontal="right"/>
    </xf>
    <xf numFmtId="168" fontId="44" fillId="5" borderId="3" xfId="0" applyNumberFormat="1" applyFont="1" applyFill="1" applyBorder="1" applyAlignment="1">
      <alignment horizontal="center"/>
    </xf>
    <xf numFmtId="9" fontId="43" fillId="28" borderId="127" xfId="0" applyNumberFormat="1" applyFont="1" applyFill="1" applyBorder="1" applyAlignment="1">
      <alignment horizontal="center"/>
    </xf>
    <xf numFmtId="9" fontId="43" fillId="3" borderId="88" xfId="0" applyNumberFormat="1" applyFont="1" applyFill="1" applyBorder="1" applyAlignment="1">
      <alignment horizontal="center"/>
    </xf>
    <xf numFmtId="9" fontId="50" fillId="28" borderId="88" xfId="0" applyNumberFormat="1" applyFont="1" applyFill="1" applyBorder="1" applyAlignment="1">
      <alignment horizontal="center"/>
    </xf>
    <xf numFmtId="9" fontId="43" fillId="28" borderId="88" xfId="0" applyNumberFormat="1" applyFont="1" applyFill="1" applyBorder="1" applyAlignment="1">
      <alignment horizontal="center"/>
    </xf>
    <xf numFmtId="9" fontId="48" fillId="28" borderId="90" xfId="0" applyNumberFormat="1" applyFont="1" applyFill="1" applyBorder="1" applyAlignment="1">
      <alignment horizontal="center"/>
    </xf>
    <xf numFmtId="9" fontId="43" fillId="28" borderId="87" xfId="0" applyNumberFormat="1" applyFont="1" applyFill="1" applyBorder="1" applyAlignment="1">
      <alignment horizontal="center"/>
    </xf>
    <xf numFmtId="9" fontId="43" fillId="28" borderId="90" xfId="0" applyNumberFormat="1" applyFont="1" applyFill="1" applyBorder="1" applyAlignment="1">
      <alignment horizontal="center"/>
    </xf>
    <xf numFmtId="9" fontId="43" fillId="28" borderId="89" xfId="0" applyNumberFormat="1" applyFont="1" applyFill="1" applyBorder="1" applyAlignment="1">
      <alignment horizontal="center"/>
    </xf>
    <xf numFmtId="9" fontId="44" fillId="5" borderId="3" xfId="0" applyNumberFormat="1" applyFont="1" applyFill="1" applyBorder="1" applyAlignment="1">
      <alignment horizontal="center"/>
    </xf>
    <xf numFmtId="3" fontId="48" fillId="28" borderId="55" xfId="0" applyNumberFormat="1" applyFont="1" applyFill="1" applyBorder="1" applyAlignment="1">
      <alignment horizontal="right"/>
    </xf>
    <xf numFmtId="3" fontId="48" fillId="3" borderId="47" xfId="0" applyNumberFormat="1" applyFont="1" applyFill="1" applyBorder="1" applyAlignment="1">
      <alignment horizontal="right"/>
    </xf>
    <xf numFmtId="3" fontId="43" fillId="3" borderId="47" xfId="0" applyNumberFormat="1" applyFont="1" applyFill="1" applyBorder="1" applyAlignment="1">
      <alignment horizontal="right"/>
    </xf>
    <xf numFmtId="3" fontId="43" fillId="28" borderId="47" xfId="0" applyNumberFormat="1" applyFont="1" applyFill="1" applyBorder="1" applyAlignment="1">
      <alignment horizontal="right"/>
    </xf>
    <xf numFmtId="3" fontId="43" fillId="28" borderId="46" xfId="0" applyNumberFormat="1" applyFont="1" applyFill="1" applyBorder="1" applyAlignment="1">
      <alignment horizontal="right"/>
    </xf>
    <xf numFmtId="3" fontId="43" fillId="28" borderId="48" xfId="0" applyNumberFormat="1" applyFont="1" applyFill="1" applyBorder="1" applyAlignment="1">
      <alignment horizontal="right"/>
    </xf>
    <xf numFmtId="3" fontId="43" fillId="28" borderId="96" xfId="0" applyNumberFormat="1" applyFont="1" applyFill="1" applyBorder="1" applyAlignment="1">
      <alignment horizontal="right"/>
    </xf>
    <xf numFmtId="3" fontId="43" fillId="2" borderId="17" xfId="0" applyNumberFormat="1" applyFont="1" applyFill="1" applyBorder="1" applyAlignment="1">
      <alignment horizontal="right"/>
    </xf>
    <xf numFmtId="9" fontId="48" fillId="28" borderId="88" xfId="0" applyNumberFormat="1" applyFont="1" applyFill="1" applyBorder="1" applyAlignment="1">
      <alignment horizontal="center"/>
    </xf>
    <xf numFmtId="0" fontId="44" fillId="5" borderId="2" xfId="0" applyFont="1" applyFill="1" applyBorder="1"/>
    <xf numFmtId="0" fontId="48" fillId="28" borderId="71" xfId="0" applyFont="1" applyFill="1" applyBorder="1"/>
    <xf numFmtId="0" fontId="48" fillId="3" borderId="44" xfId="0" applyFont="1" applyFill="1" applyBorder="1"/>
    <xf numFmtId="0" fontId="44" fillId="28" borderId="44" xfId="0" applyFont="1" applyFill="1" applyBorder="1"/>
    <xf numFmtId="0" fontId="44" fillId="3" borderId="44" xfId="0" applyFont="1" applyFill="1" applyBorder="1"/>
    <xf numFmtId="0" fontId="48" fillId="28" borderId="44" xfId="0" applyFont="1" applyFill="1" applyBorder="1"/>
    <xf numFmtId="0" fontId="48" fillId="3" borderId="44" xfId="0" applyFont="1" applyFill="1" applyBorder="1" applyAlignment="1">
      <alignment horizontal="left"/>
    </xf>
    <xf numFmtId="0" fontId="44" fillId="28" borderId="72" xfId="0" applyFont="1" applyFill="1" applyBorder="1"/>
    <xf numFmtId="9" fontId="82" fillId="28" borderId="88" xfId="49" applyFont="1" applyFill="1" applyBorder="1"/>
    <xf numFmtId="9" fontId="82" fillId="3" borderId="88" xfId="49" applyFont="1" applyFill="1" applyBorder="1"/>
    <xf numFmtId="9" fontId="82" fillId="28" borderId="90" xfId="49" applyFont="1" applyFill="1" applyBorder="1"/>
    <xf numFmtId="168" fontId="79" fillId="36" borderId="3" xfId="49" applyNumberFormat="1" applyFont="1" applyFill="1" applyBorder="1"/>
    <xf numFmtId="10" fontId="77" fillId="37" borderId="3" xfId="49" applyNumberFormat="1" applyFont="1" applyFill="1" applyBorder="1"/>
    <xf numFmtId="9" fontId="79" fillId="36" borderId="3" xfId="49" applyFont="1" applyFill="1" applyBorder="1"/>
    <xf numFmtId="168" fontId="77" fillId="37" borderId="3" xfId="49" applyNumberFormat="1" applyFont="1" applyFill="1" applyBorder="1"/>
    <xf numFmtId="9" fontId="43" fillId="0" borderId="88" xfId="49" applyFont="1" applyFill="1" applyBorder="1"/>
    <xf numFmtId="3" fontId="78" fillId="28" borderId="46" xfId="0" applyNumberFormat="1" applyFont="1" applyFill="1" applyBorder="1" applyAlignment="1">
      <alignment horizontal="right"/>
    </xf>
    <xf numFmtId="3" fontId="78" fillId="3" borderId="47" xfId="0" applyNumberFormat="1" applyFont="1" applyFill="1" applyBorder="1" applyAlignment="1">
      <alignment horizontal="right"/>
    </xf>
    <xf numFmtId="3" fontId="78" fillId="28" borderId="47" xfId="0" applyNumberFormat="1" applyFont="1" applyFill="1" applyBorder="1" applyAlignment="1">
      <alignment horizontal="right"/>
    </xf>
    <xf numFmtId="3" fontId="78" fillId="28" borderId="48" xfId="0" applyNumberFormat="1" applyFont="1" applyFill="1" applyBorder="1" applyAlignment="1">
      <alignment horizontal="right"/>
    </xf>
    <xf numFmtId="3" fontId="79" fillId="36" borderId="9" xfId="0" applyNumberFormat="1" applyFont="1" applyFill="1" applyBorder="1" applyAlignment="1">
      <alignment horizontal="right"/>
    </xf>
    <xf numFmtId="10" fontId="77" fillId="37" borderId="9" xfId="49" applyNumberFormat="1" applyFont="1" applyFill="1" applyBorder="1" applyAlignment="1">
      <alignment horizontal="right"/>
    </xf>
    <xf numFmtId="10" fontId="44" fillId="3" borderId="47" xfId="49" applyNumberFormat="1" applyFont="1" applyFill="1" applyBorder="1" applyAlignment="1">
      <alignment horizontal="right"/>
    </xf>
    <xf numFmtId="168" fontId="77" fillId="37" borderId="9" xfId="49" applyNumberFormat="1" applyFont="1" applyFill="1" applyBorder="1" applyAlignment="1">
      <alignment horizontal="right"/>
    </xf>
    <xf numFmtId="0" fontId="82" fillId="3" borderId="44" xfId="0" applyFont="1" applyFill="1" applyBorder="1" applyAlignment="1">
      <alignment wrapText="1"/>
    </xf>
    <xf numFmtId="0" fontId="82" fillId="28" borderId="72" xfId="0" applyFont="1" applyFill="1" applyBorder="1" applyAlignment="1">
      <alignment wrapText="1"/>
    </xf>
    <xf numFmtId="0" fontId="77" fillId="37" borderId="2" xfId="0" applyFont="1" applyFill="1" applyBorder="1" applyAlignment="1">
      <alignment wrapText="1"/>
    </xf>
    <xf numFmtId="0" fontId="43" fillId="3" borderId="44" xfId="0" applyFont="1" applyFill="1" applyBorder="1" applyAlignment="1">
      <alignment wrapText="1"/>
    </xf>
    <xf numFmtId="0" fontId="78" fillId="3" borderId="83" xfId="0" applyFont="1" applyFill="1" applyBorder="1" applyAlignment="1">
      <alignment horizontal="right"/>
    </xf>
    <xf numFmtId="3" fontId="82" fillId="28" borderId="65" xfId="0" applyNumberFormat="1" applyFont="1" applyFill="1" applyBorder="1" applyAlignment="1">
      <alignment horizontal="right" wrapText="1"/>
    </xf>
    <xf numFmtId="3" fontId="82" fillId="3" borderId="65" xfId="0" applyNumberFormat="1" applyFont="1" applyFill="1" applyBorder="1" applyAlignment="1">
      <alignment horizontal="right" wrapText="1"/>
    </xf>
    <xf numFmtId="3" fontId="82" fillId="28" borderId="66" xfId="0" applyNumberFormat="1" applyFont="1" applyFill="1" applyBorder="1" applyAlignment="1">
      <alignment horizontal="right" wrapText="1"/>
    </xf>
    <xf numFmtId="3" fontId="79" fillId="36" borderId="63" xfId="0" applyNumberFormat="1" applyFont="1" applyFill="1" applyBorder="1" applyAlignment="1">
      <alignment horizontal="right" wrapText="1"/>
    </xf>
    <xf numFmtId="10" fontId="77" fillId="37" borderId="63" xfId="49" applyNumberFormat="1" applyFont="1" applyFill="1" applyBorder="1" applyAlignment="1" applyProtection="1">
      <alignment horizontal="right" wrapText="1"/>
    </xf>
    <xf numFmtId="3" fontId="43" fillId="3" borderId="65" xfId="0" applyNumberFormat="1" applyFont="1" applyFill="1" applyBorder="1" applyAlignment="1">
      <alignment horizontal="right" wrapText="1"/>
    </xf>
    <xf numFmtId="3" fontId="43" fillId="28" borderId="65" xfId="0" applyNumberFormat="1" applyFont="1" applyFill="1" applyBorder="1" applyAlignment="1">
      <alignment horizontal="right" wrapText="1"/>
    </xf>
    <xf numFmtId="10" fontId="43" fillId="3" borderId="65" xfId="49" applyNumberFormat="1" applyFont="1" applyFill="1" applyBorder="1" applyAlignment="1" applyProtection="1">
      <alignment horizontal="right" wrapText="1"/>
    </xf>
    <xf numFmtId="168" fontId="77" fillId="37" borderId="63" xfId="49" applyNumberFormat="1" applyFont="1" applyFill="1" applyBorder="1" applyAlignment="1" applyProtection="1">
      <alignment horizontal="right" wrapText="1"/>
    </xf>
    <xf numFmtId="3" fontId="43" fillId="0" borderId="65" xfId="0" applyNumberFormat="1" applyFont="1" applyBorder="1" applyAlignment="1">
      <alignment horizontal="right" wrapText="1"/>
    </xf>
    <xf numFmtId="169" fontId="71" fillId="3" borderId="65" xfId="42" applyNumberFormat="1" applyFont="1" applyFill="1" applyBorder="1" applyAlignment="1" applyProtection="1">
      <alignment horizontal="right" wrapText="1"/>
    </xf>
    <xf numFmtId="3" fontId="105" fillId="36" borderId="63" xfId="0" applyNumberFormat="1" applyFont="1" applyFill="1" applyBorder="1" applyAlignment="1">
      <alignment horizontal="right" wrapText="1"/>
    </xf>
    <xf numFmtId="3" fontId="105" fillId="36" borderId="9" xfId="0" applyNumberFormat="1" applyFont="1" applyFill="1" applyBorder="1" applyAlignment="1">
      <alignment horizontal="right" wrapText="1"/>
    </xf>
    <xf numFmtId="0" fontId="70" fillId="4" borderId="1" xfId="0" applyFont="1" applyFill="1" applyBorder="1"/>
    <xf numFmtId="0" fontId="68" fillId="4" borderId="8" xfId="0" applyFont="1" applyFill="1" applyBorder="1"/>
    <xf numFmtId="0" fontId="91" fillId="5" borderId="2" xfId="0" applyFont="1" applyFill="1" applyBorder="1"/>
    <xf numFmtId="3" fontId="68" fillId="3" borderId="46" xfId="0" applyNumberFormat="1" applyFont="1" applyFill="1" applyBorder="1" applyAlignment="1">
      <alignment horizontal="right"/>
    </xf>
    <xf numFmtId="3" fontId="68" fillId="28" borderId="47" xfId="0" applyNumberFormat="1" applyFont="1" applyFill="1" applyBorder="1" applyAlignment="1">
      <alignment horizontal="right"/>
    </xf>
    <xf numFmtId="3" fontId="68" fillId="3" borderId="47" xfId="0" applyNumberFormat="1" applyFont="1" applyFill="1" applyBorder="1" applyAlignment="1">
      <alignment horizontal="right"/>
    </xf>
    <xf numFmtId="3" fontId="68" fillId="3" borderId="96" xfId="0" applyNumberFormat="1" applyFont="1" applyFill="1" applyBorder="1" applyAlignment="1">
      <alignment horizontal="right"/>
    </xf>
    <xf numFmtId="9" fontId="43" fillId="3" borderId="90" xfId="49" applyFont="1" applyFill="1" applyBorder="1"/>
    <xf numFmtId="9" fontId="44" fillId="28" borderId="89" xfId="49" applyFont="1" applyFill="1" applyBorder="1"/>
    <xf numFmtId="9" fontId="43" fillId="3" borderId="89" xfId="49" applyFont="1" applyFill="1" applyBorder="1"/>
    <xf numFmtId="9" fontId="44" fillId="3" borderId="47" xfId="49" applyFont="1" applyFill="1" applyBorder="1" applyAlignment="1">
      <alignment horizontal="right"/>
    </xf>
    <xf numFmtId="9" fontId="44" fillId="3" borderId="48" xfId="49" applyFont="1" applyFill="1" applyBorder="1" applyAlignment="1">
      <alignment horizontal="right"/>
    </xf>
    <xf numFmtId="168" fontId="44" fillId="3" borderId="96" xfId="49" applyNumberFormat="1" applyFont="1" applyFill="1" applyBorder="1" applyAlignment="1">
      <alignment horizontal="right"/>
    </xf>
    <xf numFmtId="3" fontId="108" fillId="5" borderId="54" xfId="0" applyNumberFormat="1" applyFont="1" applyFill="1" applyBorder="1" applyAlignment="1">
      <alignment horizontal="right"/>
    </xf>
    <xf numFmtId="3" fontId="82" fillId="28" borderId="58" xfId="0" applyNumberFormat="1" applyFont="1" applyFill="1" applyBorder="1"/>
    <xf numFmtId="3" fontId="82" fillId="3" borderId="36" xfId="0" applyNumberFormat="1" applyFont="1" applyFill="1" applyBorder="1"/>
    <xf numFmtId="3" fontId="108" fillId="28" borderId="36" xfId="0" applyNumberFormat="1" applyFont="1" applyFill="1" applyBorder="1" applyAlignment="1">
      <alignment horizontal="right"/>
    </xf>
    <xf numFmtId="3" fontId="108" fillId="3" borderId="36" xfId="0" applyNumberFormat="1" applyFont="1" applyFill="1" applyBorder="1"/>
    <xf numFmtId="3" fontId="108" fillId="28" borderId="51" xfId="0" applyNumberFormat="1" applyFont="1" applyFill="1" applyBorder="1" applyAlignment="1">
      <alignment horizontal="right"/>
    </xf>
    <xf numFmtId="3" fontId="108" fillId="5" borderId="60" xfId="0" applyNumberFormat="1" applyFont="1" applyFill="1" applyBorder="1" applyAlignment="1">
      <alignment horizontal="right"/>
    </xf>
    <xf numFmtId="3" fontId="82" fillId="5" borderId="54" xfId="0" applyNumberFormat="1" applyFont="1" applyFill="1" applyBorder="1" applyAlignment="1">
      <alignment horizontal="right"/>
    </xf>
    <xf numFmtId="3" fontId="82" fillId="28" borderId="51" xfId="0" applyNumberFormat="1" applyFont="1" applyFill="1" applyBorder="1" applyAlignment="1">
      <alignment horizontal="right"/>
    </xf>
    <xf numFmtId="3" fontId="82" fillId="5" borderId="60" xfId="0" applyNumberFormat="1" applyFont="1" applyFill="1" applyBorder="1" applyAlignment="1">
      <alignment horizontal="right"/>
    </xf>
    <xf numFmtId="3" fontId="82" fillId="28" borderId="0" xfId="0" applyNumberFormat="1" applyFont="1" applyFill="1" applyAlignment="1">
      <alignment horizontal="right"/>
    </xf>
    <xf numFmtId="169" fontId="82" fillId="28" borderId="46" xfId="42" applyNumberFormat="1" applyFont="1" applyFill="1" applyBorder="1" applyAlignment="1" applyProtection="1">
      <alignment horizontal="left" wrapText="1"/>
    </xf>
    <xf numFmtId="9" fontId="82" fillId="3" borderId="47" xfId="49" applyFont="1" applyFill="1" applyBorder="1" applyAlignment="1" applyProtection="1">
      <alignment horizontal="left" wrapText="1"/>
    </xf>
    <xf numFmtId="9" fontId="82" fillId="3" borderId="48" xfId="49" applyFont="1" applyFill="1" applyBorder="1" applyAlignment="1" applyProtection="1">
      <alignment horizontal="left" wrapText="1"/>
    </xf>
    <xf numFmtId="169" fontId="82" fillId="28" borderId="96" xfId="42" applyNumberFormat="1" applyFont="1" applyFill="1" applyBorder="1" applyAlignment="1" applyProtection="1">
      <alignment horizontal="left" wrapText="1"/>
    </xf>
    <xf numFmtId="9" fontId="82" fillId="3" borderId="96" xfId="49" applyFont="1" applyFill="1" applyBorder="1" applyAlignment="1" applyProtection="1">
      <alignment horizontal="left" wrapText="1"/>
    </xf>
    <xf numFmtId="0" fontId="43" fillId="28" borderId="71" xfId="0" applyFont="1" applyFill="1" applyBorder="1"/>
    <xf numFmtId="0" fontId="43" fillId="3" borderId="44" xfId="0" applyFont="1" applyFill="1" applyBorder="1"/>
    <xf numFmtId="0" fontId="43" fillId="28" borderId="44" xfId="0" applyFont="1" applyFill="1" applyBorder="1"/>
    <xf numFmtId="0" fontId="43" fillId="3" borderId="44" xfId="0" applyFont="1" applyFill="1" applyBorder="1" applyAlignment="1">
      <alignment horizontal="left"/>
    </xf>
    <xf numFmtId="3" fontId="82" fillId="5" borderId="9" xfId="0" applyNumberFormat="1" applyFont="1" applyFill="1" applyBorder="1" applyAlignment="1">
      <alignment horizontal="right"/>
    </xf>
    <xf numFmtId="3" fontId="82" fillId="28" borderId="55" xfId="0" applyNumberFormat="1" applyFont="1" applyFill="1" applyBorder="1"/>
    <xf numFmtId="3" fontId="82" fillId="3" borderId="47" xfId="0" applyNumberFormat="1" applyFont="1" applyFill="1" applyBorder="1"/>
    <xf numFmtId="3" fontId="82" fillId="28" borderId="47" xfId="0" applyNumberFormat="1" applyFont="1" applyFill="1" applyBorder="1" applyAlignment="1">
      <alignment horizontal="right"/>
    </xf>
    <xf numFmtId="3" fontId="82" fillId="28" borderId="47" xfId="0" applyNumberFormat="1" applyFont="1" applyFill="1" applyBorder="1"/>
    <xf numFmtId="3" fontId="82" fillId="28" borderId="48" xfId="0" applyNumberFormat="1" applyFont="1" applyFill="1" applyBorder="1" applyAlignment="1">
      <alignment horizontal="right"/>
    </xf>
    <xf numFmtId="3" fontId="82" fillId="5" borderId="7" xfId="0" applyNumberFormat="1" applyFont="1" applyFill="1" applyBorder="1" applyAlignment="1">
      <alignment horizontal="right"/>
    </xf>
    <xf numFmtId="3" fontId="82" fillId="0" borderId="46" xfId="0" applyNumberFormat="1" applyFont="1" applyBorder="1"/>
    <xf numFmtId="3" fontId="82" fillId="0" borderId="48" xfId="0" applyNumberFormat="1" applyFont="1" applyBorder="1"/>
    <xf numFmtId="3" fontId="82" fillId="0" borderId="96" xfId="0" applyNumberFormat="1" applyFont="1" applyBorder="1"/>
    <xf numFmtId="3" fontId="43" fillId="28" borderId="55" xfId="0" applyNumberFormat="1" applyFont="1" applyFill="1" applyBorder="1" applyAlignment="1">
      <alignment horizontal="right"/>
    </xf>
    <xf numFmtId="9" fontId="43" fillId="28" borderId="127" xfId="49" applyFont="1" applyFill="1" applyBorder="1" applyAlignment="1">
      <alignment horizontal="center"/>
    </xf>
    <xf numFmtId="9" fontId="43" fillId="3" borderId="88" xfId="49" applyFont="1" applyFill="1" applyBorder="1" applyAlignment="1">
      <alignment horizontal="center"/>
    </xf>
    <xf numFmtId="9" fontId="43" fillId="3" borderId="89" xfId="49" applyFont="1" applyFill="1" applyBorder="1" applyAlignment="1">
      <alignment horizontal="center"/>
    </xf>
    <xf numFmtId="3" fontId="48" fillId="3" borderId="96" xfId="0" applyNumberFormat="1" applyFont="1" applyFill="1" applyBorder="1" applyAlignment="1">
      <alignment horizontal="right"/>
    </xf>
    <xf numFmtId="3" fontId="83" fillId="28" borderId="55" xfId="0" applyNumberFormat="1" applyFont="1" applyFill="1" applyBorder="1" applyAlignment="1">
      <alignment horizontal="right"/>
    </xf>
    <xf numFmtId="3" fontId="83" fillId="3" borderId="47" xfId="0" applyNumberFormat="1" applyFont="1" applyFill="1" applyBorder="1" applyAlignment="1">
      <alignment horizontal="right"/>
    </xf>
    <xf numFmtId="3" fontId="78" fillId="5" borderId="7" xfId="0" applyNumberFormat="1" applyFont="1" applyFill="1" applyBorder="1" applyAlignment="1">
      <alignment horizontal="right"/>
    </xf>
    <xf numFmtId="0" fontId="82" fillId="28" borderId="55" xfId="0" applyFont="1" applyFill="1" applyBorder="1" applyAlignment="1">
      <alignment horizontal="left" wrapText="1"/>
    </xf>
    <xf numFmtId="0" fontId="82" fillId="28" borderId="47" xfId="0" applyFont="1" applyFill="1" applyBorder="1" applyAlignment="1">
      <alignment horizontal="left" wrapText="1"/>
    </xf>
    <xf numFmtId="0" fontId="82" fillId="28" borderId="96" xfId="0" applyFont="1" applyFill="1" applyBorder="1" applyAlignment="1">
      <alignment horizontal="left" wrapText="1"/>
    </xf>
    <xf numFmtId="9" fontId="78" fillId="5" borderId="3" xfId="0" applyNumberFormat="1" applyFont="1" applyFill="1" applyBorder="1" applyAlignment="1">
      <alignment horizontal="center"/>
    </xf>
    <xf numFmtId="9" fontId="82" fillId="28" borderId="127" xfId="0" applyNumberFormat="1" applyFont="1" applyFill="1" applyBorder="1" applyAlignment="1">
      <alignment horizontal="center"/>
    </xf>
    <xf numFmtId="9" fontId="82" fillId="3" borderId="88" xfId="0" applyNumberFormat="1" applyFont="1" applyFill="1" applyBorder="1" applyAlignment="1">
      <alignment horizontal="center"/>
    </xf>
    <xf numFmtId="9" fontId="83" fillId="28" borderId="88" xfId="0" applyNumberFormat="1" applyFont="1" applyFill="1" applyBorder="1" applyAlignment="1">
      <alignment horizontal="center"/>
    </xf>
    <xf numFmtId="9" fontId="82" fillId="28" borderId="88" xfId="0" applyNumberFormat="1" applyFont="1" applyFill="1" applyBorder="1" applyAlignment="1">
      <alignment horizontal="center"/>
    </xf>
    <xf numFmtId="9" fontId="83" fillId="28" borderId="90" xfId="0" applyNumberFormat="1" applyFont="1" applyFill="1" applyBorder="1" applyAlignment="1">
      <alignment horizontal="center"/>
    </xf>
    <xf numFmtId="9" fontId="78" fillId="5" borderId="94" xfId="0" applyNumberFormat="1" applyFont="1" applyFill="1" applyBorder="1" applyAlignment="1">
      <alignment horizontal="center"/>
    </xf>
    <xf numFmtId="9" fontId="82" fillId="28" borderId="87" xfId="0" applyNumberFormat="1" applyFont="1" applyFill="1" applyBorder="1" applyAlignment="1">
      <alignment horizontal="center"/>
    </xf>
    <xf numFmtId="9" fontId="82" fillId="28" borderId="90" xfId="0" applyNumberFormat="1" applyFont="1" applyFill="1" applyBorder="1" applyAlignment="1">
      <alignment horizontal="center"/>
    </xf>
    <xf numFmtId="9" fontId="82" fillId="28" borderId="89" xfId="0" applyNumberFormat="1" applyFont="1" applyFill="1" applyBorder="1" applyAlignment="1">
      <alignment horizontal="center"/>
    </xf>
    <xf numFmtId="3" fontId="82" fillId="3" borderId="47" xfId="0" applyNumberFormat="1" applyFont="1" applyFill="1" applyBorder="1" applyAlignment="1">
      <alignment horizontal="right"/>
    </xf>
    <xf numFmtId="3" fontId="82" fillId="28" borderId="46" xfId="0" applyNumberFormat="1" applyFont="1" applyFill="1" applyBorder="1" applyAlignment="1">
      <alignment horizontal="right"/>
    </xf>
    <xf numFmtId="3" fontId="82" fillId="28" borderId="96" xfId="0" applyNumberFormat="1" applyFont="1" applyFill="1" applyBorder="1" applyAlignment="1">
      <alignment horizontal="right"/>
    </xf>
    <xf numFmtId="3" fontId="78" fillId="5" borderId="2" xfId="0" applyNumberFormat="1" applyFont="1" applyFill="1" applyBorder="1" applyAlignment="1">
      <alignment horizontal="right"/>
    </xf>
    <xf numFmtId="9" fontId="78" fillId="5" borderId="9" xfId="0" applyNumberFormat="1" applyFont="1" applyFill="1" applyBorder="1" applyAlignment="1">
      <alignment horizontal="center"/>
    </xf>
    <xf numFmtId="0" fontId="78" fillId="5" borderId="2" xfId="0" applyFont="1" applyFill="1" applyBorder="1"/>
    <xf numFmtId="0" fontId="82" fillId="28" borderId="87" xfId="0" applyFont="1" applyFill="1" applyBorder="1"/>
    <xf numFmtId="0" fontId="82" fillId="3" borderId="88" xfId="0" applyFont="1" applyFill="1" applyBorder="1"/>
    <xf numFmtId="0" fontId="82" fillId="28" borderId="88" xfId="0" applyFont="1" applyFill="1" applyBorder="1"/>
    <xf numFmtId="0" fontId="82" fillId="28" borderId="89" xfId="0" applyFont="1" applyFill="1" applyBorder="1"/>
    <xf numFmtId="3" fontId="78" fillId="28" borderId="96" xfId="0" applyNumberFormat="1" applyFont="1" applyFill="1" applyBorder="1" applyAlignment="1">
      <alignment horizontal="right"/>
    </xf>
    <xf numFmtId="9" fontId="82" fillId="28" borderId="87" xfId="49" applyFont="1" applyFill="1" applyBorder="1"/>
    <xf numFmtId="9" fontId="83" fillId="3" borderId="88" xfId="49" applyFont="1" applyFill="1" applyBorder="1"/>
    <xf numFmtId="9" fontId="83" fillId="3" borderId="90" xfId="49" applyFont="1" applyFill="1" applyBorder="1"/>
    <xf numFmtId="9" fontId="78" fillId="28" borderId="89" xfId="49" applyFont="1" applyFill="1" applyBorder="1"/>
    <xf numFmtId="9" fontId="83" fillId="3" borderId="89" xfId="49" applyFont="1" applyFill="1" applyBorder="1"/>
    <xf numFmtId="9" fontId="77" fillId="3" borderId="47" xfId="49" applyFont="1" applyFill="1" applyBorder="1" applyAlignment="1">
      <alignment horizontal="right"/>
    </xf>
    <xf numFmtId="9" fontId="77" fillId="3" borderId="48" xfId="49" applyFont="1" applyFill="1" applyBorder="1" applyAlignment="1">
      <alignment horizontal="right"/>
    </xf>
    <xf numFmtId="9" fontId="77" fillId="3" borderId="96" xfId="49" applyFont="1" applyFill="1" applyBorder="1" applyAlignment="1">
      <alignment horizontal="right"/>
    </xf>
    <xf numFmtId="0" fontId="83" fillId="3" borderId="44" xfId="0" applyFont="1" applyFill="1" applyBorder="1" applyAlignment="1">
      <alignment wrapText="1"/>
    </xf>
    <xf numFmtId="0" fontId="83" fillId="28" borderId="71" xfId="0" applyFont="1" applyFill="1" applyBorder="1"/>
    <xf numFmtId="0" fontId="83" fillId="3" borderId="44" xfId="0" applyFont="1" applyFill="1" applyBorder="1"/>
    <xf numFmtId="0" fontId="78" fillId="28" borderId="44" xfId="0" applyFont="1" applyFill="1" applyBorder="1"/>
    <xf numFmtId="0" fontId="78" fillId="3" borderId="44" xfId="0" applyFont="1" applyFill="1" applyBorder="1"/>
    <xf numFmtId="0" fontId="83" fillId="28" borderId="44" xfId="0" applyFont="1" applyFill="1" applyBorder="1"/>
    <xf numFmtId="0" fontId="83" fillId="3" borderId="44" xfId="0" applyFont="1" applyFill="1" applyBorder="1" applyAlignment="1">
      <alignment horizontal="left"/>
    </xf>
    <xf numFmtId="0" fontId="78" fillId="28" borderId="72" xfId="0" applyFont="1" applyFill="1" applyBorder="1"/>
    <xf numFmtId="3" fontId="77" fillId="28" borderId="58" xfId="0" applyNumberFormat="1" applyFont="1" applyFill="1" applyBorder="1"/>
    <xf numFmtId="3" fontId="77" fillId="3" borderId="36" xfId="0" applyNumberFormat="1" applyFont="1" applyFill="1" applyBorder="1"/>
    <xf numFmtId="3" fontId="77" fillId="28" borderId="36" xfId="0" applyNumberFormat="1" applyFont="1" applyFill="1" applyBorder="1"/>
    <xf numFmtId="3" fontId="78" fillId="0" borderId="34" xfId="0" applyNumberFormat="1" applyFont="1" applyBorder="1"/>
    <xf numFmtId="3" fontId="78" fillId="0" borderId="51" xfId="0" applyNumberFormat="1" applyFont="1" applyBorder="1"/>
    <xf numFmtId="3" fontId="78" fillId="0" borderId="39" xfId="0" applyNumberFormat="1" applyFont="1" applyBorder="1"/>
    <xf numFmtId="3" fontId="78" fillId="2" borderId="0" xfId="0" applyNumberFormat="1" applyFont="1" applyFill="1"/>
    <xf numFmtId="169" fontId="78" fillId="28" borderId="40" xfId="42" applyNumberFormat="1" applyFont="1" applyFill="1" applyBorder="1" applyAlignment="1" applyProtection="1">
      <alignment horizontal="left" wrapText="1"/>
    </xf>
    <xf numFmtId="169" fontId="78" fillId="3" borderId="41" xfId="42" applyNumberFormat="1" applyFont="1" applyFill="1" applyBorder="1" applyAlignment="1" applyProtection="1">
      <alignment horizontal="left" wrapText="1"/>
    </xf>
    <xf numFmtId="169" fontId="78" fillId="28" borderId="41" xfId="42" applyNumberFormat="1" applyFont="1" applyFill="1" applyBorder="1" applyAlignment="1" applyProtection="1">
      <alignment horizontal="left" wrapText="1"/>
    </xf>
    <xf numFmtId="168" fontId="77" fillId="3" borderId="41" xfId="49" applyNumberFormat="1" applyFont="1" applyFill="1" applyBorder="1" applyAlignment="1" applyProtection="1">
      <alignment horizontal="left" wrapText="1"/>
    </xf>
    <xf numFmtId="9" fontId="77" fillId="3" borderId="70" xfId="49" applyFont="1" applyFill="1" applyBorder="1" applyAlignment="1" applyProtection="1">
      <alignment horizontal="left" wrapText="1"/>
    </xf>
    <xf numFmtId="9" fontId="77" fillId="3" borderId="42" xfId="49" applyFont="1" applyFill="1" applyBorder="1" applyAlignment="1" applyProtection="1">
      <alignment horizontal="left" wrapText="1"/>
    </xf>
    <xf numFmtId="9" fontId="82" fillId="28" borderId="127" xfId="49" applyFont="1" applyFill="1" applyBorder="1"/>
    <xf numFmtId="0" fontId="53" fillId="38" borderId="77" xfId="56" applyFont="1" applyFill="1" applyBorder="1" applyAlignment="1">
      <alignment horizontal="center" vertical="center"/>
    </xf>
    <xf numFmtId="0" fontId="97" fillId="2" borderId="74" xfId="56" applyFont="1" applyFill="1" applyBorder="1" applyAlignment="1">
      <alignment horizontal="center" vertical="center"/>
    </xf>
    <xf numFmtId="0" fontId="53" fillId="38" borderId="125" xfId="56" applyFont="1" applyFill="1" applyBorder="1" applyAlignment="1">
      <alignment horizontal="center" vertical="center"/>
    </xf>
    <xf numFmtId="3" fontId="109" fillId="0" borderId="74" xfId="56" applyNumberFormat="1" applyFont="1" applyBorder="1"/>
    <xf numFmtId="0" fontId="110" fillId="39" borderId="74" xfId="56" applyFont="1" applyFill="1" applyBorder="1" applyAlignment="1">
      <alignment horizontal="center" vertical="center" wrapText="1"/>
    </xf>
    <xf numFmtId="3" fontId="110" fillId="39" borderId="77" xfId="56" applyNumberFormat="1" applyFont="1" applyFill="1" applyBorder="1" applyAlignment="1">
      <alignment horizontal="center" vertical="center" wrapText="1"/>
    </xf>
    <xf numFmtId="3" fontId="110" fillId="38" borderId="74" xfId="56" applyNumberFormat="1" applyFont="1" applyFill="1" applyBorder="1"/>
    <xf numFmtId="165" fontId="111" fillId="3" borderId="74" xfId="42" applyFont="1" applyFill="1" applyBorder="1"/>
    <xf numFmtId="0" fontId="109" fillId="0" borderId="0" xfId="56" applyFont="1"/>
    <xf numFmtId="3" fontId="109" fillId="0" borderId="0" xfId="56" applyNumberFormat="1" applyFont="1"/>
    <xf numFmtId="169" fontId="112" fillId="0" borderId="74" xfId="67" applyNumberFormat="1" applyFont="1" applyBorder="1"/>
    <xf numFmtId="169" fontId="111" fillId="0" borderId="74" xfId="67" applyNumberFormat="1" applyFont="1" applyBorder="1"/>
    <xf numFmtId="169" fontId="111" fillId="0" borderId="0" xfId="67" applyNumberFormat="1" applyFont="1"/>
    <xf numFmtId="169" fontId="97" fillId="0" borderId="0" xfId="57" applyNumberFormat="1" applyFont="1"/>
    <xf numFmtId="9" fontId="113" fillId="5" borderId="81" xfId="0" applyNumberFormat="1" applyFont="1" applyFill="1" applyBorder="1" applyAlignment="1">
      <alignment horizontal="center"/>
    </xf>
    <xf numFmtId="0" fontId="99" fillId="0" borderId="0" xfId="0" applyFont="1"/>
    <xf numFmtId="0" fontId="113" fillId="3" borderId="74" xfId="0" applyFont="1" applyFill="1" applyBorder="1" applyAlignment="1">
      <alignment horizontal="center" vertical="center" wrapText="1"/>
    </xf>
    <xf numFmtId="0" fontId="113" fillId="3" borderId="74" xfId="0" applyFont="1" applyFill="1" applyBorder="1" applyAlignment="1">
      <alignment horizontal="center" vertical="center"/>
    </xf>
    <xf numFmtId="0" fontId="113" fillId="3" borderId="75" xfId="0" applyFont="1" applyFill="1" applyBorder="1" applyAlignment="1">
      <alignment horizontal="center" vertical="center"/>
    </xf>
    <xf numFmtId="3" fontId="113" fillId="3" borderId="97" xfId="0" applyNumberFormat="1" applyFont="1" applyFill="1" applyBorder="1" applyAlignment="1">
      <alignment horizontal="center" vertical="center"/>
    </xf>
    <xf numFmtId="9" fontId="113" fillId="5" borderId="101" xfId="0" applyNumberFormat="1" applyFont="1" applyFill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3" fontId="99" fillId="0" borderId="102" xfId="0" applyNumberFormat="1" applyFont="1" applyBorder="1" applyAlignment="1">
      <alignment horizontal="left"/>
    </xf>
    <xf numFmtId="3" fontId="99" fillId="0" borderId="74" xfId="0" applyNumberFormat="1" applyFont="1" applyBorder="1" applyAlignment="1">
      <alignment horizontal="right"/>
    </xf>
    <xf numFmtId="3" fontId="99" fillId="0" borderId="74" xfId="0" applyNumberFormat="1" applyFont="1" applyBorder="1"/>
    <xf numFmtId="3" fontId="99" fillId="0" borderId="75" xfId="0" applyNumberFormat="1" applyFont="1" applyBorder="1" applyAlignment="1">
      <alignment horizontal="right"/>
    </xf>
    <xf numFmtId="3" fontId="55" fillId="28" borderId="98" xfId="0" applyNumberFormat="1" applyFont="1" applyFill="1" applyBorder="1" applyAlignment="1">
      <alignment horizontal="right"/>
    </xf>
    <xf numFmtId="168" fontId="99" fillId="28" borderId="101" xfId="49" applyNumberFormat="1" applyFont="1" applyFill="1" applyBorder="1" applyAlignment="1">
      <alignment horizontal="center"/>
    </xf>
    <xf numFmtId="0" fontId="99" fillId="2" borderId="0" xfId="0" applyFont="1" applyFill="1"/>
    <xf numFmtId="3" fontId="99" fillId="3" borderId="102" xfId="0" applyNumberFormat="1" applyFont="1" applyFill="1" applyBorder="1" applyAlignment="1">
      <alignment horizontal="left"/>
    </xf>
    <xf numFmtId="3" fontId="99" fillId="3" borderId="74" xfId="0" applyNumberFormat="1" applyFont="1" applyFill="1" applyBorder="1" applyAlignment="1">
      <alignment horizontal="right"/>
    </xf>
    <xf numFmtId="3" fontId="99" fillId="3" borderId="74" xfId="0" applyNumberFormat="1" applyFont="1" applyFill="1" applyBorder="1"/>
    <xf numFmtId="3" fontId="99" fillId="3" borderId="75" xfId="0" applyNumberFormat="1" applyFont="1" applyFill="1" applyBorder="1" applyAlignment="1">
      <alignment horizontal="right"/>
    </xf>
    <xf numFmtId="3" fontId="55" fillId="3" borderId="98" xfId="0" applyNumberFormat="1" applyFont="1" applyFill="1" applyBorder="1" applyAlignment="1">
      <alignment horizontal="right"/>
    </xf>
    <xf numFmtId="168" fontId="99" fillId="3" borderId="101" xfId="49" applyNumberFormat="1" applyFont="1" applyFill="1" applyBorder="1" applyAlignment="1">
      <alignment horizontal="center"/>
    </xf>
    <xf numFmtId="0" fontId="55" fillId="5" borderId="102" xfId="0" applyFont="1" applyFill="1" applyBorder="1"/>
    <xf numFmtId="3" fontId="55" fillId="5" borderId="74" xfId="0" applyNumberFormat="1" applyFont="1" applyFill="1" applyBorder="1" applyAlignment="1">
      <alignment horizontal="right"/>
    </xf>
    <xf numFmtId="3" fontId="55" fillId="5" borderId="75" xfId="0" applyNumberFormat="1" applyFont="1" applyFill="1" applyBorder="1" applyAlignment="1">
      <alignment horizontal="right"/>
    </xf>
    <xf numFmtId="3" fontId="55" fillId="5" borderId="98" xfId="0" applyNumberFormat="1" applyFont="1" applyFill="1" applyBorder="1" applyAlignment="1">
      <alignment horizontal="right"/>
    </xf>
    <xf numFmtId="168" fontId="55" fillId="5" borderId="101" xfId="49" applyNumberFormat="1" applyFont="1" applyFill="1" applyBorder="1" applyAlignment="1">
      <alignment horizontal="center"/>
    </xf>
    <xf numFmtId="0" fontId="55" fillId="5" borderId="10" xfId="0" applyFont="1" applyFill="1" applyBorder="1"/>
    <xf numFmtId="3" fontId="55" fillId="5" borderId="11" xfId="0" applyNumberFormat="1" applyFont="1" applyFill="1" applyBorder="1" applyAlignment="1">
      <alignment horizontal="right"/>
    </xf>
    <xf numFmtId="3" fontId="55" fillId="5" borderId="103" xfId="0" applyNumberFormat="1" applyFont="1" applyFill="1" applyBorder="1" applyAlignment="1">
      <alignment horizontal="right"/>
    </xf>
    <xf numFmtId="3" fontId="55" fillId="5" borderId="99" xfId="0" applyNumberFormat="1" applyFont="1" applyFill="1" applyBorder="1" applyAlignment="1">
      <alignment horizontal="right"/>
    </xf>
    <xf numFmtId="168" fontId="55" fillId="5" borderId="104" xfId="49" applyNumberFormat="1" applyFont="1" applyFill="1" applyBorder="1" applyAlignment="1">
      <alignment horizontal="center"/>
    </xf>
    <xf numFmtId="169" fontId="99" fillId="0" borderId="0" xfId="42" applyNumberFormat="1" applyFont="1"/>
    <xf numFmtId="9" fontId="99" fillId="0" borderId="0" xfId="49" applyFont="1"/>
    <xf numFmtId="178" fontId="0" fillId="0" borderId="0" xfId="42" applyNumberFormat="1" applyFont="1"/>
    <xf numFmtId="176" fontId="71" fillId="35" borderId="68" xfId="42" applyNumberFormat="1" applyFont="1" applyFill="1" applyBorder="1" applyAlignment="1">
      <alignment horizontal="right"/>
    </xf>
    <xf numFmtId="0" fontId="56" fillId="2" borderId="1" xfId="0" applyFont="1" applyFill="1" applyBorder="1"/>
    <xf numFmtId="179" fontId="23" fillId="2" borderId="7" xfId="0" applyNumberFormat="1" applyFont="1" applyFill="1" applyBorder="1"/>
    <xf numFmtId="179" fontId="23" fillId="2" borderId="13" xfId="0" applyNumberFormat="1" applyFont="1" applyFill="1" applyBorder="1"/>
    <xf numFmtId="0" fontId="56" fillId="40" borderId="2" xfId="0" applyFont="1" applyFill="1" applyBorder="1"/>
    <xf numFmtId="179" fontId="56" fillId="40" borderId="9" xfId="0" applyNumberFormat="1" applyFont="1" applyFill="1" applyBorder="1"/>
    <xf numFmtId="0" fontId="56" fillId="2" borderId="0" xfId="0" applyFont="1" applyFill="1"/>
    <xf numFmtId="179" fontId="114" fillId="2" borderId="0" xfId="0" applyNumberFormat="1" applyFont="1" applyFill="1"/>
    <xf numFmtId="0" fontId="114" fillId="2" borderId="0" xfId="0" applyFont="1" applyFill="1"/>
    <xf numFmtId="0" fontId="0" fillId="2" borderId="14" xfId="0" applyFill="1" applyBorder="1"/>
    <xf numFmtId="179" fontId="56" fillId="2" borderId="143" xfId="0" applyNumberFormat="1" applyFont="1" applyFill="1" applyBorder="1"/>
    <xf numFmtId="0" fontId="56" fillId="2" borderId="15" xfId="0" applyFont="1" applyFill="1" applyBorder="1"/>
    <xf numFmtId="0" fontId="0" fillId="2" borderId="15" xfId="0" applyFill="1" applyBorder="1"/>
    <xf numFmtId="179" fontId="115" fillId="2" borderId="17" xfId="0" applyNumberFormat="1" applyFont="1" applyFill="1" applyBorder="1"/>
    <xf numFmtId="0" fontId="115" fillId="2" borderId="0" xfId="0" applyFont="1" applyFill="1"/>
    <xf numFmtId="0" fontId="115" fillId="2" borderId="96" xfId="0" applyFont="1" applyFill="1" applyBorder="1"/>
    <xf numFmtId="179" fontId="0" fillId="2" borderId="17" xfId="0" applyNumberFormat="1" applyFill="1" applyBorder="1"/>
    <xf numFmtId="0" fontId="115" fillId="2" borderId="14" xfId="0" applyFont="1" applyFill="1" applyBorder="1"/>
    <xf numFmtId="0" fontId="116" fillId="2" borderId="14" xfId="0" applyFont="1" applyFill="1" applyBorder="1"/>
    <xf numFmtId="179" fontId="116" fillId="2" borderId="17" xfId="0" applyNumberFormat="1" applyFont="1" applyFill="1" applyBorder="1"/>
    <xf numFmtId="179" fontId="116" fillId="28" borderId="17" xfId="0" applyNumberFormat="1" applyFont="1" applyFill="1" applyBorder="1"/>
    <xf numFmtId="179" fontId="117" fillId="2" borderId="143" xfId="0" applyNumberFormat="1" applyFont="1" applyFill="1" applyBorder="1"/>
    <xf numFmtId="179" fontId="0" fillId="2" borderId="9" xfId="0" applyNumberFormat="1" applyFill="1" applyBorder="1"/>
    <xf numFmtId="0" fontId="81" fillId="2" borderId="14" xfId="0" applyFont="1" applyFill="1" applyBorder="1"/>
    <xf numFmtId="179" fontId="118" fillId="41" borderId="17" xfId="0" applyNumberFormat="1" applyFont="1" applyFill="1" applyBorder="1"/>
    <xf numFmtId="0" fontId="119" fillId="2" borderId="0" xfId="0" applyFont="1" applyFill="1"/>
    <xf numFmtId="179" fontId="0" fillId="2" borderId="14" xfId="0" applyNumberFormat="1" applyFill="1" applyBorder="1"/>
    <xf numFmtId="179" fontId="0" fillId="2" borderId="0" xfId="0" applyNumberFormat="1" applyFill="1"/>
    <xf numFmtId="179" fontId="0" fillId="2" borderId="91" xfId="0" applyNumberFormat="1" applyFill="1" applyBorder="1"/>
    <xf numFmtId="179" fontId="23" fillId="40" borderId="79" xfId="0" applyNumberFormat="1" applyFont="1" applyFill="1" applyBorder="1" applyAlignment="1">
      <alignment horizontal="right"/>
    </xf>
    <xf numFmtId="179" fontId="23" fillId="40" borderId="80" xfId="0" applyNumberFormat="1" applyFont="1" applyFill="1" applyBorder="1" applyAlignment="1">
      <alignment horizontal="right"/>
    </xf>
    <xf numFmtId="179" fontId="23" fillId="40" borderId="81" xfId="0" applyNumberFormat="1" applyFont="1" applyFill="1" applyBorder="1" applyAlignment="1">
      <alignment horizontal="right"/>
    </xf>
    <xf numFmtId="0" fontId="0" fillId="2" borderId="132" xfId="0" applyFill="1" applyBorder="1"/>
    <xf numFmtId="179" fontId="0" fillId="2" borderId="11" xfId="0" applyNumberFormat="1" applyFill="1" applyBorder="1"/>
    <xf numFmtId="179" fontId="0" fillId="2" borderId="12" xfId="0" applyNumberFormat="1" applyFill="1" applyBorder="1"/>
    <xf numFmtId="179" fontId="0" fillId="0" borderId="0" xfId="0" applyNumberFormat="1"/>
    <xf numFmtId="179" fontId="23" fillId="35" borderId="79" xfId="0" applyNumberFormat="1" applyFont="1" applyFill="1" applyBorder="1" applyAlignment="1">
      <alignment horizontal="right"/>
    </xf>
    <xf numFmtId="179" fontId="23" fillId="35" borderId="80" xfId="0" applyNumberFormat="1" applyFont="1" applyFill="1" applyBorder="1" applyAlignment="1">
      <alignment horizontal="right"/>
    </xf>
    <xf numFmtId="179" fontId="23" fillId="35" borderId="81" xfId="0" applyNumberFormat="1" applyFont="1" applyFill="1" applyBorder="1" applyAlignment="1">
      <alignment horizontal="right"/>
    </xf>
    <xf numFmtId="0" fontId="0" fillId="28" borderId="132" xfId="0" applyFill="1" applyBorder="1"/>
    <xf numFmtId="180" fontId="0" fillId="28" borderId="10" xfId="0" applyNumberFormat="1" applyFill="1" applyBorder="1"/>
    <xf numFmtId="179" fontId="0" fillId="28" borderId="11" xfId="0" applyNumberFormat="1" applyFill="1" applyBorder="1"/>
    <xf numFmtId="179" fontId="0" fillId="28" borderId="12" xfId="0" applyNumberFormat="1" applyFill="1" applyBorder="1"/>
    <xf numFmtId="0" fontId="52" fillId="2" borderId="0" xfId="0" applyFont="1" applyFill="1" applyAlignment="1">
      <alignment wrapText="1"/>
    </xf>
    <xf numFmtId="0" fontId="0" fillId="2" borderId="1" xfId="0" applyFill="1" applyBorder="1"/>
    <xf numFmtId="0" fontId="52" fillId="2" borderId="93" xfId="0" applyFont="1" applyFill="1" applyBorder="1" applyAlignment="1">
      <alignment wrapText="1"/>
    </xf>
    <xf numFmtId="0" fontId="0" fillId="2" borderId="93" xfId="0" applyFill="1" applyBorder="1"/>
    <xf numFmtId="0" fontId="0" fillId="2" borderId="94" xfId="0" applyFill="1" applyBorder="1"/>
    <xf numFmtId="0" fontId="0" fillId="2" borderId="91" xfId="0" applyFill="1" applyBorder="1"/>
    <xf numFmtId="0" fontId="121" fillId="2" borderId="0" xfId="0" applyFont="1" applyFill="1"/>
    <xf numFmtId="0" fontId="122" fillId="2" borderId="14" xfId="0" applyFont="1" applyFill="1" applyBorder="1"/>
    <xf numFmtId="181" fontId="123" fillId="2" borderId="74" xfId="0" applyNumberFormat="1" applyFont="1" applyFill="1" applyBorder="1"/>
    <xf numFmtId="17" fontId="122" fillId="2" borderId="0" xfId="0" applyNumberFormat="1" applyFont="1" applyFill="1"/>
    <xf numFmtId="0" fontId="122" fillId="2" borderId="0" xfId="0" applyFont="1" applyFill="1"/>
    <xf numFmtId="10" fontId="124" fillId="2" borderId="14" xfId="0" applyNumberFormat="1" applyFont="1" applyFill="1" applyBorder="1" applyAlignment="1">
      <alignment readingOrder="1"/>
    </xf>
    <xf numFmtId="10" fontId="76" fillId="2" borderId="0" xfId="0" applyNumberFormat="1" applyFont="1" applyFill="1" applyAlignment="1">
      <alignment wrapText="1"/>
    </xf>
    <xf numFmtId="10" fontId="0" fillId="2" borderId="0" xfId="0" applyNumberFormat="1" applyFill="1"/>
    <xf numFmtId="10" fontId="126" fillId="2" borderId="0" xfId="0" applyNumberFormat="1" applyFont="1" applyFill="1"/>
    <xf numFmtId="170" fontId="126" fillId="2" borderId="0" xfId="0" applyNumberFormat="1" applyFont="1" applyFill="1"/>
    <xf numFmtId="182" fontId="124" fillId="2" borderId="14" xfId="0" applyNumberFormat="1" applyFont="1" applyFill="1" applyBorder="1" applyAlignment="1">
      <alignment readingOrder="1"/>
    </xf>
    <xf numFmtId="182" fontId="76" fillId="2" borderId="0" xfId="0" applyNumberFormat="1" applyFont="1" applyFill="1" applyAlignment="1">
      <alignment wrapText="1"/>
    </xf>
    <xf numFmtId="182" fontId="0" fillId="2" borderId="0" xfId="0" applyNumberFormat="1" applyFill="1"/>
    <xf numFmtId="0" fontId="127" fillId="2" borderId="14" xfId="0" applyFont="1" applyFill="1" applyBorder="1" applyAlignment="1">
      <alignment readingOrder="1"/>
    </xf>
    <xf numFmtId="0" fontId="76" fillId="2" borderId="0" xfId="0" applyFont="1" applyFill="1" applyAlignment="1">
      <alignment wrapText="1"/>
    </xf>
    <xf numFmtId="0" fontId="124" fillId="2" borderId="14" xfId="0" applyFont="1" applyFill="1" applyBorder="1" applyAlignment="1">
      <alignment readingOrder="1"/>
    </xf>
    <xf numFmtId="10" fontId="76" fillId="0" borderId="74" xfId="0" applyNumberFormat="1" applyFont="1" applyBorder="1"/>
    <xf numFmtId="0" fontId="76" fillId="2" borderId="0" xfId="0" applyFont="1" applyFill="1" applyAlignment="1">
      <alignment vertical="center" wrapText="1"/>
    </xf>
    <xf numFmtId="9" fontId="0" fillId="2" borderId="74" xfId="0" applyNumberFormat="1" applyFill="1" applyBorder="1" applyAlignment="1">
      <alignment horizontal="center"/>
    </xf>
    <xf numFmtId="10" fontId="0" fillId="2" borderId="74" xfId="0" applyNumberFormat="1" applyFill="1" applyBorder="1" applyAlignment="1">
      <alignment horizontal="center"/>
    </xf>
    <xf numFmtId="10" fontId="0" fillId="2" borderId="133" xfId="0" applyNumberFormat="1" applyFill="1" applyBorder="1" applyAlignment="1">
      <alignment horizontal="center"/>
    </xf>
    <xf numFmtId="4" fontId="0" fillId="2" borderId="74" xfId="0" applyNumberFormat="1" applyFill="1" applyBorder="1"/>
    <xf numFmtId="4" fontId="0" fillId="2" borderId="133" xfId="0" applyNumberFormat="1" applyFill="1" applyBorder="1"/>
    <xf numFmtId="0" fontId="124" fillId="2" borderId="8" xfId="0" applyFont="1" applyFill="1" applyBorder="1" applyAlignment="1">
      <alignment readingOrder="1"/>
    </xf>
    <xf numFmtId="0" fontId="76" fillId="2" borderId="95" xfId="0" applyFont="1" applyFill="1" applyBorder="1" applyAlignment="1">
      <alignment wrapText="1"/>
    </xf>
    <xf numFmtId="4" fontId="0" fillId="2" borderId="11" xfId="0" applyNumberFormat="1" applyFill="1" applyBorder="1"/>
    <xf numFmtId="0" fontId="77" fillId="37" borderId="2" xfId="0" applyFont="1" applyFill="1" applyBorder="1" applyAlignment="1">
      <alignment horizontal="left" wrapText="1"/>
    </xf>
    <xf numFmtId="0" fontId="48" fillId="0" borderId="47" xfId="0" applyFont="1" applyBorder="1"/>
    <xf numFmtId="3" fontId="48" fillId="0" borderId="35" xfId="0" applyNumberFormat="1" applyFont="1" applyBorder="1" applyAlignment="1">
      <alignment horizontal="right"/>
    </xf>
    <xf numFmtId="3" fontId="48" fillId="0" borderId="36" xfId="0" applyNumberFormat="1" applyFont="1" applyBorder="1"/>
    <xf numFmtId="3" fontId="48" fillId="0" borderId="65" xfId="0" applyNumberFormat="1" applyFont="1" applyBorder="1"/>
    <xf numFmtId="3" fontId="48" fillId="0" borderId="31" xfId="0" applyNumberFormat="1" applyFont="1" applyBorder="1"/>
    <xf numFmtId="3" fontId="48" fillId="0" borderId="31" xfId="0" applyNumberFormat="1" applyFont="1" applyBorder="1" applyAlignment="1">
      <alignment horizontal="right"/>
    </xf>
    <xf numFmtId="3" fontId="48" fillId="0" borderId="36" xfId="0" applyNumberFormat="1" applyFont="1" applyBorder="1" applyAlignment="1">
      <alignment horizontal="right"/>
    </xf>
    <xf numFmtId="3" fontId="48" fillId="0" borderId="47" xfId="0" applyNumberFormat="1" applyFont="1" applyBorder="1" applyAlignment="1">
      <alignment horizontal="right"/>
    </xf>
    <xf numFmtId="9" fontId="43" fillId="0" borderId="88" xfId="49" applyFont="1" applyFill="1" applyBorder="1" applyAlignment="1">
      <alignment horizontal="center"/>
    </xf>
    <xf numFmtId="9" fontId="43" fillId="0" borderId="0" xfId="0" applyNumberFormat="1" applyFont="1"/>
    <xf numFmtId="165" fontId="82" fillId="0" borderId="50" xfId="42" applyFont="1" applyFill="1" applyBorder="1" applyAlignment="1">
      <alignment horizontal="right"/>
    </xf>
    <xf numFmtId="165" fontId="82" fillId="0" borderId="66" xfId="42" applyFont="1" applyFill="1" applyBorder="1" applyAlignment="1">
      <alignment horizontal="right"/>
    </xf>
    <xf numFmtId="165" fontId="82" fillId="0" borderId="70" xfId="42" applyFont="1" applyFill="1" applyBorder="1" applyAlignment="1">
      <alignment horizontal="right"/>
    </xf>
    <xf numFmtId="9" fontId="83" fillId="3" borderId="41" xfId="49" applyFont="1" applyFill="1" applyBorder="1" applyAlignment="1" applyProtection="1">
      <alignment horizontal="right" wrapText="1"/>
    </xf>
    <xf numFmtId="9" fontId="83" fillId="3" borderId="70" xfId="49" applyFont="1" applyFill="1" applyBorder="1" applyAlignment="1" applyProtection="1">
      <alignment horizontal="right" wrapText="1"/>
    </xf>
    <xf numFmtId="169" fontId="78" fillId="28" borderId="42" xfId="42" applyNumberFormat="1" applyFont="1" applyFill="1" applyBorder="1" applyAlignment="1" applyProtection="1">
      <alignment horizontal="right" wrapText="1"/>
    </xf>
    <xf numFmtId="9" fontId="83" fillId="3" borderId="42" xfId="49" applyFont="1" applyFill="1" applyBorder="1" applyAlignment="1" applyProtection="1">
      <alignment horizontal="right" wrapText="1"/>
    </xf>
    <xf numFmtId="165" fontId="82" fillId="2" borderId="0" xfId="42" applyFont="1" applyFill="1"/>
    <xf numFmtId="3" fontId="128" fillId="28" borderId="0" xfId="0" applyNumberFormat="1" applyFont="1" applyFill="1" applyAlignment="1">
      <alignment horizontal="right" wrapText="1"/>
    </xf>
    <xf numFmtId="165" fontId="128" fillId="2" borderId="0" xfId="42" applyFont="1" applyFill="1"/>
    <xf numFmtId="3" fontId="128" fillId="2" borderId="0" xfId="0" applyNumberFormat="1" applyFont="1" applyFill="1"/>
    <xf numFmtId="0" fontId="83" fillId="35" borderId="47" xfId="0" applyFont="1" applyFill="1" applyBorder="1"/>
    <xf numFmtId="3" fontId="83" fillId="35" borderId="35" xfId="0" applyNumberFormat="1" applyFont="1" applyFill="1" applyBorder="1" applyAlignment="1">
      <alignment horizontal="right"/>
    </xf>
    <xf numFmtId="3" fontId="83" fillId="35" borderId="65" xfId="0" applyNumberFormat="1" applyFont="1" applyFill="1" applyBorder="1"/>
    <xf numFmtId="3" fontId="83" fillId="35" borderId="31" xfId="0" applyNumberFormat="1" applyFont="1" applyFill="1" applyBorder="1"/>
    <xf numFmtId="3" fontId="83" fillId="35" borderId="31" xfId="0" applyNumberFormat="1" applyFont="1" applyFill="1" applyBorder="1" applyAlignment="1">
      <alignment horizontal="right"/>
    </xf>
    <xf numFmtId="3" fontId="83" fillId="35" borderId="36" xfId="0" applyNumberFormat="1" applyFont="1" applyFill="1" applyBorder="1" applyAlignment="1">
      <alignment horizontal="right"/>
    </xf>
    <xf numFmtId="9" fontId="82" fillId="35" borderId="36" xfId="0" applyNumberFormat="1" applyFont="1" applyFill="1" applyBorder="1" applyAlignment="1">
      <alignment horizontal="center"/>
    </xf>
    <xf numFmtId="0" fontId="82" fillId="35" borderId="0" xfId="0" applyFont="1" applyFill="1"/>
    <xf numFmtId="0" fontId="83" fillId="35" borderId="47" xfId="0" applyFont="1" applyFill="1" applyBorder="1" applyAlignment="1">
      <alignment horizontal="left"/>
    </xf>
    <xf numFmtId="3" fontId="78" fillId="35" borderId="35" xfId="0" applyNumberFormat="1" applyFont="1" applyFill="1" applyBorder="1" applyAlignment="1">
      <alignment horizontal="right"/>
    </xf>
    <xf numFmtId="3" fontId="83" fillId="35" borderId="65" xfId="0" applyNumberFormat="1" applyFont="1" applyFill="1" applyBorder="1" applyAlignment="1">
      <alignment horizontal="right"/>
    </xf>
    <xf numFmtId="3" fontId="82" fillId="35" borderId="35" xfId="0" applyNumberFormat="1" applyFont="1" applyFill="1" applyBorder="1" applyAlignment="1">
      <alignment horizontal="right"/>
    </xf>
    <xf numFmtId="3" fontId="83" fillId="28" borderId="32" xfId="0" applyNumberFormat="1" applyFont="1" applyFill="1" applyBorder="1" applyAlignment="1">
      <alignment horizontal="right"/>
    </xf>
    <xf numFmtId="3" fontId="83" fillId="28" borderId="34" xfId="0" applyNumberFormat="1" applyFont="1" applyFill="1" applyBorder="1" applyAlignment="1">
      <alignment horizontal="right"/>
    </xf>
    <xf numFmtId="3" fontId="78" fillId="28" borderId="39" xfId="0" applyNumberFormat="1" applyFont="1" applyFill="1" applyBorder="1" applyAlignment="1">
      <alignment horizontal="right"/>
    </xf>
    <xf numFmtId="3" fontId="83" fillId="28" borderId="39" xfId="0" applyNumberFormat="1" applyFont="1" applyFill="1" applyBorder="1"/>
    <xf numFmtId="3" fontId="78" fillId="3" borderId="44" xfId="0" applyNumberFormat="1" applyFont="1" applyFill="1" applyBorder="1" applyAlignment="1">
      <alignment horizontal="right"/>
    </xf>
    <xf numFmtId="3" fontId="83" fillId="28" borderId="60" xfId="0" applyNumberFormat="1" applyFont="1" applyFill="1" applyBorder="1" applyAlignment="1">
      <alignment horizontal="right"/>
    </xf>
    <xf numFmtId="3" fontId="83" fillId="28" borderId="39" xfId="0" applyNumberFormat="1" applyFont="1" applyFill="1" applyBorder="1" applyAlignment="1">
      <alignment horizontal="right"/>
    </xf>
    <xf numFmtId="3" fontId="83" fillId="28" borderId="92" xfId="0" applyNumberFormat="1" applyFont="1" applyFill="1" applyBorder="1" applyAlignment="1">
      <alignment horizontal="right"/>
    </xf>
    <xf numFmtId="3" fontId="108" fillId="0" borderId="87" xfId="0" applyNumberFormat="1" applyFont="1" applyBorder="1"/>
    <xf numFmtId="3" fontId="108" fillId="0" borderId="90" xfId="0" applyNumberFormat="1" applyFont="1" applyBorder="1"/>
    <xf numFmtId="0" fontId="103" fillId="0" borderId="97" xfId="0" applyFont="1" applyBorder="1"/>
    <xf numFmtId="0" fontId="103" fillId="0" borderId="99" xfId="0" applyFont="1" applyBorder="1"/>
    <xf numFmtId="3" fontId="108" fillId="0" borderId="94" xfId="0" applyNumberFormat="1" applyFont="1" applyBorder="1"/>
    <xf numFmtId="3" fontId="108" fillId="0" borderId="89" xfId="0" applyNumberFormat="1" applyFont="1" applyBorder="1"/>
    <xf numFmtId="3" fontId="78" fillId="28" borderId="44" xfId="0" applyNumberFormat="1" applyFont="1" applyFill="1" applyBorder="1" applyAlignment="1">
      <alignment horizontal="right"/>
    </xf>
    <xf numFmtId="3" fontId="78" fillId="3" borderId="51" xfId="0" applyNumberFormat="1" applyFont="1" applyFill="1" applyBorder="1" applyAlignment="1">
      <alignment horizontal="right"/>
    </xf>
    <xf numFmtId="0" fontId="71" fillId="2" borderId="0" xfId="0" applyFont="1" applyFill="1" applyAlignment="1">
      <alignment horizontal="right"/>
    </xf>
    <xf numFmtId="10" fontId="0" fillId="0" borderId="74" xfId="49" applyNumberFormat="1" applyFont="1" applyBorder="1"/>
    <xf numFmtId="10" fontId="0" fillId="0" borderId="133" xfId="49" applyNumberFormat="1" applyFont="1" applyBorder="1"/>
    <xf numFmtId="183" fontId="71" fillId="2" borderId="0" xfId="0" applyNumberFormat="1" applyFont="1" applyFill="1"/>
    <xf numFmtId="10" fontId="71" fillId="2" borderId="0" xfId="42" applyNumberFormat="1" applyFont="1" applyFill="1"/>
    <xf numFmtId="168" fontId="0" fillId="0" borderId="0" xfId="49" applyNumberFormat="1" applyFont="1"/>
    <xf numFmtId="168" fontId="78" fillId="3" borderId="9" xfId="49" applyNumberFormat="1" applyFont="1" applyFill="1" applyBorder="1" applyAlignment="1">
      <alignment horizontal="center" wrapText="1"/>
    </xf>
    <xf numFmtId="168" fontId="78" fillId="5" borderId="9" xfId="49" applyNumberFormat="1" applyFont="1" applyFill="1" applyBorder="1" applyAlignment="1">
      <alignment horizontal="right"/>
    </xf>
    <xf numFmtId="168" fontId="82" fillId="28" borderId="58" xfId="49" applyNumberFormat="1" applyFont="1" applyFill="1" applyBorder="1" applyAlignment="1">
      <alignment horizontal="center"/>
    </xf>
    <xf numFmtId="168" fontId="82" fillId="3" borderId="36" xfId="49" applyNumberFormat="1" applyFont="1" applyFill="1" applyBorder="1" applyAlignment="1">
      <alignment horizontal="center"/>
    </xf>
    <xf numFmtId="168" fontId="83" fillId="28" borderId="36" xfId="49" applyNumberFormat="1" applyFont="1" applyFill="1" applyBorder="1" applyAlignment="1">
      <alignment horizontal="center"/>
    </xf>
    <xf numFmtId="168" fontId="82" fillId="28" borderId="36" xfId="49" applyNumberFormat="1" applyFont="1" applyFill="1" applyBorder="1" applyAlignment="1">
      <alignment horizontal="center"/>
    </xf>
    <xf numFmtId="168" fontId="83" fillId="28" borderId="51" xfId="49" applyNumberFormat="1" applyFont="1" applyFill="1" applyBorder="1" applyAlignment="1">
      <alignment horizontal="center"/>
    </xf>
    <xf numFmtId="168" fontId="78" fillId="5" borderId="60" xfId="49" applyNumberFormat="1" applyFont="1" applyFill="1" applyBorder="1" applyAlignment="1">
      <alignment horizontal="center"/>
    </xf>
    <xf numFmtId="168" fontId="82" fillId="28" borderId="34" xfId="49" applyNumberFormat="1" applyFont="1" applyFill="1" applyBorder="1" applyAlignment="1">
      <alignment horizontal="center"/>
    </xf>
    <xf numFmtId="168" fontId="82" fillId="28" borderId="51" xfId="49" applyNumberFormat="1" applyFont="1" applyFill="1" applyBorder="1" applyAlignment="1">
      <alignment horizontal="center"/>
    </xf>
    <xf numFmtId="168" fontId="82" fillId="28" borderId="39" xfId="49" applyNumberFormat="1" applyFont="1" applyFill="1" applyBorder="1" applyAlignment="1">
      <alignment horizontal="center"/>
    </xf>
    <xf numFmtId="168" fontId="82" fillId="2" borderId="0" xfId="49" applyNumberFormat="1" applyFont="1" applyFill="1" applyBorder="1" applyAlignment="1">
      <alignment horizontal="center"/>
    </xf>
    <xf numFmtId="168" fontId="78" fillId="5" borderId="54" xfId="49" applyNumberFormat="1" applyFont="1" applyFill="1" applyBorder="1" applyAlignment="1">
      <alignment horizontal="center"/>
    </xf>
    <xf numFmtId="168" fontId="82" fillId="28" borderId="0" xfId="49" applyNumberFormat="1" applyFont="1" applyFill="1" applyBorder="1" applyAlignment="1">
      <alignment horizontal="center"/>
    </xf>
    <xf numFmtId="9" fontId="43" fillId="28" borderId="89" xfId="49" applyFont="1" applyFill="1" applyBorder="1"/>
    <xf numFmtId="165" fontId="84" fillId="0" borderId="0" xfId="42" applyFont="1"/>
    <xf numFmtId="0" fontId="107" fillId="0" borderId="55" xfId="0" applyFont="1" applyBorder="1"/>
    <xf numFmtId="0" fontId="107" fillId="0" borderId="47" xfId="0" applyFont="1" applyBorder="1"/>
    <xf numFmtId="0" fontId="107" fillId="0" borderId="96" xfId="0" applyFont="1" applyBorder="1"/>
    <xf numFmtId="3" fontId="107" fillId="37" borderId="9" xfId="49" applyNumberFormat="1" applyFont="1" applyFill="1" applyBorder="1" applyAlignment="1" applyProtection="1">
      <alignment horizontal="right" wrapText="1"/>
    </xf>
    <xf numFmtId="3" fontId="107" fillId="0" borderId="0" xfId="49" applyNumberFormat="1" applyFont="1" applyFill="1" applyBorder="1" applyAlignment="1" applyProtection="1">
      <alignment horizontal="right" wrapText="1"/>
    </xf>
    <xf numFmtId="165" fontId="84" fillId="0" borderId="0" xfId="42" applyFont="1" applyFill="1"/>
    <xf numFmtId="169" fontId="107" fillId="37" borderId="2" xfId="42" applyNumberFormat="1" applyFont="1" applyFill="1" applyBorder="1" applyAlignment="1">
      <alignment horizontal="right"/>
    </xf>
    <xf numFmtId="0" fontId="7" fillId="0" borderId="0" xfId="0" applyFont="1"/>
    <xf numFmtId="3" fontId="77" fillId="0" borderId="0" xfId="49" applyNumberFormat="1" applyFont="1" applyFill="1" applyBorder="1" applyAlignment="1" applyProtection="1">
      <alignment horizontal="right" wrapText="1"/>
    </xf>
    <xf numFmtId="0" fontId="71" fillId="0" borderId="46" xfId="0" applyFont="1" applyBorder="1" applyAlignment="1">
      <alignment horizontal="left"/>
    </xf>
    <xf numFmtId="1" fontId="46" fillId="0" borderId="56" xfId="42" applyNumberFormat="1" applyFont="1" applyBorder="1" applyAlignment="1"/>
    <xf numFmtId="1" fontId="46" fillId="0" borderId="57" xfId="42" applyNumberFormat="1" applyFont="1" applyBorder="1" applyAlignment="1"/>
    <xf numFmtId="1" fontId="46" fillId="0" borderId="136" xfId="42" applyNumberFormat="1" applyFont="1" applyBorder="1" applyAlignment="1"/>
    <xf numFmtId="1" fontId="84" fillId="0" borderId="55" xfId="42" applyNumberFormat="1" applyFont="1" applyBorder="1" applyAlignment="1"/>
    <xf numFmtId="0" fontId="71" fillId="0" borderId="47" xfId="0" applyFont="1" applyBorder="1" applyAlignment="1">
      <alignment horizontal="left"/>
    </xf>
    <xf numFmtId="1" fontId="46" fillId="0" borderId="35" xfId="42" applyNumberFormat="1" applyFont="1" applyBorder="1" applyAlignment="1"/>
    <xf numFmtId="1" fontId="46" fillId="0" borderId="31" xfId="42" applyNumberFormat="1" applyFont="1" applyBorder="1" applyAlignment="1"/>
    <xf numFmtId="1" fontId="46" fillId="0" borderId="41" xfId="42" applyNumberFormat="1" applyFont="1" applyBorder="1" applyAlignment="1"/>
    <xf numFmtId="1" fontId="49" fillId="28" borderId="47" xfId="0" applyNumberFormat="1" applyFont="1" applyFill="1" applyBorder="1"/>
    <xf numFmtId="1" fontId="46" fillId="0" borderId="47" xfId="42" applyNumberFormat="1" applyFont="1" applyBorder="1" applyAlignment="1"/>
    <xf numFmtId="0" fontId="71" fillId="0" borderId="96" xfId="0" applyFont="1" applyBorder="1" applyAlignment="1">
      <alignment horizontal="left"/>
    </xf>
    <xf numFmtId="1" fontId="46" fillId="0" borderId="96" xfId="42" applyNumberFormat="1" applyFont="1" applyBorder="1" applyAlignment="1"/>
    <xf numFmtId="3" fontId="49" fillId="37" borderId="9" xfId="49" applyNumberFormat="1" applyFont="1" applyFill="1" applyBorder="1" applyAlignment="1" applyProtection="1">
      <alignment horizontal="right" wrapText="1"/>
    </xf>
    <xf numFmtId="1" fontId="49" fillId="37" borderId="52" xfId="42" applyNumberFormat="1" applyFont="1" applyFill="1" applyBorder="1" applyAlignment="1" applyProtection="1">
      <alignment wrapText="1"/>
    </xf>
    <xf numFmtId="1" fontId="49" fillId="37" borderId="53" xfId="42" applyNumberFormat="1" applyFont="1" applyFill="1" applyBorder="1" applyAlignment="1" applyProtection="1">
      <alignment wrapText="1"/>
    </xf>
    <xf numFmtId="1" fontId="49" fillId="37" borderId="54" xfId="42" applyNumberFormat="1" applyFont="1" applyFill="1" applyBorder="1" applyAlignment="1" applyProtection="1">
      <alignment wrapText="1"/>
    </xf>
    <xf numFmtId="1" fontId="49" fillId="37" borderId="9" xfId="49" applyNumberFormat="1" applyFont="1" applyFill="1" applyBorder="1" applyAlignment="1"/>
    <xf numFmtId="165" fontId="46" fillId="0" borderId="0" xfId="42" applyFont="1"/>
    <xf numFmtId="169" fontId="46" fillId="0" borderId="56" xfId="42" applyNumberFormat="1" applyFont="1" applyBorder="1" applyAlignment="1"/>
    <xf numFmtId="169" fontId="46" fillId="0" borderId="57" xfId="42" applyNumberFormat="1" applyFont="1" applyBorder="1" applyAlignment="1"/>
    <xf numFmtId="169" fontId="46" fillId="0" borderId="136" xfId="42" applyNumberFormat="1" applyFont="1" applyBorder="1" applyAlignment="1"/>
    <xf numFmtId="169" fontId="84" fillId="0" borderId="55" xfId="42" applyNumberFormat="1" applyFont="1" applyBorder="1" applyAlignment="1"/>
    <xf numFmtId="169" fontId="46" fillId="0" borderId="35" xfId="42" applyNumberFormat="1" applyFont="1" applyBorder="1" applyAlignment="1"/>
    <xf numFmtId="169" fontId="46" fillId="0" borderId="31" xfId="42" applyNumberFormat="1" applyFont="1" applyBorder="1" applyAlignment="1"/>
    <xf numFmtId="169" fontId="46" fillId="0" borderId="41" xfId="42" applyNumberFormat="1" applyFont="1" applyBorder="1" applyAlignment="1"/>
    <xf numFmtId="169" fontId="49" fillId="28" borderId="47" xfId="42" applyNumberFormat="1" applyFont="1" applyFill="1" applyBorder="1" applyAlignment="1"/>
    <xf numFmtId="169" fontId="46" fillId="0" borderId="47" xfId="42" applyNumberFormat="1" applyFont="1" applyBorder="1" applyAlignment="1"/>
    <xf numFmtId="169" fontId="49" fillId="37" borderId="52" xfId="42" applyNumberFormat="1" applyFont="1" applyFill="1" applyBorder="1" applyAlignment="1" applyProtection="1">
      <alignment wrapText="1"/>
    </xf>
    <xf numFmtId="169" fontId="46" fillId="0" borderId="0" xfId="42" applyNumberFormat="1" applyFont="1" applyAlignment="1"/>
    <xf numFmtId="0" fontId="6" fillId="2" borderId="0" xfId="68" applyFill="1"/>
    <xf numFmtId="0" fontId="44" fillId="3" borderId="20" xfId="68" applyFont="1" applyFill="1" applyBorder="1" applyAlignment="1">
      <alignment horizontal="right"/>
    </xf>
    <xf numFmtId="0" fontId="44" fillId="3" borderId="18" xfId="68" applyFont="1" applyFill="1" applyBorder="1" applyAlignment="1">
      <alignment horizontal="right"/>
    </xf>
    <xf numFmtId="3" fontId="23" fillId="3" borderId="104" xfId="68" applyNumberFormat="1" applyFont="1" applyFill="1" applyBorder="1" applyAlignment="1">
      <alignment horizontal="right"/>
    </xf>
    <xf numFmtId="3" fontId="44" fillId="5" borderId="63" xfId="68" applyNumberFormat="1" applyFont="1" applyFill="1" applyBorder="1" applyAlignment="1">
      <alignment horizontal="right"/>
    </xf>
    <xf numFmtId="3" fontId="44" fillId="5" borderId="53" xfId="68" applyNumberFormat="1" applyFont="1" applyFill="1" applyBorder="1" applyAlignment="1">
      <alignment horizontal="right"/>
    </xf>
    <xf numFmtId="3" fontId="44" fillId="5" borderId="73" xfId="68" applyNumberFormat="1" applyFont="1" applyFill="1" applyBorder="1" applyAlignment="1">
      <alignment horizontal="right"/>
    </xf>
    <xf numFmtId="3" fontId="44" fillId="5" borderId="9" xfId="68" applyNumberFormat="1" applyFont="1" applyFill="1" applyBorder="1" applyAlignment="1">
      <alignment horizontal="right"/>
    </xf>
    <xf numFmtId="3" fontId="6" fillId="0" borderId="33" xfId="68" applyNumberFormat="1" applyBorder="1" applyAlignment="1">
      <alignment horizontal="right"/>
    </xf>
    <xf numFmtId="3" fontId="6" fillId="0" borderId="46" xfId="68" applyNumberFormat="1" applyBorder="1" applyAlignment="1">
      <alignment horizontal="right"/>
    </xf>
    <xf numFmtId="3" fontId="6" fillId="3" borderId="31" xfId="68" applyNumberFormat="1" applyFill="1" applyBorder="1" applyAlignment="1">
      <alignment horizontal="right"/>
    </xf>
    <xf numFmtId="3" fontId="6" fillId="3" borderId="47" xfId="68" applyNumberFormat="1" applyFill="1" applyBorder="1" applyAlignment="1">
      <alignment horizontal="right"/>
    </xf>
    <xf numFmtId="3" fontId="6" fillId="28" borderId="17" xfId="68" applyNumberFormat="1" applyFill="1" applyBorder="1" applyAlignment="1">
      <alignment horizontal="right"/>
    </xf>
    <xf numFmtId="3" fontId="6" fillId="0" borderId="47" xfId="68" applyNumberFormat="1" applyBorder="1" applyAlignment="1">
      <alignment horizontal="right"/>
    </xf>
    <xf numFmtId="0" fontId="6" fillId="0" borderId="0" xfId="68"/>
    <xf numFmtId="0" fontId="6" fillId="28" borderId="0" xfId="68" applyFill="1"/>
    <xf numFmtId="3" fontId="6" fillId="0" borderId="0" xfId="68" applyNumberFormat="1" applyAlignment="1">
      <alignment horizontal="right"/>
    </xf>
    <xf numFmtId="3" fontId="6" fillId="0" borderId="17" xfId="68" applyNumberFormat="1" applyBorder="1" applyAlignment="1">
      <alignment horizontal="right"/>
    </xf>
    <xf numFmtId="3" fontId="6" fillId="3" borderId="38" xfId="68" applyNumberFormat="1" applyFill="1" applyBorder="1" applyAlignment="1">
      <alignment horizontal="right"/>
    </xf>
    <xf numFmtId="3" fontId="6" fillId="3" borderId="96" xfId="68" applyNumberFormat="1" applyFill="1" applyBorder="1" applyAlignment="1">
      <alignment horizontal="right"/>
    </xf>
    <xf numFmtId="3" fontId="6" fillId="28" borderId="0" xfId="68" applyNumberFormat="1" applyFill="1" applyAlignment="1">
      <alignment horizontal="right"/>
    </xf>
    <xf numFmtId="3" fontId="44" fillId="5" borderId="52" xfId="68" applyNumberFormat="1" applyFont="1" applyFill="1" applyBorder="1" applyAlignment="1">
      <alignment horizontal="right"/>
    </xf>
    <xf numFmtId="3" fontId="44" fillId="5" borderId="54" xfId="68" applyNumberFormat="1" applyFont="1" applyFill="1" applyBorder="1" applyAlignment="1">
      <alignment horizontal="right"/>
    </xf>
    <xf numFmtId="3" fontId="23" fillId="5" borderId="3" xfId="68" applyNumberFormat="1" applyFont="1" applyFill="1" applyBorder="1" applyAlignment="1">
      <alignment horizontal="right"/>
    </xf>
    <xf numFmtId="3" fontId="6" fillId="28" borderId="34" xfId="68" applyNumberFormat="1" applyFill="1" applyBorder="1" applyAlignment="1">
      <alignment horizontal="right"/>
    </xf>
    <xf numFmtId="3" fontId="6" fillId="3" borderId="36" xfId="68" applyNumberFormat="1" applyFill="1" applyBorder="1" applyAlignment="1">
      <alignment horizontal="right"/>
    </xf>
    <xf numFmtId="3" fontId="6" fillId="28" borderId="38" xfId="68" applyNumberFormat="1" applyFill="1" applyBorder="1" applyAlignment="1">
      <alignment horizontal="right"/>
    </xf>
    <xf numFmtId="3" fontId="6" fillId="28" borderId="39" xfId="68" applyNumberFormat="1" applyFill="1" applyBorder="1" applyAlignment="1">
      <alignment horizontal="right"/>
    </xf>
    <xf numFmtId="3" fontId="6" fillId="28" borderId="33" xfId="68" applyNumberFormat="1" applyFill="1" applyBorder="1" applyAlignment="1">
      <alignment horizontal="right"/>
    </xf>
    <xf numFmtId="3" fontId="6" fillId="28" borderId="51" xfId="68" applyNumberFormat="1" applyFill="1" applyBorder="1" applyAlignment="1">
      <alignment horizontal="right"/>
    </xf>
    <xf numFmtId="3" fontId="6" fillId="28" borderId="86" xfId="68" applyNumberFormat="1" applyFill="1" applyBorder="1" applyAlignment="1">
      <alignment horizontal="right"/>
    </xf>
    <xf numFmtId="3" fontId="6" fillId="0" borderId="34" xfId="68" applyNumberFormat="1" applyBorder="1" applyAlignment="1">
      <alignment horizontal="right"/>
    </xf>
    <xf numFmtId="3" fontId="6" fillId="0" borderId="36" xfId="68" applyNumberFormat="1" applyBorder="1" applyAlignment="1">
      <alignment horizontal="right"/>
    </xf>
    <xf numFmtId="3" fontId="6" fillId="0" borderId="39" xfId="68" applyNumberFormat="1" applyBorder="1" applyAlignment="1">
      <alignment horizontal="right"/>
    </xf>
    <xf numFmtId="3" fontId="6" fillId="2" borderId="74" xfId="68" applyNumberFormat="1" applyFill="1" applyBorder="1"/>
    <xf numFmtId="3" fontId="6" fillId="3" borderId="39" xfId="68" applyNumberFormat="1" applyFill="1" applyBorder="1" applyAlignment="1">
      <alignment horizontal="right"/>
    </xf>
    <xf numFmtId="165" fontId="103" fillId="3" borderId="65" xfId="42" applyFont="1" applyFill="1" applyBorder="1" applyAlignment="1">
      <alignment horizontal="right"/>
    </xf>
    <xf numFmtId="165" fontId="103" fillId="3" borderId="31" xfId="42" applyFont="1" applyFill="1" applyBorder="1" applyAlignment="1">
      <alignment horizontal="right"/>
    </xf>
    <xf numFmtId="165" fontId="103" fillId="3" borderId="36" xfId="42" applyFont="1" applyFill="1" applyBorder="1" applyAlignment="1">
      <alignment horizontal="right"/>
    </xf>
    <xf numFmtId="3" fontId="82" fillId="28" borderId="31" xfId="0" applyNumberFormat="1" applyFont="1" applyFill="1" applyBorder="1" applyAlignment="1">
      <alignment horizontal="right"/>
    </xf>
    <xf numFmtId="3" fontId="82" fillId="3" borderId="31" xfId="0" applyNumberFormat="1" applyFont="1" applyFill="1" applyBorder="1" applyAlignment="1">
      <alignment horizontal="right"/>
    </xf>
    <xf numFmtId="3" fontId="82" fillId="3" borderId="36" xfId="0" applyNumberFormat="1" applyFont="1" applyFill="1" applyBorder="1" applyAlignment="1">
      <alignment horizontal="right"/>
    </xf>
    <xf numFmtId="3" fontId="82" fillId="28" borderId="65" xfId="0" applyNumberFormat="1" applyFont="1" applyFill="1" applyBorder="1" applyAlignment="1">
      <alignment horizontal="right"/>
    </xf>
    <xf numFmtId="3" fontId="82" fillId="3" borderId="65" xfId="0" applyNumberFormat="1" applyFont="1" applyFill="1" applyBorder="1" applyAlignment="1">
      <alignment horizontal="right"/>
    </xf>
    <xf numFmtId="3" fontId="78" fillId="3" borderId="47" xfId="0" applyNumberFormat="1" applyFont="1" applyFill="1" applyBorder="1" applyAlignment="1">
      <alignment horizontal="right" wrapText="1"/>
    </xf>
    <xf numFmtId="3" fontId="78" fillId="28" borderId="96" xfId="0" applyNumberFormat="1" applyFont="1" applyFill="1" applyBorder="1" applyAlignment="1">
      <alignment horizontal="right" wrapText="1"/>
    </xf>
    <xf numFmtId="3" fontId="49" fillId="28" borderId="46" xfId="42" applyNumberFormat="1" applyFont="1" applyFill="1" applyBorder="1" applyAlignment="1" applyProtection="1">
      <alignment horizontal="right" wrapText="1"/>
    </xf>
    <xf numFmtId="3" fontId="49" fillId="3" borderId="55" xfId="42" applyNumberFormat="1" applyFont="1" applyFill="1" applyBorder="1" applyAlignment="1" applyProtection="1">
      <alignment horizontal="right" wrapText="1"/>
    </xf>
    <xf numFmtId="3" fontId="49" fillId="3" borderId="13" xfId="42" applyNumberFormat="1" applyFont="1" applyFill="1" applyBorder="1" applyAlignment="1" applyProtection="1">
      <alignment horizontal="right" wrapText="1"/>
    </xf>
    <xf numFmtId="169" fontId="78" fillId="28" borderId="47" xfId="42" applyNumberFormat="1" applyFont="1" applyFill="1" applyBorder="1" applyAlignment="1" applyProtection="1">
      <alignment horizontal="right" wrapText="1"/>
    </xf>
    <xf numFmtId="169" fontId="79" fillId="36" borderId="9" xfId="42" applyNumberFormat="1" applyFont="1" applyFill="1" applyBorder="1" applyAlignment="1" applyProtection="1">
      <alignment horizontal="right" wrapText="1"/>
    </xf>
    <xf numFmtId="169" fontId="44" fillId="3" borderId="47" xfId="42" applyNumberFormat="1" applyFont="1" applyFill="1" applyBorder="1" applyAlignment="1" applyProtection="1">
      <alignment horizontal="right" wrapText="1"/>
    </xf>
    <xf numFmtId="169" fontId="44" fillId="28" borderId="47" xfId="42" applyNumberFormat="1" applyFont="1" applyFill="1" applyBorder="1" applyAlignment="1" applyProtection="1">
      <alignment horizontal="right" wrapText="1"/>
    </xf>
    <xf numFmtId="169" fontId="44" fillId="28" borderId="46" xfId="42" applyNumberFormat="1" applyFont="1" applyFill="1" applyBorder="1" applyAlignment="1" applyProtection="1">
      <alignment horizontal="right" wrapText="1"/>
    </xf>
    <xf numFmtId="169" fontId="44" fillId="0" borderId="47" xfId="42" applyNumberFormat="1" applyFont="1" applyFill="1" applyBorder="1" applyAlignment="1" applyProtection="1">
      <alignment horizontal="right" wrapText="1"/>
    </xf>
    <xf numFmtId="3" fontId="44" fillId="0" borderId="47" xfId="0" applyNumberFormat="1" applyFont="1" applyBorder="1" applyAlignment="1">
      <alignment horizontal="right" wrapText="1"/>
    </xf>
    <xf numFmtId="3" fontId="44" fillId="3" borderId="47" xfId="0" applyNumberFormat="1" applyFont="1" applyFill="1" applyBorder="1" applyAlignment="1">
      <alignment horizontal="right" wrapText="1"/>
    </xf>
    <xf numFmtId="3" fontId="44" fillId="28" borderId="47" xfId="0" applyNumberFormat="1" applyFont="1" applyFill="1" applyBorder="1" applyAlignment="1">
      <alignment horizontal="right" wrapText="1"/>
    </xf>
    <xf numFmtId="169" fontId="49" fillId="28" borderId="55" xfId="42" applyNumberFormat="1" applyFont="1" applyFill="1" applyBorder="1" applyAlignment="1">
      <alignment horizontal="right" wrapText="1"/>
    </xf>
    <xf numFmtId="169" fontId="49" fillId="3" borderId="47" xfId="42" applyNumberFormat="1" applyFont="1" applyFill="1" applyBorder="1" applyAlignment="1">
      <alignment horizontal="right" wrapText="1"/>
    </xf>
    <xf numFmtId="3" fontId="105" fillId="36" borderId="2" xfId="0" applyNumberFormat="1" applyFont="1" applyFill="1" applyBorder="1" applyAlignment="1">
      <alignment horizontal="right" wrapText="1"/>
    </xf>
    <xf numFmtId="9" fontId="115" fillId="2" borderId="0" xfId="0" applyNumberFormat="1" applyFont="1" applyFill="1"/>
    <xf numFmtId="165" fontId="0" fillId="2" borderId="102" xfId="42" applyFont="1" applyFill="1" applyBorder="1"/>
    <xf numFmtId="165" fontId="0" fillId="2" borderId="133" xfId="42" applyFont="1" applyFill="1" applyBorder="1"/>
    <xf numFmtId="165" fontId="0" fillId="2" borderId="10" xfId="42" applyFont="1" applyFill="1" applyBorder="1"/>
    <xf numFmtId="165" fontId="0" fillId="2" borderId="12" xfId="42" applyFont="1" applyFill="1" applyBorder="1"/>
    <xf numFmtId="165" fontId="0" fillId="2" borderId="134" xfId="42" applyFont="1" applyFill="1" applyBorder="1"/>
    <xf numFmtId="165" fontId="0" fillId="2" borderId="146" xfId="42" applyFont="1" applyFill="1" applyBorder="1"/>
    <xf numFmtId="0" fontId="0" fillId="2" borderId="74" xfId="0" applyFill="1" applyBorder="1"/>
    <xf numFmtId="165" fontId="0" fillId="2" borderId="0" xfId="42" applyFont="1" applyFill="1" applyBorder="1"/>
    <xf numFmtId="184" fontId="71" fillId="2" borderId="0" xfId="0" applyNumberFormat="1" applyFont="1" applyFill="1"/>
    <xf numFmtId="3" fontId="5" fillId="0" borderId="68" xfId="68" applyNumberFormat="1" applyFont="1" applyBorder="1" applyAlignment="1">
      <alignment horizontal="right"/>
    </xf>
    <xf numFmtId="3" fontId="5" fillId="0" borderId="33" xfId="68" applyNumberFormat="1" applyFont="1" applyBorder="1" applyAlignment="1">
      <alignment horizontal="right"/>
    </xf>
    <xf numFmtId="3" fontId="5" fillId="0" borderId="40" xfId="68" applyNumberFormat="1" applyFont="1" applyBorder="1" applyAlignment="1">
      <alignment horizontal="right"/>
    </xf>
    <xf numFmtId="3" fontId="5" fillId="3" borderId="65" xfId="68" applyNumberFormat="1" applyFont="1" applyFill="1" applyBorder="1" applyAlignment="1">
      <alignment horizontal="right"/>
    </xf>
    <xf numFmtId="3" fontId="5" fillId="3" borderId="31" xfId="68" applyNumberFormat="1" applyFont="1" applyFill="1" applyBorder="1" applyAlignment="1">
      <alignment horizontal="right"/>
    </xf>
    <xf numFmtId="3" fontId="5" fillId="3" borderId="41" xfId="68" applyNumberFormat="1" applyFont="1" applyFill="1" applyBorder="1" applyAlignment="1">
      <alignment horizontal="right"/>
    </xf>
    <xf numFmtId="3" fontId="5" fillId="0" borderId="0" xfId="68" applyNumberFormat="1" applyFont="1" applyAlignment="1">
      <alignment horizontal="right"/>
    </xf>
    <xf numFmtId="3" fontId="5" fillId="0" borderId="65" xfId="68" applyNumberFormat="1" applyFont="1" applyBorder="1" applyAlignment="1">
      <alignment horizontal="right"/>
    </xf>
    <xf numFmtId="3" fontId="5" fillId="0" borderId="31" xfId="68" applyNumberFormat="1" applyFont="1" applyBorder="1" applyAlignment="1">
      <alignment horizontal="right"/>
    </xf>
    <xf numFmtId="3" fontId="5" fillId="0" borderId="41" xfId="68" applyNumberFormat="1" applyFont="1" applyBorder="1" applyAlignment="1">
      <alignment horizontal="right"/>
    </xf>
    <xf numFmtId="3" fontId="5" fillId="3" borderId="69" xfId="68" applyNumberFormat="1" applyFont="1" applyFill="1" applyBorder="1" applyAlignment="1">
      <alignment horizontal="right"/>
    </xf>
    <xf numFmtId="3" fontId="5" fillId="3" borderId="38" xfId="68" applyNumberFormat="1" applyFont="1" applyFill="1" applyBorder="1" applyAlignment="1">
      <alignment horizontal="right"/>
    </xf>
    <xf numFmtId="3" fontId="5" fillId="3" borderId="42" xfId="68" applyNumberFormat="1" applyFont="1" applyFill="1" applyBorder="1" applyAlignment="1">
      <alignment horizontal="right"/>
    </xf>
    <xf numFmtId="3" fontId="5" fillId="28" borderId="33" xfId="68" applyNumberFormat="1" applyFont="1" applyFill="1" applyBorder="1" applyAlignment="1">
      <alignment horizontal="right"/>
    </xf>
    <xf numFmtId="3" fontId="5" fillId="28" borderId="50" xfId="68" applyNumberFormat="1" applyFont="1" applyFill="1" applyBorder="1" applyAlignment="1">
      <alignment horizontal="right"/>
    </xf>
    <xf numFmtId="3" fontId="5" fillId="28" borderId="140" xfId="68" applyNumberFormat="1" applyFont="1" applyFill="1" applyBorder="1" applyAlignment="1">
      <alignment horizontal="right"/>
    </xf>
    <xf numFmtId="3" fontId="5" fillId="0" borderId="38" xfId="68" applyNumberFormat="1" applyFont="1" applyBorder="1" applyAlignment="1">
      <alignment horizontal="right"/>
    </xf>
    <xf numFmtId="0" fontId="131" fillId="2" borderId="0" xfId="68" applyFont="1" applyFill="1"/>
    <xf numFmtId="174" fontId="72" fillId="28" borderId="0" xfId="0" applyNumberFormat="1" applyFont="1" applyFill="1"/>
    <xf numFmtId="174" fontId="43" fillId="28" borderId="0" xfId="0" applyNumberFormat="1" applyFont="1" applyFill="1"/>
    <xf numFmtId="178" fontId="89" fillId="5" borderId="63" xfId="42" applyNumberFormat="1" applyFont="1" applyFill="1" applyBorder="1" applyAlignment="1">
      <alignment horizontal="right"/>
    </xf>
    <xf numFmtId="178" fontId="89" fillId="5" borderId="53" xfId="42" applyNumberFormat="1" applyFont="1" applyFill="1" applyBorder="1" applyAlignment="1">
      <alignment horizontal="right"/>
    </xf>
    <xf numFmtId="178" fontId="89" fillId="5" borderId="73" xfId="42" applyNumberFormat="1" applyFont="1" applyFill="1" applyBorder="1" applyAlignment="1">
      <alignment horizontal="right"/>
    </xf>
    <xf numFmtId="178" fontId="89" fillId="5" borderId="9" xfId="42" applyNumberFormat="1" applyFont="1" applyFill="1" applyBorder="1" applyAlignment="1">
      <alignment horizontal="right"/>
    </xf>
    <xf numFmtId="165" fontId="0" fillId="2" borderId="91" xfId="42" applyFont="1" applyFill="1" applyBorder="1"/>
    <xf numFmtId="3" fontId="68" fillId="5" borderId="9" xfId="0" applyNumberFormat="1" applyFont="1" applyFill="1" applyBorder="1" applyAlignment="1">
      <alignment horizontal="right"/>
    </xf>
    <xf numFmtId="165" fontId="43" fillId="28" borderId="0" xfId="42" applyFont="1" applyFill="1"/>
    <xf numFmtId="0" fontId="70" fillId="3" borderId="1" xfId="0" applyFont="1" applyFill="1" applyBorder="1"/>
    <xf numFmtId="9" fontId="68" fillId="5" borderId="7" xfId="0" applyNumberFormat="1" applyFont="1" applyFill="1" applyBorder="1" applyAlignment="1">
      <alignment horizontal="center"/>
    </xf>
    <xf numFmtId="0" fontId="68" fillId="3" borderId="14" xfId="0" applyFont="1" applyFill="1" applyBorder="1"/>
    <xf numFmtId="3" fontId="68" fillId="3" borderId="21" xfId="0" applyNumberFormat="1" applyFont="1" applyFill="1" applyBorder="1" applyAlignment="1">
      <alignment horizontal="right"/>
    </xf>
    <xf numFmtId="9" fontId="68" fillId="5" borderId="17" xfId="0" applyNumberFormat="1" applyFont="1" applyFill="1" applyBorder="1" applyAlignment="1">
      <alignment horizontal="center" vertical="center" wrapText="1"/>
    </xf>
    <xf numFmtId="9" fontId="68" fillId="5" borderId="60" xfId="0" applyNumberFormat="1" applyFont="1" applyFill="1" applyBorder="1" applyAlignment="1">
      <alignment horizontal="center"/>
    </xf>
    <xf numFmtId="0" fontId="70" fillId="28" borderId="71" xfId="0" applyFont="1" applyFill="1" applyBorder="1" applyAlignment="1">
      <alignment horizontal="left" wrapText="1"/>
    </xf>
    <xf numFmtId="0" fontId="70" fillId="28" borderId="34" xfId="0" applyFont="1" applyFill="1" applyBorder="1"/>
    <xf numFmtId="9" fontId="70" fillId="2" borderId="0" xfId="0" applyNumberFormat="1" applyFont="1" applyFill="1"/>
    <xf numFmtId="0" fontId="70" fillId="3" borderId="47" xfId="0" applyFont="1" applyFill="1" applyBorder="1" applyAlignment="1">
      <alignment wrapText="1"/>
    </xf>
    <xf numFmtId="0" fontId="70" fillId="3" borderId="36" xfId="0" applyFont="1" applyFill="1" applyBorder="1"/>
    <xf numFmtId="0" fontId="70" fillId="28" borderId="36" xfId="0" applyFont="1" applyFill="1" applyBorder="1"/>
    <xf numFmtId="0" fontId="70" fillId="28" borderId="45" xfId="0" applyFont="1" applyFill="1" applyBorder="1" applyAlignment="1">
      <alignment horizontal="left" wrapText="1"/>
    </xf>
    <xf numFmtId="0" fontId="70" fillId="28" borderId="39" xfId="0" applyFont="1" applyFill="1" applyBorder="1"/>
    <xf numFmtId="169" fontId="111" fillId="0" borderId="0" xfId="61" applyNumberFormat="1" applyFont="1" applyAlignment="1">
      <alignment horizontal="center"/>
    </xf>
    <xf numFmtId="169" fontId="132" fillId="0" borderId="74" xfId="61" applyNumberFormat="1" applyFont="1" applyBorder="1" applyAlignment="1">
      <alignment horizontal="center" vertical="center"/>
    </xf>
    <xf numFmtId="169" fontId="132" fillId="0" borderId="133" xfId="61" applyNumberFormat="1" applyFont="1" applyBorder="1" applyAlignment="1">
      <alignment horizontal="center" vertical="center"/>
    </xf>
    <xf numFmtId="169" fontId="112" fillId="0" borderId="0" xfId="61" applyNumberFormat="1" applyFont="1" applyAlignment="1">
      <alignment horizontal="center"/>
    </xf>
    <xf numFmtId="169" fontId="112" fillId="0" borderId="74" xfId="61" applyNumberFormat="1" applyFont="1" applyBorder="1" applyAlignment="1">
      <alignment horizontal="left"/>
    </xf>
    <xf numFmtId="169" fontId="132" fillId="0" borderId="74" xfId="42" applyNumberFormat="1" applyFont="1" applyBorder="1" applyAlignment="1">
      <alignment horizontal="center" vertical="center"/>
    </xf>
    <xf numFmtId="169" fontId="132" fillId="0" borderId="133" xfId="42" applyNumberFormat="1" applyFont="1" applyBorder="1" applyAlignment="1">
      <alignment horizontal="center" vertical="center"/>
    </xf>
    <xf numFmtId="169" fontId="112" fillId="0" borderId="0" xfId="42" applyNumberFormat="1" applyFont="1" applyAlignment="1">
      <alignment horizontal="center"/>
    </xf>
    <xf numFmtId="169" fontId="132" fillId="0" borderId="75" xfId="61" applyNumberFormat="1" applyFont="1" applyBorder="1" applyAlignment="1">
      <alignment horizontal="center" vertical="center"/>
    </xf>
    <xf numFmtId="169" fontId="112" fillId="0" borderId="105" xfId="61" applyNumberFormat="1" applyFont="1" applyBorder="1" applyAlignment="1">
      <alignment horizontal="center"/>
    </xf>
    <xf numFmtId="169" fontId="112" fillId="0" borderId="106" xfId="61" applyNumberFormat="1" applyFont="1" applyBorder="1" applyAlignment="1">
      <alignment horizontal="center"/>
    </xf>
    <xf numFmtId="169" fontId="112" fillId="0" borderId="130" xfId="61" applyNumberFormat="1" applyFont="1" applyBorder="1" applyAlignment="1">
      <alignment horizontal="center"/>
    </xf>
    <xf numFmtId="169" fontId="111" fillId="0" borderId="0" xfId="61" applyNumberFormat="1" applyFont="1"/>
    <xf numFmtId="169" fontId="111" fillId="0" borderId="0" xfId="42" applyNumberFormat="1" applyFont="1"/>
    <xf numFmtId="169" fontId="112" fillId="0" borderId="77" xfId="42" applyNumberFormat="1" applyFont="1" applyBorder="1"/>
    <xf numFmtId="169" fontId="111" fillId="0" borderId="77" xfId="42" applyNumberFormat="1" applyFont="1" applyBorder="1"/>
    <xf numFmtId="169" fontId="112" fillId="0" borderId="94" xfId="61" applyNumberFormat="1" applyFont="1" applyBorder="1"/>
    <xf numFmtId="169" fontId="111" fillId="0" borderId="97" xfId="61" applyNumberFormat="1" applyFont="1" applyBorder="1"/>
    <xf numFmtId="169" fontId="112" fillId="0" borderId="98" xfId="61" applyNumberFormat="1" applyFont="1" applyBorder="1" applyAlignment="1">
      <alignment horizontal="center"/>
    </xf>
    <xf numFmtId="169" fontId="112" fillId="0" borderId="9" xfId="61" applyNumberFormat="1" applyFont="1" applyBorder="1" applyAlignment="1">
      <alignment horizontal="center"/>
    </xf>
    <xf numFmtId="0" fontId="111" fillId="0" borderId="0" xfId="60" applyFont="1"/>
    <xf numFmtId="0" fontId="111" fillId="0" borderId="0" xfId="60" applyFont="1" applyAlignment="1">
      <alignment horizontal="center"/>
    </xf>
    <xf numFmtId="169" fontId="112" fillId="0" borderId="0" xfId="42" applyNumberFormat="1" applyFont="1"/>
    <xf numFmtId="0" fontId="111" fillId="0" borderId="0" xfId="0" applyFont="1"/>
    <xf numFmtId="0" fontId="134" fillId="0" borderId="135" xfId="0" applyFont="1" applyBorder="1" applyAlignment="1">
      <alignment horizontal="left"/>
    </xf>
    <xf numFmtId="169" fontId="114" fillId="2" borderId="0" xfId="42" applyNumberFormat="1" applyFont="1" applyFill="1" applyBorder="1"/>
    <xf numFmtId="0" fontId="114" fillId="0" borderId="0" xfId="0" applyFont="1"/>
    <xf numFmtId="179" fontId="114" fillId="0" borderId="0" xfId="0" applyNumberFormat="1" applyFont="1"/>
    <xf numFmtId="0" fontId="0" fillId="0" borderId="14" xfId="0" applyBorder="1"/>
    <xf numFmtId="179" fontId="115" fillId="0" borderId="38" xfId="0" applyNumberFormat="1" applyFont="1" applyBorder="1"/>
    <xf numFmtId="179" fontId="115" fillId="0" borderId="39" xfId="0" applyNumberFormat="1" applyFont="1" applyBorder="1"/>
    <xf numFmtId="179" fontId="115" fillId="0" borderId="37" xfId="0" applyNumberFormat="1" applyFont="1" applyBorder="1"/>
    <xf numFmtId="166" fontId="56" fillId="2" borderId="8" xfId="0" applyNumberFormat="1" applyFont="1" applyFill="1" applyBorder="1"/>
    <xf numFmtId="0" fontId="56" fillId="2" borderId="2" xfId="0" applyFont="1" applyFill="1" applyBorder="1"/>
    <xf numFmtId="0" fontId="135" fillId="41" borderId="14" xfId="0" applyFont="1" applyFill="1" applyBorder="1"/>
    <xf numFmtId="165" fontId="98" fillId="0" borderId="0" xfId="42" applyFont="1"/>
    <xf numFmtId="165" fontId="97" fillId="0" borderId="0" xfId="42" applyFont="1"/>
    <xf numFmtId="167" fontId="97" fillId="0" borderId="0" xfId="57" applyNumberFormat="1" applyFont="1"/>
    <xf numFmtId="165" fontId="96" fillId="0" borderId="0" xfId="42" applyFont="1"/>
    <xf numFmtId="169" fontId="111" fillId="0" borderId="0" xfId="60" applyNumberFormat="1" applyFont="1"/>
    <xf numFmtId="165" fontId="111" fillId="0" borderId="0" xfId="42" applyFont="1"/>
    <xf numFmtId="165" fontId="111" fillId="0" borderId="0" xfId="60" applyNumberFormat="1" applyFont="1"/>
    <xf numFmtId="2" fontId="45" fillId="2" borderId="0" xfId="0" applyNumberFormat="1" applyFont="1" applyFill="1"/>
    <xf numFmtId="2" fontId="45" fillId="2" borderId="0" xfId="42" applyNumberFormat="1" applyFont="1" applyFill="1"/>
    <xf numFmtId="169" fontId="129" fillId="35" borderId="6" xfId="61" applyNumberFormat="1" applyFont="1" applyFill="1" applyBorder="1" applyAlignment="1">
      <alignment horizontal="center" vertical="center"/>
    </xf>
    <xf numFmtId="0" fontId="134" fillId="0" borderId="19" xfId="0" applyFont="1" applyBorder="1" applyAlignment="1">
      <alignment horizontal="left"/>
    </xf>
    <xf numFmtId="0" fontId="53" fillId="35" borderId="74" xfId="56" applyFont="1" applyFill="1" applyBorder="1" applyAlignment="1">
      <alignment horizontal="center" vertical="center"/>
    </xf>
    <xf numFmtId="0" fontId="97" fillId="35" borderId="74" xfId="56" applyFont="1" applyFill="1" applyBorder="1" applyAlignment="1">
      <alignment horizontal="center" vertical="center"/>
    </xf>
    <xf numFmtId="0" fontId="101" fillId="42" borderId="74" xfId="66" applyFont="1" applyFill="1" applyBorder="1"/>
    <xf numFmtId="169" fontId="112" fillId="42" borderId="74" xfId="67" applyNumberFormat="1" applyFont="1" applyFill="1" applyBorder="1"/>
    <xf numFmtId="0" fontId="98" fillId="42" borderId="74" xfId="66" applyFont="1" applyFill="1" applyBorder="1"/>
    <xf numFmtId="169" fontId="111" fillId="42" borderId="74" xfId="67" applyNumberFormat="1" applyFont="1" applyFill="1" applyBorder="1"/>
    <xf numFmtId="0" fontId="101" fillId="42" borderId="74" xfId="66" applyFont="1" applyFill="1" applyBorder="1" applyAlignment="1">
      <alignment horizontal="center" vertical="center" wrapText="1"/>
    </xf>
    <xf numFmtId="169" fontId="112" fillId="42" borderId="74" xfId="67" applyNumberFormat="1" applyFont="1" applyFill="1" applyBorder="1" applyAlignment="1">
      <alignment horizontal="center" vertical="center" wrapText="1"/>
    </xf>
    <xf numFmtId="178" fontId="82" fillId="28" borderId="64" xfId="42" applyNumberFormat="1" applyFont="1" applyFill="1" applyBorder="1" applyAlignment="1"/>
    <xf numFmtId="178" fontId="82" fillId="28" borderId="55" xfId="42" applyNumberFormat="1" applyFont="1" applyFill="1" applyBorder="1" applyAlignment="1">
      <alignment horizontal="right"/>
    </xf>
    <xf numFmtId="178" fontId="82" fillId="3" borderId="47" xfId="42" applyNumberFormat="1" applyFont="1" applyFill="1" applyBorder="1" applyAlignment="1">
      <alignment horizontal="right"/>
    </xf>
    <xf numFmtId="178" fontId="82" fillId="28" borderId="65" xfId="42" applyNumberFormat="1" applyFont="1" applyFill="1" applyBorder="1" applyAlignment="1">
      <alignment horizontal="right"/>
    </xf>
    <xf numFmtId="178" fontId="82" fillId="28" borderId="47" xfId="42" applyNumberFormat="1" applyFont="1" applyFill="1" applyBorder="1" applyAlignment="1">
      <alignment horizontal="right"/>
    </xf>
    <xf numFmtId="178" fontId="78" fillId="3" borderId="65" xfId="42" applyNumberFormat="1" applyFont="1" applyFill="1" applyBorder="1" applyAlignment="1">
      <alignment horizontal="right"/>
    </xf>
    <xf numFmtId="178" fontId="82" fillId="2" borderId="0" xfId="42" applyNumberFormat="1" applyFont="1" applyFill="1" applyBorder="1"/>
    <xf numFmtId="0" fontId="71" fillId="3" borderId="48" xfId="0" applyFont="1" applyFill="1" applyBorder="1" applyAlignment="1">
      <alignment horizontal="left"/>
    </xf>
    <xf numFmtId="178" fontId="82" fillId="3" borderId="66" xfId="42" applyNumberFormat="1" applyFont="1" applyFill="1" applyBorder="1" applyAlignment="1">
      <alignment horizontal="right"/>
    </xf>
    <xf numFmtId="178" fontId="82" fillId="3" borderId="48" xfId="42" applyNumberFormat="1" applyFont="1" applyFill="1" applyBorder="1" applyAlignment="1">
      <alignment horizontal="right"/>
    </xf>
    <xf numFmtId="0" fontId="89" fillId="28" borderId="9" xfId="0" applyFont="1" applyFill="1" applyBorder="1"/>
    <xf numFmtId="174" fontId="89" fillId="28" borderId="2" xfId="0" applyNumberFormat="1" applyFont="1" applyFill="1" applyBorder="1" applyAlignment="1">
      <alignment horizontal="right"/>
    </xf>
    <xf numFmtId="174" fontId="89" fillId="28" borderId="9" xfId="0" applyNumberFormat="1" applyFont="1" applyFill="1" applyBorder="1" applyAlignment="1">
      <alignment horizontal="right"/>
    </xf>
    <xf numFmtId="0" fontId="71" fillId="3" borderId="48" xfId="0" applyFont="1" applyFill="1" applyBorder="1"/>
    <xf numFmtId="178" fontId="82" fillId="3" borderId="66" xfId="42" applyNumberFormat="1" applyFont="1" applyFill="1" applyBorder="1" applyAlignment="1"/>
    <xf numFmtId="0" fontId="89" fillId="3" borderId="55" xfId="0" applyFont="1" applyFill="1" applyBorder="1"/>
    <xf numFmtId="178" fontId="136" fillId="3" borderId="64" xfId="42" applyNumberFormat="1" applyFont="1" applyFill="1" applyBorder="1" applyAlignment="1">
      <alignment horizontal="right"/>
    </xf>
    <xf numFmtId="178" fontId="82" fillId="3" borderId="55" xfId="42" applyNumberFormat="1" applyFont="1" applyFill="1" applyBorder="1" applyAlignment="1">
      <alignment horizontal="right"/>
    </xf>
    <xf numFmtId="178" fontId="136" fillId="28" borderId="63" xfId="42" applyNumberFormat="1" applyFont="1" applyFill="1" applyBorder="1" applyAlignment="1">
      <alignment horizontal="right"/>
    </xf>
    <xf numFmtId="178" fontId="136" fillId="28" borderId="9" xfId="42" applyNumberFormat="1" applyFont="1" applyFill="1" applyBorder="1" applyAlignment="1">
      <alignment horizontal="right"/>
    </xf>
    <xf numFmtId="178" fontId="49" fillId="3" borderId="138" xfId="42" applyNumberFormat="1" applyFont="1" applyFill="1" applyBorder="1" applyAlignment="1">
      <alignment horizontal="right"/>
    </xf>
    <xf numFmtId="178" fontId="49" fillId="3" borderId="139" xfId="42" applyNumberFormat="1" applyFont="1" applyFill="1" applyBorder="1" applyAlignment="1">
      <alignment horizontal="right"/>
    </xf>
    <xf numFmtId="178" fontId="49" fillId="3" borderId="147" xfId="42" applyNumberFormat="1" applyFont="1" applyFill="1" applyBorder="1" applyAlignment="1">
      <alignment horizontal="right"/>
    </xf>
    <xf numFmtId="178" fontId="49" fillId="3" borderId="17" xfId="42" applyNumberFormat="1" applyFont="1" applyFill="1" applyBorder="1" applyAlignment="1">
      <alignment horizontal="right"/>
    </xf>
    <xf numFmtId="0" fontId="44" fillId="3" borderId="125" xfId="68" applyFont="1" applyFill="1" applyBorder="1" applyAlignment="1">
      <alignment horizontal="right"/>
    </xf>
    <xf numFmtId="3" fontId="6" fillId="28" borderId="68" xfId="68" applyNumberFormat="1" applyFill="1" applyBorder="1" applyAlignment="1">
      <alignment horizontal="right"/>
    </xf>
    <xf numFmtId="3" fontId="6" fillId="3" borderId="69" xfId="68" applyNumberFormat="1" applyFill="1" applyBorder="1" applyAlignment="1">
      <alignment horizontal="right"/>
    </xf>
    <xf numFmtId="0" fontId="21" fillId="2" borderId="0" xfId="0" applyFont="1" applyFill="1" applyAlignment="1">
      <alignment horizontal="center" vertical="center" wrapText="1"/>
    </xf>
    <xf numFmtId="0" fontId="21" fillId="2" borderId="0" xfId="0" applyFont="1" applyFill="1"/>
    <xf numFmtId="0" fontId="21" fillId="0" borderId="0" xfId="0" applyFont="1"/>
    <xf numFmtId="0" fontId="21" fillId="28" borderId="0" xfId="0" applyFont="1" applyFill="1"/>
    <xf numFmtId="0" fontId="16" fillId="2" borderId="0" xfId="51" applyFill="1"/>
    <xf numFmtId="0" fontId="21" fillId="2" borderId="0" xfId="51" applyFont="1" applyFill="1"/>
    <xf numFmtId="0" fontId="16" fillId="3" borderId="7" xfId="51" applyFill="1" applyBorder="1"/>
    <xf numFmtId="0" fontId="23" fillId="3" borderId="13" xfId="51" applyFont="1" applyFill="1" applyBorder="1"/>
    <xf numFmtId="0" fontId="44" fillId="3" borderId="20" xfId="51" applyFont="1" applyFill="1" applyBorder="1" applyAlignment="1">
      <alignment horizontal="right"/>
    </xf>
    <xf numFmtId="0" fontId="44" fillId="3" borderId="18" xfId="51" applyFont="1" applyFill="1" applyBorder="1" applyAlignment="1">
      <alignment horizontal="right"/>
    </xf>
    <xf numFmtId="3" fontId="23" fillId="3" borderId="104" xfId="51" applyNumberFormat="1" applyFont="1" applyFill="1" applyBorder="1" applyAlignment="1">
      <alignment horizontal="right"/>
    </xf>
    <xf numFmtId="0" fontId="23" fillId="3" borderId="7" xfId="0" applyFont="1" applyFill="1" applyBorder="1"/>
    <xf numFmtId="0" fontId="76" fillId="0" borderId="46" xfId="0" applyFont="1" applyBorder="1" applyAlignment="1">
      <alignment horizontal="left" vertical="top" wrapText="1"/>
    </xf>
    <xf numFmtId="3" fontId="0" fillId="0" borderId="68" xfId="0" applyNumberFormat="1" applyBorder="1" applyAlignment="1">
      <alignment horizontal="right"/>
    </xf>
    <xf numFmtId="3" fontId="0" fillId="0" borderId="40" xfId="0" applyNumberFormat="1" applyBorder="1" applyAlignment="1">
      <alignment horizontal="right"/>
    </xf>
    <xf numFmtId="3" fontId="0" fillId="0" borderId="46" xfId="0" applyNumberFormat="1" applyBorder="1" applyAlignment="1">
      <alignment horizontal="right"/>
    </xf>
    <xf numFmtId="0" fontId="76" fillId="3" borderId="48" xfId="0" applyFont="1" applyFill="1" applyBorder="1" applyAlignment="1">
      <alignment horizontal="left" vertical="top" wrapText="1"/>
    </xf>
    <xf numFmtId="3" fontId="0" fillId="3" borderId="65" xfId="0" applyNumberFormat="1" applyFill="1" applyBorder="1" applyAlignment="1">
      <alignment horizontal="right"/>
    </xf>
    <xf numFmtId="3" fontId="0" fillId="3" borderId="41" xfId="0" applyNumberFormat="1" applyFill="1" applyBorder="1" applyAlignment="1">
      <alignment horizontal="right"/>
    </xf>
    <xf numFmtId="3" fontId="0" fillId="3" borderId="47" xfId="0" applyNumberFormat="1" applyFill="1" applyBorder="1" applyAlignment="1">
      <alignment horizontal="right"/>
    </xf>
    <xf numFmtId="0" fontId="76" fillId="0" borderId="17" xfId="0" applyFont="1" applyBorder="1" applyAlignment="1">
      <alignment horizontal="left" vertical="top" wrapText="1"/>
    </xf>
    <xf numFmtId="3" fontId="0" fillId="28" borderId="17" xfId="0" applyNumberFormat="1" applyFill="1" applyBorder="1" applyAlignment="1">
      <alignment horizontal="right"/>
    </xf>
    <xf numFmtId="0" fontId="76" fillId="0" borderId="48" xfId="0" applyFont="1" applyBorder="1" applyAlignment="1">
      <alignment horizontal="left" vertical="top" wrapText="1"/>
    </xf>
    <xf numFmtId="3" fontId="0" fillId="0" borderId="65" xfId="0" applyNumberFormat="1" applyBorder="1" applyAlignment="1">
      <alignment horizontal="right"/>
    </xf>
    <xf numFmtId="3" fontId="0" fillId="0" borderId="41" xfId="0" applyNumberFormat="1" applyBorder="1" applyAlignment="1">
      <alignment horizontal="right"/>
    </xf>
    <xf numFmtId="3" fontId="0" fillId="0" borderId="47" xfId="0" applyNumberFormat="1" applyBorder="1" applyAlignment="1">
      <alignment horizontal="right"/>
    </xf>
    <xf numFmtId="3" fontId="0" fillId="0" borderId="17" xfId="0" applyNumberFormat="1" applyBorder="1" applyAlignment="1">
      <alignment horizontal="right"/>
    </xf>
    <xf numFmtId="0" fontId="76" fillId="3" borderId="96" xfId="0" applyFont="1" applyFill="1" applyBorder="1" applyAlignment="1">
      <alignment horizontal="left" vertical="top" wrapText="1"/>
    </xf>
    <xf numFmtId="3" fontId="0" fillId="3" borderId="69" xfId="0" applyNumberFormat="1" applyFill="1" applyBorder="1" applyAlignment="1">
      <alignment horizontal="right"/>
    </xf>
    <xf numFmtId="3" fontId="0" fillId="3" borderId="42" xfId="0" applyNumberFormat="1" applyFill="1" applyBorder="1" applyAlignment="1">
      <alignment horizontal="right"/>
    </xf>
    <xf numFmtId="3" fontId="0" fillId="3" borderId="96" xfId="0" applyNumberFormat="1" applyFill="1" applyBorder="1" applyAlignment="1">
      <alignment horizontal="right"/>
    </xf>
    <xf numFmtId="0" fontId="76" fillId="28" borderId="0" xfId="51" applyFont="1" applyFill="1" applyAlignment="1">
      <alignment horizontal="left" vertical="top" wrapText="1"/>
    </xf>
    <xf numFmtId="3" fontId="4" fillId="28" borderId="0" xfId="51" applyNumberFormat="1" applyFont="1" applyFill="1" applyAlignment="1">
      <alignment horizontal="right"/>
    </xf>
    <xf numFmtId="0" fontId="23" fillId="3" borderId="7" xfId="51" applyFont="1" applyFill="1" applyBorder="1"/>
    <xf numFmtId="3" fontId="44" fillId="5" borderId="52" xfId="51" applyNumberFormat="1" applyFont="1" applyFill="1" applyBorder="1" applyAlignment="1">
      <alignment horizontal="right"/>
    </xf>
    <xf numFmtId="3" fontId="44" fillId="5" borderId="53" xfId="51" applyNumberFormat="1" applyFont="1" applyFill="1" applyBorder="1" applyAlignment="1">
      <alignment horizontal="right"/>
    </xf>
    <xf numFmtId="3" fontId="44" fillId="5" borderId="54" xfId="51" applyNumberFormat="1" applyFont="1" applyFill="1" applyBorder="1" applyAlignment="1">
      <alignment horizontal="right"/>
    </xf>
    <xf numFmtId="3" fontId="23" fillId="5" borderId="3" xfId="51" applyNumberFormat="1" applyFont="1" applyFill="1" applyBorder="1" applyAlignment="1">
      <alignment horizontal="right"/>
    </xf>
    <xf numFmtId="0" fontId="76" fillId="0" borderId="32" xfId="51" applyFont="1" applyBorder="1" applyAlignment="1">
      <alignment horizontal="left" vertical="top" wrapText="1"/>
    </xf>
    <xf numFmtId="3" fontId="4" fillId="0" borderId="33" xfId="51" applyNumberFormat="1" applyFont="1" applyBorder="1" applyAlignment="1">
      <alignment horizontal="right"/>
    </xf>
    <xf numFmtId="3" fontId="4" fillId="28" borderId="34" xfId="51" applyNumberFormat="1" applyFont="1" applyFill="1" applyBorder="1" applyAlignment="1">
      <alignment horizontal="right"/>
    </xf>
    <xf numFmtId="0" fontId="76" fillId="3" borderId="35" xfId="51" applyFont="1" applyFill="1" applyBorder="1" applyAlignment="1">
      <alignment horizontal="left" vertical="top" wrapText="1"/>
    </xf>
    <xf numFmtId="3" fontId="4" fillId="3" borderId="31" xfId="51" applyNumberFormat="1" applyFont="1" applyFill="1" applyBorder="1" applyAlignment="1">
      <alignment horizontal="right"/>
    </xf>
    <xf numFmtId="3" fontId="4" fillId="3" borderId="36" xfId="51" applyNumberFormat="1" applyFont="1" applyFill="1" applyBorder="1" applyAlignment="1">
      <alignment horizontal="right"/>
    </xf>
    <xf numFmtId="0" fontId="76" fillId="28" borderId="37" xfId="51" applyFont="1" applyFill="1" applyBorder="1" applyAlignment="1">
      <alignment horizontal="left" vertical="top" wrapText="1"/>
    </xf>
    <xf numFmtId="3" fontId="4" fillId="28" borderId="38" xfId="51" applyNumberFormat="1" applyFont="1" applyFill="1" applyBorder="1" applyAlignment="1">
      <alignment horizontal="right"/>
    </xf>
    <xf numFmtId="3" fontId="4" fillId="28" borderId="39" xfId="51" applyNumberFormat="1" applyFont="1" applyFill="1" applyBorder="1" applyAlignment="1">
      <alignment horizontal="right"/>
    </xf>
    <xf numFmtId="0" fontId="76" fillId="28" borderId="32" xfId="51" applyFont="1" applyFill="1" applyBorder="1" applyAlignment="1">
      <alignment horizontal="left" vertical="top" wrapText="1"/>
    </xf>
    <xf numFmtId="3" fontId="4" fillId="28" borderId="33" xfId="51" applyNumberFormat="1" applyFont="1" applyFill="1" applyBorder="1" applyAlignment="1">
      <alignment horizontal="right"/>
    </xf>
    <xf numFmtId="0" fontId="76" fillId="28" borderId="49" xfId="51" applyFont="1" applyFill="1" applyBorder="1" applyAlignment="1">
      <alignment horizontal="left" vertical="top" wrapText="1"/>
    </xf>
    <xf numFmtId="3" fontId="4" fillId="28" borderId="50" xfId="51" applyNumberFormat="1" applyFont="1" applyFill="1" applyBorder="1" applyAlignment="1">
      <alignment horizontal="right"/>
    </xf>
    <xf numFmtId="3" fontId="4" fillId="28" borderId="51" xfId="51" applyNumberFormat="1" applyFont="1" applyFill="1" applyBorder="1" applyAlignment="1">
      <alignment horizontal="right"/>
    </xf>
    <xf numFmtId="0" fontId="76" fillId="28" borderId="84" xfId="51" applyFont="1" applyFill="1" applyBorder="1" applyAlignment="1">
      <alignment horizontal="left" vertical="top" wrapText="1"/>
    </xf>
    <xf numFmtId="3" fontId="4" fillId="28" borderId="140" xfId="51" applyNumberFormat="1" applyFont="1" applyFill="1" applyBorder="1" applyAlignment="1">
      <alignment horizontal="right"/>
    </xf>
    <xf numFmtId="3" fontId="4" fillId="28" borderId="86" xfId="51" applyNumberFormat="1" applyFont="1" applyFill="1" applyBorder="1" applyAlignment="1">
      <alignment horizontal="right"/>
    </xf>
    <xf numFmtId="0" fontId="76" fillId="0" borderId="0" xfId="51" applyFont="1" applyAlignment="1">
      <alignment horizontal="left" vertical="top" wrapText="1"/>
    </xf>
    <xf numFmtId="3" fontId="4" fillId="0" borderId="0" xfId="51" applyNumberFormat="1" applyFont="1" applyAlignment="1">
      <alignment horizontal="right"/>
    </xf>
    <xf numFmtId="0" fontId="76" fillId="28" borderId="35" xfId="51" applyFont="1" applyFill="1" applyBorder="1" applyAlignment="1">
      <alignment horizontal="left" vertical="top" wrapText="1"/>
    </xf>
    <xf numFmtId="3" fontId="4" fillId="28" borderId="31" xfId="51" applyNumberFormat="1" applyFont="1" applyFill="1" applyBorder="1" applyAlignment="1">
      <alignment horizontal="right"/>
    </xf>
    <xf numFmtId="3" fontId="4" fillId="28" borderId="36" xfId="51" applyNumberFormat="1" applyFont="1" applyFill="1" applyBorder="1" applyAlignment="1">
      <alignment horizontal="right"/>
    </xf>
    <xf numFmtId="0" fontId="76" fillId="3" borderId="37" xfId="51" applyFont="1" applyFill="1" applyBorder="1" applyAlignment="1">
      <alignment horizontal="left" vertical="top" wrapText="1"/>
    </xf>
    <xf numFmtId="3" fontId="4" fillId="3" borderId="38" xfId="51" applyNumberFormat="1" applyFont="1" applyFill="1" applyBorder="1" applyAlignment="1">
      <alignment horizontal="right"/>
    </xf>
    <xf numFmtId="3" fontId="4" fillId="3" borderId="39" xfId="51" applyNumberFormat="1" applyFont="1" applyFill="1" applyBorder="1" applyAlignment="1">
      <alignment horizontal="right"/>
    </xf>
    <xf numFmtId="0" fontId="43" fillId="0" borderId="74" xfId="0" applyFont="1" applyBorder="1" applyAlignment="1">
      <alignment horizontal="left" wrapText="1"/>
    </xf>
    <xf numFmtId="3" fontId="16" fillId="2" borderId="74" xfId="51" applyNumberFormat="1" applyFill="1" applyBorder="1"/>
    <xf numFmtId="165" fontId="76" fillId="35" borderId="74" xfId="42" applyFont="1" applyFill="1" applyBorder="1"/>
    <xf numFmtId="9" fontId="137" fillId="2" borderId="0" xfId="49" applyFont="1" applyFill="1"/>
    <xf numFmtId="0" fontId="82" fillId="3" borderId="7" xfId="0" applyFont="1" applyFill="1" applyBorder="1" applyAlignment="1">
      <alignment horizontal="left" wrapText="1"/>
    </xf>
    <xf numFmtId="0" fontId="107" fillId="0" borderId="0" xfId="0" applyFont="1"/>
    <xf numFmtId="0" fontId="71" fillId="0" borderId="0" xfId="0" applyFont="1" applyAlignment="1">
      <alignment horizontal="left"/>
    </xf>
    <xf numFmtId="3" fontId="138" fillId="28" borderId="0" xfId="49" applyNumberFormat="1" applyFont="1" applyFill="1" applyBorder="1" applyAlignment="1" applyProtection="1">
      <alignment horizontal="right" wrapText="1"/>
    </xf>
    <xf numFmtId="3" fontId="49" fillId="28" borderId="0" xfId="49" applyNumberFormat="1" applyFont="1" applyFill="1" applyBorder="1" applyAlignment="1" applyProtection="1">
      <alignment horizontal="right" wrapText="1"/>
    </xf>
    <xf numFmtId="0" fontId="107" fillId="28" borderId="0" xfId="0" applyFont="1" applyFill="1"/>
    <xf numFmtId="3" fontId="107" fillId="28" borderId="0" xfId="49" applyNumberFormat="1" applyFont="1" applyFill="1" applyBorder="1" applyAlignment="1" applyProtection="1">
      <alignment horizontal="right" wrapText="1"/>
    </xf>
    <xf numFmtId="0" fontId="84" fillId="0" borderId="7" xfId="0" applyFont="1" applyBorder="1"/>
    <xf numFmtId="0" fontId="84" fillId="0" borderId="17" xfId="0" applyFont="1" applyBorder="1"/>
    <xf numFmtId="0" fontId="107" fillId="0" borderId="46" xfId="0" applyFont="1" applyBorder="1"/>
    <xf numFmtId="3" fontId="99" fillId="0" borderId="0" xfId="0" applyNumberFormat="1" applyFont="1"/>
    <xf numFmtId="0" fontId="23" fillId="0" borderId="0" xfId="0" applyFont="1"/>
    <xf numFmtId="178" fontId="98" fillId="0" borderId="74" xfId="42" applyNumberFormat="1" applyFont="1" applyBorder="1" applyAlignment="1">
      <alignment horizontal="center"/>
    </xf>
    <xf numFmtId="178" fontId="101" fillId="0" borderId="74" xfId="42" applyNumberFormat="1" applyFont="1" applyBorder="1" applyAlignment="1">
      <alignment horizontal="center"/>
    </xf>
    <xf numFmtId="0" fontId="100" fillId="35" borderId="74" xfId="47" applyFont="1" applyFill="1" applyBorder="1" applyAlignment="1">
      <alignment vertical="center"/>
    </xf>
    <xf numFmtId="165" fontId="70" fillId="2" borderId="0" xfId="42" applyFont="1" applyFill="1"/>
    <xf numFmtId="165" fontId="78" fillId="3" borderId="9" xfId="42" applyFont="1" applyFill="1" applyBorder="1" applyAlignment="1">
      <alignment horizontal="left" wrapText="1"/>
    </xf>
    <xf numFmtId="165" fontId="78" fillId="3" borderId="7" xfId="42" applyFont="1" applyFill="1" applyBorder="1" applyAlignment="1">
      <alignment horizontal="left" wrapText="1"/>
    </xf>
    <xf numFmtId="165" fontId="68" fillId="3" borderId="20" xfId="42" applyFont="1" applyFill="1" applyBorder="1" applyAlignment="1">
      <alignment horizontal="right"/>
    </xf>
    <xf numFmtId="165" fontId="68" fillId="3" borderId="18" xfId="42" applyFont="1" applyFill="1" applyBorder="1" applyAlignment="1">
      <alignment horizontal="right"/>
    </xf>
    <xf numFmtId="165" fontId="68" fillId="5" borderId="52" xfId="42" applyFont="1" applyFill="1" applyBorder="1" applyAlignment="1">
      <alignment horizontal="right"/>
    </xf>
    <xf numFmtId="165" fontId="68" fillId="5" borderId="61" xfId="42" applyFont="1" applyFill="1" applyBorder="1" applyAlignment="1">
      <alignment horizontal="right"/>
    </xf>
    <xf numFmtId="165" fontId="70" fillId="28" borderId="32" xfId="42" applyFont="1" applyFill="1" applyBorder="1" applyAlignment="1" applyProtection="1">
      <alignment horizontal="right" wrapText="1"/>
    </xf>
    <xf numFmtId="165" fontId="70" fillId="28" borderId="33" xfId="42" applyFont="1" applyFill="1" applyBorder="1" applyAlignment="1" applyProtection="1">
      <alignment horizontal="right" wrapText="1"/>
    </xf>
    <xf numFmtId="165" fontId="70" fillId="28" borderId="34" xfId="42" applyFont="1" applyFill="1" applyBorder="1" applyAlignment="1" applyProtection="1">
      <alignment horizontal="right" wrapText="1"/>
    </xf>
    <xf numFmtId="165" fontId="70" fillId="3" borderId="35" xfId="42" applyFont="1" applyFill="1" applyBorder="1" applyAlignment="1" applyProtection="1">
      <alignment horizontal="left" wrapText="1"/>
    </xf>
    <xf numFmtId="165" fontId="70" fillId="3" borderId="31" xfId="42" applyFont="1" applyFill="1" applyBorder="1" applyAlignment="1" applyProtection="1">
      <alignment horizontal="right" wrapText="1"/>
    </xf>
    <xf numFmtId="165" fontId="70" fillId="3" borderId="36" xfId="42" applyFont="1" applyFill="1" applyBorder="1" applyAlignment="1" applyProtection="1">
      <alignment horizontal="right" wrapText="1"/>
    </xf>
    <xf numFmtId="165" fontId="70" fillId="28" borderId="35" xfId="42" applyFont="1" applyFill="1" applyBorder="1" applyAlignment="1" applyProtection="1">
      <alignment horizontal="left" wrapText="1"/>
    </xf>
    <xf numFmtId="165" fontId="70" fillId="28" borderId="31" xfId="42" applyFont="1" applyFill="1" applyBorder="1" applyAlignment="1" applyProtection="1">
      <alignment horizontal="right" wrapText="1"/>
    </xf>
    <xf numFmtId="165" fontId="70" fillId="28" borderId="36" xfId="42" applyFont="1" applyFill="1" applyBorder="1" applyAlignment="1" applyProtection="1">
      <alignment horizontal="right" wrapText="1"/>
    </xf>
    <xf numFmtId="165" fontId="70" fillId="28" borderId="37" xfId="42" applyFont="1" applyFill="1" applyBorder="1" applyAlignment="1" applyProtection="1">
      <alignment horizontal="left" wrapText="1"/>
    </xf>
    <xf numFmtId="165" fontId="70" fillId="28" borderId="37" xfId="42" applyFont="1" applyFill="1" applyBorder="1" applyAlignment="1" applyProtection="1">
      <alignment horizontal="right" wrapText="1"/>
    </xf>
    <xf numFmtId="165" fontId="70" fillId="28" borderId="38" xfId="42" applyFont="1" applyFill="1" applyBorder="1" applyAlignment="1" applyProtection="1">
      <alignment horizontal="right" wrapText="1"/>
    </xf>
    <xf numFmtId="165" fontId="70" fillId="28" borderId="39" xfId="42" applyFont="1" applyFill="1" applyBorder="1" applyAlignment="1" applyProtection="1">
      <alignment horizontal="right" wrapText="1"/>
    </xf>
    <xf numFmtId="165" fontId="82" fillId="28" borderId="32" xfId="42" applyFont="1" applyFill="1" applyBorder="1" applyAlignment="1" applyProtection="1">
      <alignment horizontal="right" wrapText="1"/>
    </xf>
    <xf numFmtId="165" fontId="82" fillId="28" borderId="33" xfId="42" applyFont="1" applyFill="1" applyBorder="1" applyAlignment="1" applyProtection="1">
      <alignment horizontal="right" wrapText="1"/>
    </xf>
    <xf numFmtId="165" fontId="82" fillId="28" borderId="34" xfId="42" applyFont="1" applyFill="1" applyBorder="1" applyAlignment="1" applyProtection="1">
      <alignment horizontal="right" wrapText="1"/>
    </xf>
    <xf numFmtId="165" fontId="78" fillId="28" borderId="32" xfId="42" applyFont="1" applyFill="1" applyBorder="1" applyAlignment="1">
      <alignment horizontal="right"/>
    </xf>
    <xf numFmtId="165" fontId="82" fillId="3" borderId="35" xfId="42" applyFont="1" applyFill="1" applyBorder="1" applyAlignment="1" applyProtection="1">
      <alignment horizontal="right" wrapText="1"/>
    </xf>
    <xf numFmtId="165" fontId="82" fillId="3" borderId="31" xfId="42" applyFont="1" applyFill="1" applyBorder="1" applyAlignment="1" applyProtection="1">
      <alignment horizontal="right" wrapText="1"/>
    </xf>
    <xf numFmtId="165" fontId="82" fillId="3" borderId="36" xfId="42" applyFont="1" applyFill="1" applyBorder="1" applyAlignment="1" applyProtection="1">
      <alignment horizontal="right" wrapText="1"/>
    </xf>
    <xf numFmtId="165" fontId="78" fillId="3" borderId="35" xfId="42" applyFont="1" applyFill="1" applyBorder="1" applyAlignment="1">
      <alignment horizontal="right"/>
    </xf>
    <xf numFmtId="165" fontId="82" fillId="28" borderId="35" xfId="42" applyFont="1" applyFill="1" applyBorder="1" applyAlignment="1" applyProtection="1">
      <alignment horizontal="right" wrapText="1"/>
    </xf>
    <xf numFmtId="165" fontId="82" fillId="28" borderId="31" xfId="42" applyFont="1" applyFill="1" applyBorder="1" applyAlignment="1" applyProtection="1">
      <alignment horizontal="right" wrapText="1"/>
    </xf>
    <xf numFmtId="165" fontId="82" fillId="28" borderId="36" xfId="42" applyFont="1" applyFill="1" applyBorder="1" applyAlignment="1" applyProtection="1">
      <alignment horizontal="right" wrapText="1"/>
    </xf>
    <xf numFmtId="165" fontId="78" fillId="28" borderId="35" xfId="42" applyFont="1" applyFill="1" applyBorder="1" applyAlignment="1">
      <alignment horizontal="right"/>
    </xf>
    <xf numFmtId="165" fontId="82" fillId="28" borderId="41" xfId="42" applyFont="1" applyFill="1" applyBorder="1" applyAlignment="1" applyProtection="1">
      <alignment horizontal="right" wrapText="1"/>
    </xf>
    <xf numFmtId="165" fontId="82" fillId="3" borderId="47" xfId="42" applyFont="1" applyFill="1" applyBorder="1" applyAlignment="1" applyProtection="1">
      <alignment horizontal="left" wrapText="1"/>
    </xf>
    <xf numFmtId="165" fontId="45" fillId="28" borderId="32" xfId="42" applyFont="1" applyFill="1" applyBorder="1" applyAlignment="1" applyProtection="1">
      <alignment horizontal="right" wrapText="1"/>
    </xf>
    <xf numFmtId="165" fontId="113" fillId="28" borderId="32" xfId="42" applyFont="1" applyFill="1" applyBorder="1" applyAlignment="1" applyProtection="1">
      <alignment horizontal="right" wrapText="1"/>
    </xf>
    <xf numFmtId="165" fontId="45" fillId="3" borderId="35" xfId="42" applyFont="1" applyFill="1" applyBorder="1" applyAlignment="1" applyProtection="1">
      <alignment horizontal="right" wrapText="1"/>
    </xf>
    <xf numFmtId="165" fontId="113" fillId="3" borderId="35" xfId="42" applyFont="1" applyFill="1" applyBorder="1" applyAlignment="1" applyProtection="1">
      <alignment horizontal="right" wrapText="1"/>
    </xf>
    <xf numFmtId="165" fontId="45" fillId="28" borderId="35" xfId="42" applyFont="1" applyFill="1" applyBorder="1" applyAlignment="1" applyProtection="1">
      <alignment horizontal="right" wrapText="1"/>
    </xf>
    <xf numFmtId="165" fontId="113" fillId="28" borderId="35" xfId="42" applyFont="1" applyFill="1" applyBorder="1" applyAlignment="1" applyProtection="1">
      <alignment horizontal="right" wrapText="1"/>
    </xf>
    <xf numFmtId="165" fontId="45" fillId="28" borderId="37" xfId="42" applyFont="1" applyFill="1" applyBorder="1" applyAlignment="1" applyProtection="1">
      <alignment horizontal="right" wrapText="1"/>
    </xf>
    <xf numFmtId="165" fontId="113" fillId="28" borderId="37" xfId="42" applyFont="1" applyFill="1" applyBorder="1" applyAlignment="1" applyProtection="1">
      <alignment horizontal="right" wrapText="1"/>
    </xf>
    <xf numFmtId="169" fontId="111" fillId="0" borderId="74" xfId="42" applyNumberFormat="1" applyFont="1" applyBorder="1"/>
    <xf numFmtId="169" fontId="111" fillId="0" borderId="74" xfId="42" applyNumberFormat="1" applyFont="1" applyFill="1" applyBorder="1"/>
    <xf numFmtId="165" fontId="111" fillId="0" borderId="74" xfId="42" applyFont="1" applyFill="1" applyBorder="1"/>
    <xf numFmtId="169" fontId="111" fillId="38" borderId="74" xfId="42" applyNumberFormat="1" applyFont="1" applyFill="1" applyBorder="1"/>
    <xf numFmtId="0" fontId="53" fillId="0" borderId="74" xfId="56" applyFont="1" applyBorder="1" applyAlignment="1">
      <alignment horizontal="center" vertical="center"/>
    </xf>
    <xf numFmtId="0" fontId="97" fillId="0" borderId="74" xfId="56" applyFont="1" applyBorder="1" applyAlignment="1">
      <alignment horizontal="left" vertical="center"/>
    </xf>
    <xf numFmtId="169" fontId="111" fillId="42" borderId="74" xfId="42" applyNumberFormat="1" applyFont="1" applyFill="1" applyBorder="1"/>
    <xf numFmtId="169" fontId="111" fillId="0" borderId="77" xfId="42" applyNumberFormat="1" applyFont="1" applyFill="1" applyBorder="1"/>
    <xf numFmtId="185" fontId="97" fillId="0" borderId="0" xfId="42" applyNumberFormat="1" applyFont="1"/>
    <xf numFmtId="0" fontId="97" fillId="2" borderId="74" xfId="56" applyFont="1" applyFill="1" applyBorder="1" applyAlignment="1">
      <alignment horizontal="left" vertical="center"/>
    </xf>
    <xf numFmtId="169" fontId="97" fillId="42" borderId="74" xfId="42" applyNumberFormat="1" applyFont="1" applyFill="1" applyBorder="1"/>
    <xf numFmtId="3" fontId="48" fillId="3" borderId="9" xfId="0" applyNumberFormat="1" applyFont="1" applyFill="1" applyBorder="1" applyAlignment="1">
      <alignment horizontal="right"/>
    </xf>
    <xf numFmtId="9" fontId="43" fillId="3" borderId="3" xfId="49" applyFont="1" applyFill="1" applyBorder="1" applyAlignment="1">
      <alignment horizontal="center"/>
    </xf>
    <xf numFmtId="2" fontId="113" fillId="2" borderId="0" xfId="0" applyNumberFormat="1" applyFont="1" applyFill="1"/>
    <xf numFmtId="165" fontId="45" fillId="2" borderId="0" xfId="42" applyFont="1" applyFill="1"/>
    <xf numFmtId="3" fontId="45" fillId="2" borderId="0" xfId="0" applyNumberFormat="1" applyFont="1" applyFill="1"/>
    <xf numFmtId="169" fontId="45" fillId="2" borderId="0" xfId="42" applyNumberFormat="1" applyFont="1" applyFill="1"/>
    <xf numFmtId="169" fontId="113" fillId="2" borderId="0" xfId="42" applyNumberFormat="1" applyFont="1" applyFill="1"/>
    <xf numFmtId="169" fontId="139" fillId="2" borderId="0" xfId="42" applyNumberFormat="1" applyFont="1" applyFill="1"/>
    <xf numFmtId="169" fontId="45" fillId="2" borderId="0" xfId="0" applyNumberFormat="1" applyFont="1" applyFill="1"/>
    <xf numFmtId="165" fontId="78" fillId="3" borderId="36" xfId="42" applyFont="1" applyFill="1" applyBorder="1" applyAlignment="1">
      <alignment horizontal="right"/>
    </xf>
    <xf numFmtId="165" fontId="78" fillId="3" borderId="65" xfId="42" applyFont="1" applyFill="1" applyBorder="1" applyAlignment="1">
      <alignment horizontal="right"/>
    </xf>
    <xf numFmtId="165" fontId="78" fillId="3" borderId="31" xfId="42" applyFont="1" applyFill="1" applyBorder="1" applyAlignment="1">
      <alignment horizontal="right"/>
    </xf>
    <xf numFmtId="165" fontId="82" fillId="3" borderId="35" xfId="42" applyFont="1" applyFill="1" applyBorder="1" applyAlignment="1">
      <alignment horizontal="right"/>
    </xf>
    <xf numFmtId="165" fontId="104" fillId="3" borderId="35" xfId="42" applyFont="1" applyFill="1" applyBorder="1" applyAlignment="1">
      <alignment horizontal="right"/>
    </xf>
    <xf numFmtId="186" fontId="82" fillId="3" borderId="47" xfId="42" applyNumberFormat="1" applyFont="1" applyFill="1" applyBorder="1"/>
    <xf numFmtId="186" fontId="43" fillId="3" borderId="36" xfId="42" applyNumberFormat="1" applyFont="1" applyFill="1" applyBorder="1" applyAlignment="1">
      <alignment horizontal="center"/>
    </xf>
    <xf numFmtId="169" fontId="82" fillId="3" borderId="36" xfId="42" applyNumberFormat="1" applyFont="1" applyFill="1" applyBorder="1"/>
    <xf numFmtId="169" fontId="44" fillId="3" borderId="65" xfId="42" applyNumberFormat="1" applyFont="1" applyFill="1" applyBorder="1" applyAlignment="1">
      <alignment horizontal="right"/>
    </xf>
    <xf numFmtId="169" fontId="44" fillId="3" borderId="31" xfId="42" applyNumberFormat="1" applyFont="1" applyFill="1" applyBorder="1" applyAlignment="1">
      <alignment horizontal="right"/>
    </xf>
    <xf numFmtId="169" fontId="44" fillId="3" borderId="36" xfId="42" applyNumberFormat="1" applyFont="1" applyFill="1" applyBorder="1" applyAlignment="1">
      <alignment horizontal="right"/>
    </xf>
    <xf numFmtId="169" fontId="43" fillId="3" borderId="35" xfId="42" applyNumberFormat="1" applyFont="1" applyFill="1" applyBorder="1" applyAlignment="1">
      <alignment horizontal="right"/>
    </xf>
    <xf numFmtId="169" fontId="43" fillId="3" borderId="36" xfId="42" applyNumberFormat="1" applyFont="1" applyFill="1" applyBorder="1" applyAlignment="1">
      <alignment horizontal="center"/>
    </xf>
    <xf numFmtId="4" fontId="44" fillId="3" borderId="65" xfId="0" applyNumberFormat="1" applyFont="1" applyFill="1" applyBorder="1" applyAlignment="1">
      <alignment horizontal="right"/>
    </xf>
    <xf numFmtId="4" fontId="44" fillId="3" borderId="31" xfId="0" applyNumberFormat="1" applyFont="1" applyFill="1" applyBorder="1" applyAlignment="1">
      <alignment horizontal="right"/>
    </xf>
    <xf numFmtId="4" fontId="44" fillId="3" borderId="36" xfId="0" applyNumberFormat="1" applyFont="1" applyFill="1" applyBorder="1" applyAlignment="1">
      <alignment horizontal="right"/>
    </xf>
    <xf numFmtId="4" fontId="43" fillId="3" borderId="47" xfId="0" applyNumberFormat="1" applyFont="1" applyFill="1" applyBorder="1" applyAlignment="1">
      <alignment horizontal="right"/>
    </xf>
    <xf numFmtId="169" fontId="78" fillId="3" borderId="36" xfId="42" applyNumberFormat="1" applyFont="1" applyFill="1" applyBorder="1" applyAlignment="1"/>
    <xf numFmtId="169" fontId="78" fillId="3" borderId="31" xfId="42" applyNumberFormat="1" applyFont="1" applyFill="1" applyBorder="1" applyAlignment="1"/>
    <xf numFmtId="169" fontId="78" fillId="3" borderId="35" xfId="42" applyNumberFormat="1" applyFont="1" applyFill="1" applyBorder="1" applyAlignment="1"/>
    <xf numFmtId="169" fontId="78" fillId="3" borderId="65" xfId="42" applyNumberFormat="1" applyFont="1" applyFill="1" applyBorder="1" applyAlignment="1">
      <alignment horizontal="right"/>
    </xf>
    <xf numFmtId="4" fontId="43" fillId="28" borderId="32" xfId="0" applyNumberFormat="1" applyFont="1" applyFill="1" applyBorder="1" applyAlignment="1">
      <alignment horizontal="right" wrapText="1"/>
    </xf>
    <xf numFmtId="4" fontId="43" fillId="3" borderId="35" xfId="0" applyNumberFormat="1" applyFont="1" applyFill="1" applyBorder="1" applyAlignment="1">
      <alignment horizontal="right" wrapText="1"/>
    </xf>
    <xf numFmtId="4" fontId="43" fillId="28" borderId="35" xfId="0" applyNumberFormat="1" applyFont="1" applyFill="1" applyBorder="1" applyAlignment="1">
      <alignment horizontal="right" wrapText="1"/>
    </xf>
    <xf numFmtId="4" fontId="43" fillId="28" borderId="37" xfId="0" applyNumberFormat="1" applyFont="1" applyFill="1" applyBorder="1" applyAlignment="1">
      <alignment horizontal="right" wrapText="1"/>
    </xf>
    <xf numFmtId="176" fontId="43" fillId="28" borderId="32" xfId="42" applyNumberFormat="1" applyFont="1" applyFill="1" applyBorder="1" applyAlignment="1" applyProtection="1">
      <alignment horizontal="right" wrapText="1"/>
    </xf>
    <xf numFmtId="167" fontId="82" fillId="2" borderId="0" xfId="0" applyNumberFormat="1" applyFont="1" applyFill="1"/>
    <xf numFmtId="165" fontId="43" fillId="28" borderId="32" xfId="42" applyFont="1" applyFill="1" applyBorder="1" applyAlignment="1" applyProtection="1">
      <alignment horizontal="right" wrapText="1"/>
    </xf>
    <xf numFmtId="165" fontId="43" fillId="28" borderId="33" xfId="42" applyFont="1" applyFill="1" applyBorder="1" applyAlignment="1" applyProtection="1">
      <alignment horizontal="right" wrapText="1"/>
    </xf>
    <xf numFmtId="165" fontId="43" fillId="28" borderId="34" xfId="42" applyFont="1" applyFill="1" applyBorder="1" applyAlignment="1" applyProtection="1">
      <alignment horizontal="right" wrapText="1"/>
    </xf>
    <xf numFmtId="165" fontId="43" fillId="3" borderId="35" xfId="42" applyFont="1" applyFill="1" applyBorder="1" applyAlignment="1" applyProtection="1">
      <alignment horizontal="right" wrapText="1"/>
    </xf>
    <xf numFmtId="165" fontId="43" fillId="3" borderId="31" xfId="42" applyFont="1" applyFill="1" applyBorder="1" applyAlignment="1" applyProtection="1">
      <alignment horizontal="right" wrapText="1"/>
    </xf>
    <xf numFmtId="165" fontId="43" fillId="3" borderId="36" xfId="42" applyFont="1" applyFill="1" applyBorder="1" applyAlignment="1" applyProtection="1">
      <alignment horizontal="right" wrapText="1"/>
    </xf>
    <xf numFmtId="165" fontId="43" fillId="28" borderId="35" xfId="42" applyFont="1" applyFill="1" applyBorder="1" applyAlignment="1" applyProtection="1">
      <alignment horizontal="right" wrapText="1"/>
    </xf>
    <xf numFmtId="165" fontId="43" fillId="28" borderId="31" xfId="42" applyFont="1" applyFill="1" applyBorder="1" applyAlignment="1" applyProtection="1">
      <alignment horizontal="right" wrapText="1"/>
    </xf>
    <xf numFmtId="165" fontId="43" fillId="28" borderId="36" xfId="42" applyFont="1" applyFill="1" applyBorder="1" applyAlignment="1" applyProtection="1">
      <alignment horizontal="right" wrapText="1"/>
    </xf>
    <xf numFmtId="165" fontId="43" fillId="28" borderId="37" xfId="42" applyFont="1" applyFill="1" applyBorder="1" applyAlignment="1" applyProtection="1">
      <alignment horizontal="right" wrapText="1"/>
    </xf>
    <xf numFmtId="165" fontId="43" fillId="28" borderId="38" xfId="42" applyFont="1" applyFill="1" applyBorder="1" applyAlignment="1" applyProtection="1">
      <alignment horizontal="right" wrapText="1"/>
    </xf>
    <xf numFmtId="165" fontId="43" fillId="28" borderId="39" xfId="42" applyFont="1" applyFill="1" applyBorder="1" applyAlignment="1" applyProtection="1">
      <alignment horizontal="right" wrapText="1"/>
    </xf>
    <xf numFmtId="169" fontId="45" fillId="28" borderId="71" xfId="42" applyNumberFormat="1" applyFont="1" applyFill="1" applyBorder="1" applyAlignment="1" applyProtection="1">
      <alignment horizontal="left" wrapText="1"/>
    </xf>
    <xf numFmtId="169" fontId="45" fillId="28" borderId="32" xfId="42" applyNumberFormat="1" applyFont="1" applyFill="1" applyBorder="1" applyAlignment="1" applyProtection="1">
      <alignment horizontal="right" wrapText="1"/>
    </xf>
    <xf numFmtId="169" fontId="45" fillId="28" borderId="33" xfId="42" applyNumberFormat="1" applyFont="1" applyFill="1" applyBorder="1" applyAlignment="1" applyProtection="1">
      <alignment horizontal="right" wrapText="1"/>
    </xf>
    <xf numFmtId="169" fontId="45" fillId="28" borderId="34" xfId="42" applyNumberFormat="1" applyFont="1" applyFill="1" applyBorder="1" applyAlignment="1" applyProtection="1">
      <alignment horizontal="right" wrapText="1"/>
    </xf>
    <xf numFmtId="169" fontId="113" fillId="28" borderId="46" xfId="42" applyNumberFormat="1" applyFont="1" applyFill="1" applyBorder="1" applyAlignment="1">
      <alignment horizontal="right"/>
    </xf>
    <xf numFmtId="169" fontId="45" fillId="3" borderId="47" xfId="42" applyNumberFormat="1" applyFont="1" applyFill="1" applyBorder="1" applyAlignment="1">
      <alignment wrapText="1"/>
    </xf>
    <xf numFmtId="169" fontId="45" fillId="3" borderId="35" xfId="42" applyNumberFormat="1" applyFont="1" applyFill="1" applyBorder="1" applyAlignment="1" applyProtection="1">
      <alignment horizontal="right" wrapText="1"/>
    </xf>
    <xf numFmtId="169" fontId="45" fillId="3" borderId="31" xfId="42" applyNumberFormat="1" applyFont="1" applyFill="1" applyBorder="1" applyAlignment="1" applyProtection="1">
      <alignment horizontal="right" wrapText="1"/>
    </xf>
    <xf numFmtId="169" fontId="45" fillId="3" borderId="36" xfId="42" applyNumberFormat="1" applyFont="1" applyFill="1" applyBorder="1" applyAlignment="1" applyProtection="1">
      <alignment horizontal="right" wrapText="1"/>
    </xf>
    <xf numFmtId="169" fontId="113" fillId="3" borderId="47" xfId="42" applyNumberFormat="1" applyFont="1" applyFill="1" applyBorder="1" applyAlignment="1">
      <alignment horizontal="right"/>
    </xf>
    <xf numFmtId="169" fontId="45" fillId="28" borderId="44" xfId="42" applyNumberFormat="1" applyFont="1" applyFill="1" applyBorder="1" applyAlignment="1" applyProtection="1">
      <alignment horizontal="left" wrapText="1"/>
    </xf>
    <xf numFmtId="169" fontId="45" fillId="28" borderId="35" xfId="42" applyNumberFormat="1" applyFont="1" applyFill="1" applyBorder="1" applyAlignment="1" applyProtection="1">
      <alignment horizontal="right" wrapText="1"/>
    </xf>
    <xf numFmtId="169" fontId="45" fillId="28" borderId="31" xfId="42" applyNumberFormat="1" applyFont="1" applyFill="1" applyBorder="1" applyAlignment="1" applyProtection="1">
      <alignment horizontal="right" wrapText="1"/>
    </xf>
    <xf numFmtId="169" fontId="45" fillId="28" borderId="36" xfId="42" applyNumberFormat="1" applyFont="1" applyFill="1" applyBorder="1" applyAlignment="1" applyProtection="1">
      <alignment horizontal="right" wrapText="1"/>
    </xf>
    <xf numFmtId="169" fontId="113" fillId="28" borderId="47" xfId="42" applyNumberFormat="1" applyFont="1" applyFill="1" applyBorder="1" applyAlignment="1">
      <alignment horizontal="right"/>
    </xf>
    <xf numFmtId="169" fontId="45" fillId="2" borderId="0" xfId="42" applyNumberFormat="1" applyFont="1" applyFill="1" applyBorder="1"/>
    <xf numFmtId="169" fontId="45" fillId="28" borderId="45" xfId="42" applyNumberFormat="1" applyFont="1" applyFill="1" applyBorder="1" applyAlignment="1" applyProtection="1">
      <alignment horizontal="left" wrapText="1"/>
    </xf>
    <xf numFmtId="169" fontId="45" fillId="28" borderId="37" xfId="42" applyNumberFormat="1" applyFont="1" applyFill="1" applyBorder="1" applyAlignment="1" applyProtection="1">
      <alignment horizontal="right" wrapText="1"/>
    </xf>
    <xf numFmtId="169" fontId="45" fillId="28" borderId="38" xfId="42" applyNumberFormat="1" applyFont="1" applyFill="1" applyBorder="1" applyAlignment="1" applyProtection="1">
      <alignment horizontal="right" wrapText="1"/>
    </xf>
    <xf numFmtId="169" fontId="45" fillId="28" borderId="39" xfId="42" applyNumberFormat="1" applyFont="1" applyFill="1" applyBorder="1" applyAlignment="1" applyProtection="1">
      <alignment horizontal="right" wrapText="1"/>
    </xf>
    <xf numFmtId="169" fontId="113" fillId="28" borderId="96" xfId="42" applyNumberFormat="1" applyFont="1" applyFill="1" applyBorder="1" applyAlignment="1">
      <alignment horizontal="right"/>
    </xf>
    <xf numFmtId="176" fontId="82" fillId="2" borderId="0" xfId="42" applyNumberFormat="1" applyFont="1" applyFill="1"/>
    <xf numFmtId="176" fontId="71" fillId="2" borderId="0" xfId="0" applyNumberFormat="1" applyFont="1" applyFill="1"/>
    <xf numFmtId="169" fontId="82" fillId="28" borderId="32" xfId="42" applyNumberFormat="1" applyFont="1" applyFill="1" applyBorder="1" applyAlignment="1" applyProtection="1">
      <alignment horizontal="left" wrapText="1"/>
    </xf>
    <xf numFmtId="169" fontId="82" fillId="3" borderId="35" xfId="42" applyNumberFormat="1" applyFont="1" applyFill="1" applyBorder="1" applyAlignment="1" applyProtection="1">
      <alignment horizontal="left" wrapText="1"/>
    </xf>
    <xf numFmtId="169" fontId="82" fillId="28" borderId="35" xfId="42" applyNumberFormat="1" applyFont="1" applyFill="1" applyBorder="1" applyAlignment="1" applyProtection="1">
      <alignment horizontal="left" wrapText="1"/>
    </xf>
    <xf numFmtId="9" fontId="98" fillId="0" borderId="0" xfId="49" applyFont="1" applyAlignment="1">
      <alignment horizontal="center"/>
    </xf>
    <xf numFmtId="165" fontId="43" fillId="3" borderId="35" xfId="42" applyFont="1" applyFill="1" applyBorder="1" applyAlignment="1">
      <alignment horizontal="right"/>
    </xf>
    <xf numFmtId="169" fontId="43" fillId="28" borderId="35" xfId="42" applyNumberFormat="1" applyFont="1" applyFill="1" applyBorder="1" applyAlignment="1">
      <alignment horizontal="right"/>
    </xf>
    <xf numFmtId="165" fontId="44" fillId="3" borderId="65" xfId="42" applyFont="1" applyFill="1" applyBorder="1" applyAlignment="1">
      <alignment horizontal="right"/>
    </xf>
    <xf numFmtId="165" fontId="44" fillId="3" borderId="31" xfId="42" applyFont="1" applyFill="1" applyBorder="1" applyAlignment="1">
      <alignment horizontal="right"/>
    </xf>
    <xf numFmtId="165" fontId="44" fillId="3" borderId="36" xfId="42" applyFont="1" applyFill="1" applyBorder="1" applyAlignment="1">
      <alignment horizontal="right"/>
    </xf>
    <xf numFmtId="165" fontId="43" fillId="28" borderId="56" xfId="42" applyFont="1" applyFill="1" applyBorder="1" applyAlignment="1">
      <alignment horizontal="right"/>
    </xf>
    <xf numFmtId="165" fontId="44" fillId="28" borderId="35" xfId="42" applyFont="1" applyFill="1" applyBorder="1" applyAlignment="1">
      <alignment horizontal="right"/>
    </xf>
    <xf numFmtId="187" fontId="43" fillId="28" borderId="64" xfId="42" applyNumberFormat="1" applyFont="1" applyFill="1" applyBorder="1" applyAlignment="1"/>
    <xf numFmtId="187" fontId="43" fillId="28" borderId="57" xfId="42" applyNumberFormat="1" applyFont="1" applyFill="1" applyBorder="1" applyAlignment="1">
      <alignment horizontal="right"/>
    </xf>
    <xf numFmtId="187" fontId="43" fillId="28" borderId="58" xfId="42" applyNumberFormat="1" applyFont="1" applyFill="1" applyBorder="1" applyAlignment="1">
      <alignment horizontal="right"/>
    </xf>
    <xf numFmtId="187" fontId="43" fillId="3" borderId="65" xfId="42" applyNumberFormat="1" applyFont="1" applyFill="1" applyBorder="1" applyAlignment="1"/>
    <xf numFmtId="187" fontId="43" fillId="3" borderId="31" xfId="42" applyNumberFormat="1" applyFont="1" applyFill="1" applyBorder="1" applyAlignment="1">
      <alignment horizontal="right"/>
    </xf>
    <xf numFmtId="187" fontId="43" fillId="3" borderId="36" xfId="42" applyNumberFormat="1" applyFont="1" applyFill="1" applyBorder="1" applyAlignment="1">
      <alignment horizontal="right"/>
    </xf>
    <xf numFmtId="187" fontId="44" fillId="28" borderId="65" xfId="42" applyNumberFormat="1" applyFont="1" applyFill="1" applyBorder="1" applyAlignment="1">
      <alignment horizontal="right"/>
    </xf>
    <xf numFmtId="187" fontId="44" fillId="28" borderId="31" xfId="42" applyNumberFormat="1" applyFont="1" applyFill="1" applyBorder="1" applyAlignment="1">
      <alignment horizontal="right"/>
    </xf>
    <xf numFmtId="187" fontId="44" fillId="28" borderId="36" xfId="42" applyNumberFormat="1" applyFont="1" applyFill="1" applyBorder="1" applyAlignment="1">
      <alignment horizontal="right"/>
    </xf>
    <xf numFmtId="187" fontId="44" fillId="3" borderId="65" xfId="42" applyNumberFormat="1" applyFont="1" applyFill="1" applyBorder="1" applyAlignment="1"/>
    <xf numFmtId="187" fontId="44" fillId="3" borderId="31" xfId="42" applyNumberFormat="1" applyFont="1" applyFill="1" applyBorder="1" applyAlignment="1"/>
    <xf numFmtId="187" fontId="44" fillId="3" borderId="36" xfId="42" applyNumberFormat="1" applyFont="1" applyFill="1" applyBorder="1" applyAlignment="1"/>
    <xf numFmtId="169" fontId="43" fillId="3" borderId="35" xfId="42" applyNumberFormat="1" applyFont="1" applyFill="1" applyBorder="1" applyAlignment="1"/>
    <xf numFmtId="165" fontId="44" fillId="3" borderId="47" xfId="42" applyFont="1" applyFill="1" applyBorder="1"/>
    <xf numFmtId="165" fontId="43" fillId="3" borderId="47" xfId="42" applyFont="1" applyFill="1" applyBorder="1" applyAlignment="1">
      <alignment horizontal="right"/>
    </xf>
    <xf numFmtId="169" fontId="71" fillId="28" borderId="68" xfId="42" applyNumberFormat="1" applyFont="1" applyFill="1" applyBorder="1" applyAlignment="1" applyProtection="1">
      <alignment horizontal="right" wrapText="1"/>
    </xf>
    <xf numFmtId="169" fontId="49" fillId="28" borderId="46" xfId="42" applyNumberFormat="1" applyFont="1" applyFill="1" applyBorder="1" applyAlignment="1">
      <alignment horizontal="right" wrapText="1"/>
    </xf>
    <xf numFmtId="174" fontId="71" fillId="28" borderId="87" xfId="49" applyNumberFormat="1" applyFont="1" applyFill="1" applyBorder="1"/>
    <xf numFmtId="169" fontId="129" fillId="35" borderId="94" xfId="61" applyNumberFormat="1" applyFont="1" applyFill="1" applyBorder="1" applyAlignment="1">
      <alignment horizontal="center" vertical="center"/>
    </xf>
    <xf numFmtId="169" fontId="132" fillId="0" borderId="79" xfId="61" applyNumberFormat="1" applyFont="1" applyBorder="1" applyAlignment="1">
      <alignment horizontal="center" vertical="center"/>
    </xf>
    <xf numFmtId="169" fontId="132" fillId="0" borderId="80" xfId="61" applyNumberFormat="1" applyFont="1" applyBorder="1" applyAlignment="1">
      <alignment horizontal="center" vertical="center"/>
    </xf>
    <xf numFmtId="169" fontId="111" fillId="0" borderId="74" xfId="61" applyNumberFormat="1" applyFont="1" applyBorder="1" applyAlignment="1">
      <alignment horizontal="center"/>
    </xf>
    <xf numFmtId="169" fontId="111" fillId="0" borderId="81" xfId="61" applyNumberFormat="1" applyFont="1" applyBorder="1"/>
    <xf numFmtId="169" fontId="111" fillId="0" borderId="102" xfId="61" applyNumberFormat="1" applyFont="1" applyBorder="1" applyAlignment="1">
      <alignment horizontal="center"/>
    </xf>
    <xf numFmtId="169" fontId="111" fillId="0" borderId="133" xfId="61" applyNumberFormat="1" applyFont="1" applyBorder="1"/>
    <xf numFmtId="169" fontId="111" fillId="0" borderId="10" xfId="61" applyNumberFormat="1" applyFont="1" applyBorder="1" applyAlignment="1">
      <alignment horizontal="center"/>
    </xf>
    <xf numFmtId="169" fontId="111" fillId="0" borderId="11" xfId="61" applyNumberFormat="1" applyFont="1" applyBorder="1" applyAlignment="1">
      <alignment horizontal="center"/>
    </xf>
    <xf numFmtId="169" fontId="111" fillId="0" borderId="20" xfId="61" applyNumberFormat="1" applyFont="1" applyBorder="1" applyAlignment="1">
      <alignment horizontal="center"/>
    </xf>
    <xf numFmtId="169" fontId="111" fillId="0" borderId="18" xfId="61" applyNumberFormat="1" applyFont="1" applyBorder="1" applyAlignment="1">
      <alignment horizontal="center"/>
    </xf>
    <xf numFmtId="169" fontId="111" fillId="0" borderId="21" xfId="61" applyNumberFormat="1" applyFont="1" applyBorder="1"/>
    <xf numFmtId="169" fontId="112" fillId="0" borderId="78" xfId="61" applyNumberFormat="1" applyFont="1" applyBorder="1" applyAlignment="1">
      <alignment horizontal="center"/>
    </xf>
    <xf numFmtId="169" fontId="112" fillId="0" borderId="9" xfId="61" applyNumberFormat="1" applyFont="1" applyBorder="1"/>
    <xf numFmtId="169" fontId="112" fillId="0" borderId="0" xfId="61" applyNumberFormat="1" applyFont="1" applyBorder="1" applyAlignment="1">
      <alignment horizontal="center"/>
    </xf>
    <xf numFmtId="169" fontId="112" fillId="0" borderId="0" xfId="61" applyNumberFormat="1" applyFont="1" applyBorder="1"/>
    <xf numFmtId="169" fontId="111" fillId="0" borderId="79" xfId="61" applyNumberFormat="1" applyFont="1" applyBorder="1" applyAlignment="1">
      <alignment horizontal="center"/>
    </xf>
    <xf numFmtId="169" fontId="111" fillId="0" borderId="103" xfId="61" applyNumberFormat="1" applyFont="1" applyBorder="1" applyAlignment="1">
      <alignment horizontal="center"/>
    </xf>
    <xf numFmtId="169" fontId="112" fillId="0" borderId="97" xfId="61" applyNumberFormat="1" applyFont="1" applyBorder="1"/>
    <xf numFmtId="169" fontId="112" fillId="0" borderId="99" xfId="61" applyNumberFormat="1" applyFont="1" applyBorder="1" applyAlignment="1">
      <alignment horizontal="center"/>
    </xf>
    <xf numFmtId="165" fontId="0" fillId="0" borderId="0" xfId="42" applyFont="1"/>
    <xf numFmtId="174" fontId="71" fillId="3" borderId="72" xfId="0" applyNumberFormat="1" applyFont="1" applyFill="1" applyBorder="1" applyAlignment="1">
      <alignment horizontal="right"/>
    </xf>
    <xf numFmtId="174" fontId="71" fillId="3" borderId="17" xfId="0" applyNumberFormat="1" applyFont="1" applyFill="1" applyBorder="1"/>
    <xf numFmtId="174" fontId="89" fillId="3" borderId="71" xfId="0" applyNumberFormat="1" applyFont="1" applyFill="1" applyBorder="1" applyAlignment="1">
      <alignment horizontal="right"/>
    </xf>
    <xf numFmtId="174" fontId="90" fillId="28" borderId="9" xfId="0" applyNumberFormat="1" applyFont="1" applyFill="1" applyBorder="1"/>
    <xf numFmtId="178" fontId="136" fillId="28" borderId="3" xfId="42" applyNumberFormat="1" applyFont="1" applyFill="1" applyBorder="1" applyAlignment="1">
      <alignment horizontal="right"/>
    </xf>
    <xf numFmtId="176" fontId="136" fillId="5" borderId="67" xfId="42" applyNumberFormat="1" applyFont="1" applyFill="1" applyBorder="1" applyAlignment="1">
      <alignment horizontal="right"/>
    </xf>
    <xf numFmtId="176" fontId="136" fillId="5" borderId="59" xfId="42" applyNumberFormat="1" applyFont="1" applyFill="1" applyBorder="1" applyAlignment="1">
      <alignment horizontal="right"/>
    </xf>
    <xf numFmtId="176" fontId="136" fillId="5" borderId="62" xfId="42" applyNumberFormat="1" applyFont="1" applyFill="1" applyBorder="1" applyAlignment="1">
      <alignment horizontal="right"/>
    </xf>
    <xf numFmtId="174" fontId="136" fillId="5" borderId="7" xfId="0" applyNumberFormat="1" applyFont="1" applyFill="1" applyBorder="1" applyAlignment="1">
      <alignment horizontal="right"/>
    </xf>
    <xf numFmtId="176" fontId="2" fillId="0" borderId="68" xfId="42" applyNumberFormat="1" applyFont="1" applyFill="1" applyBorder="1" applyAlignment="1">
      <alignment horizontal="right"/>
    </xf>
    <xf numFmtId="176" fontId="2" fillId="0" borderId="33" xfId="42" applyNumberFormat="1" applyFont="1" applyFill="1" applyBorder="1" applyAlignment="1">
      <alignment horizontal="right"/>
    </xf>
    <xf numFmtId="176" fontId="82" fillId="0" borderId="33" xfId="42" applyNumberFormat="1" applyFont="1" applyFill="1" applyBorder="1" applyAlignment="1">
      <alignment horizontal="right"/>
    </xf>
    <xf numFmtId="176" fontId="82" fillId="0" borderId="40" xfId="42" applyNumberFormat="1" applyFont="1" applyFill="1" applyBorder="1" applyAlignment="1">
      <alignment horizontal="right"/>
    </xf>
    <xf numFmtId="174" fontId="82" fillId="28" borderId="46" xfId="0" applyNumberFormat="1" applyFont="1" applyFill="1" applyBorder="1" applyAlignment="1">
      <alignment horizontal="right"/>
    </xf>
    <xf numFmtId="176" fontId="2" fillId="0" borderId="66" xfId="42" applyNumberFormat="1" applyFont="1" applyFill="1" applyBorder="1" applyAlignment="1">
      <alignment horizontal="right"/>
    </xf>
    <xf numFmtId="174" fontId="82" fillId="28" borderId="48" xfId="0" applyNumberFormat="1" applyFont="1" applyFill="1" applyBorder="1" applyAlignment="1">
      <alignment horizontal="right"/>
    </xf>
    <xf numFmtId="176" fontId="82" fillId="0" borderId="68" xfId="42" applyNumberFormat="1" applyFont="1" applyFill="1" applyBorder="1" applyAlignment="1">
      <alignment horizontal="right"/>
    </xf>
    <xf numFmtId="176" fontId="82" fillId="0" borderId="69" xfId="42" applyNumberFormat="1" applyFont="1" applyFill="1" applyBorder="1" applyAlignment="1">
      <alignment horizontal="right"/>
    </xf>
    <xf numFmtId="174" fontId="82" fillId="28" borderId="96" xfId="0" applyNumberFormat="1" applyFont="1" applyFill="1" applyBorder="1" applyAlignment="1">
      <alignment horizontal="right"/>
    </xf>
    <xf numFmtId="174" fontId="71" fillId="3" borderId="48" xfId="0" applyNumberFormat="1" applyFont="1" applyFill="1" applyBorder="1"/>
    <xf numFmtId="178" fontId="82" fillId="2" borderId="78" xfId="42" applyNumberFormat="1" applyFont="1" applyFill="1" applyBorder="1"/>
    <xf numFmtId="178" fontId="82" fillId="28" borderId="9" xfId="42" applyNumberFormat="1" applyFont="1" applyFill="1" applyBorder="1" applyAlignment="1">
      <alignment horizontal="right"/>
    </xf>
    <xf numFmtId="174" fontId="89" fillId="3" borderId="55" xfId="0" applyNumberFormat="1" applyFont="1" applyFill="1" applyBorder="1"/>
    <xf numFmtId="178" fontId="78" fillId="3" borderId="55" xfId="42" applyNumberFormat="1" applyFont="1" applyFill="1" applyBorder="1" applyAlignment="1">
      <alignment horizontal="right"/>
    </xf>
    <xf numFmtId="176" fontId="49" fillId="2" borderId="0" xfId="42" applyNumberFormat="1" applyFont="1" applyFill="1"/>
    <xf numFmtId="9" fontId="71" fillId="2" borderId="0" xfId="49" applyFont="1" applyFill="1"/>
    <xf numFmtId="165" fontId="99" fillId="0" borderId="0" xfId="42" applyFont="1"/>
    <xf numFmtId="178" fontId="134" fillId="0" borderId="0" xfId="42" applyNumberFormat="1" applyFont="1"/>
    <xf numFmtId="10" fontId="99" fillId="0" borderId="0" xfId="0" applyNumberFormat="1" applyFont="1"/>
    <xf numFmtId="9" fontId="99" fillId="0" borderId="0" xfId="0" applyNumberFormat="1" applyFont="1"/>
    <xf numFmtId="167" fontId="99" fillId="0" borderId="0" xfId="0" applyNumberFormat="1" applyFont="1"/>
    <xf numFmtId="10" fontId="99" fillId="0" borderId="0" xfId="49" applyNumberFormat="1" applyFont="1"/>
    <xf numFmtId="0" fontId="134" fillId="0" borderId="0" xfId="0" applyFont="1"/>
    <xf numFmtId="0" fontId="133" fillId="0" borderId="95" xfId="0" applyFont="1" applyBorder="1"/>
    <xf numFmtId="0" fontId="134" fillId="0" borderId="95" xfId="0" applyFont="1" applyBorder="1"/>
    <xf numFmtId="165" fontId="134" fillId="0" borderId="0" xfId="42" applyFont="1"/>
    <xf numFmtId="9" fontId="134" fillId="0" borderId="0" xfId="0" applyNumberFormat="1" applyFont="1" applyAlignment="1">
      <alignment horizontal="left"/>
    </xf>
    <xf numFmtId="0" fontId="134" fillId="0" borderId="0" xfId="0" applyFont="1" applyAlignment="1">
      <alignment horizontal="left"/>
    </xf>
    <xf numFmtId="169" fontId="134" fillId="0" borderId="0" xfId="42" applyNumberFormat="1" applyFont="1"/>
    <xf numFmtId="169" fontId="134" fillId="0" borderId="0" xfId="0" applyNumberFormat="1" applyFont="1"/>
    <xf numFmtId="168" fontId="134" fillId="0" borderId="0" xfId="49" applyNumberFormat="1" applyFont="1"/>
    <xf numFmtId="3" fontId="134" fillId="0" borderId="0" xfId="0" applyNumberFormat="1" applyFont="1"/>
    <xf numFmtId="0" fontId="0" fillId="43" borderId="14" xfId="0" applyFill="1" applyBorder="1"/>
    <xf numFmtId="179" fontId="115" fillId="43" borderId="17" xfId="0" applyNumberFormat="1" applyFont="1" applyFill="1" applyBorder="1"/>
    <xf numFmtId="0" fontId="0" fillId="43" borderId="0" xfId="0" applyFill="1"/>
    <xf numFmtId="0" fontId="115" fillId="43" borderId="144" xfId="0" applyFont="1" applyFill="1" applyBorder="1"/>
    <xf numFmtId="0" fontId="130" fillId="43" borderId="0" xfId="0" applyFont="1" applyFill="1"/>
    <xf numFmtId="0" fontId="115" fillId="43" borderId="0" xfId="0" applyFont="1" applyFill="1"/>
    <xf numFmtId="165" fontId="98" fillId="0" borderId="0" xfId="42" applyFont="1" applyAlignment="1">
      <alignment horizontal="center"/>
    </xf>
    <xf numFmtId="176" fontId="98" fillId="0" borderId="0" xfId="42" applyNumberFormat="1" applyFont="1" applyAlignment="1">
      <alignment horizontal="center"/>
    </xf>
    <xf numFmtId="178" fontId="98" fillId="0" borderId="0" xfId="42" applyNumberFormat="1" applyFont="1" applyAlignment="1">
      <alignment horizontal="center"/>
    </xf>
    <xf numFmtId="169" fontId="98" fillId="0" borderId="0" xfId="42" applyNumberFormat="1" applyFont="1" applyAlignment="1">
      <alignment horizontal="center"/>
    </xf>
    <xf numFmtId="0" fontId="71" fillId="0" borderId="0" xfId="0" applyFont="1" applyAlignment="1">
      <alignment horizontal="left" wrapText="1"/>
    </xf>
    <xf numFmtId="9" fontId="49" fillId="0" borderId="0" xfId="49" applyFont="1" applyFill="1" applyBorder="1" applyAlignment="1" applyProtection="1">
      <alignment horizontal="right" wrapText="1"/>
    </xf>
    <xf numFmtId="9" fontId="71" fillId="0" borderId="0" xfId="49" applyFont="1" applyFill="1" applyBorder="1" applyAlignment="1" applyProtection="1">
      <alignment horizontal="right" wrapText="1"/>
    </xf>
    <xf numFmtId="9" fontId="49" fillId="0" borderId="0" xfId="49" applyFont="1" applyFill="1" applyBorder="1" applyAlignment="1">
      <alignment horizontal="right" wrapText="1"/>
    </xf>
    <xf numFmtId="174" fontId="71" fillId="0" borderId="0" xfId="49" applyNumberFormat="1" applyFont="1" applyFill="1" applyBorder="1"/>
    <xf numFmtId="0" fontId="97" fillId="44" borderId="74" xfId="56" applyFont="1" applyFill="1" applyBorder="1" applyAlignment="1">
      <alignment horizontal="center" vertical="center"/>
    </xf>
    <xf numFmtId="169" fontId="111" fillId="44" borderId="74" xfId="42" applyNumberFormat="1" applyFont="1" applyFill="1" applyBorder="1"/>
    <xf numFmtId="0" fontId="97" fillId="44" borderId="74" xfId="56" applyFont="1" applyFill="1" applyBorder="1"/>
    <xf numFmtId="165" fontId="111" fillId="44" borderId="74" xfId="42" applyFont="1" applyFill="1" applyBorder="1"/>
    <xf numFmtId="176" fontId="101" fillId="0" borderId="74" xfId="58" applyNumberFormat="1" applyFont="1" applyBorder="1" applyAlignment="1">
      <alignment horizontal="center"/>
    </xf>
    <xf numFmtId="178" fontId="101" fillId="0" borderId="74" xfId="58" applyNumberFormat="1" applyFont="1" applyBorder="1" applyAlignment="1">
      <alignment horizontal="center"/>
    </xf>
    <xf numFmtId="0" fontId="78" fillId="3" borderId="7" xfId="0" applyFont="1" applyFill="1" applyBorder="1" applyAlignment="1">
      <alignment horizontal="center" wrapText="1"/>
    </xf>
    <xf numFmtId="165" fontId="82" fillId="28" borderId="32" xfId="42" applyFont="1" applyFill="1" applyBorder="1" applyAlignment="1" applyProtection="1">
      <alignment horizontal="center" wrapText="1"/>
    </xf>
    <xf numFmtId="165" fontId="82" fillId="28" borderId="40" xfId="42" applyFont="1" applyFill="1" applyBorder="1" applyAlignment="1" applyProtection="1">
      <alignment horizontal="center" wrapText="1"/>
    </xf>
    <xf numFmtId="165" fontId="82" fillId="3" borderId="35" xfId="42" applyFont="1" applyFill="1" applyBorder="1" applyAlignment="1" applyProtection="1">
      <alignment horizontal="center" wrapText="1"/>
    </xf>
    <xf numFmtId="165" fontId="82" fillId="3" borderId="41" xfId="42" applyFont="1" applyFill="1" applyBorder="1" applyAlignment="1" applyProtection="1">
      <alignment horizontal="center" wrapText="1"/>
    </xf>
    <xf numFmtId="165" fontId="82" fillId="28" borderId="35" xfId="42" applyFont="1" applyFill="1" applyBorder="1" applyAlignment="1" applyProtection="1">
      <alignment horizontal="center" wrapText="1"/>
    </xf>
    <xf numFmtId="165" fontId="82" fillId="28" borderId="41" xfId="42" applyFont="1" applyFill="1" applyBorder="1" applyAlignment="1" applyProtection="1">
      <alignment horizontal="center" wrapText="1"/>
    </xf>
    <xf numFmtId="9" fontId="83" fillId="3" borderId="35" xfId="49" applyFont="1" applyFill="1" applyBorder="1" applyAlignment="1" applyProtection="1">
      <alignment horizontal="center" wrapText="1"/>
    </xf>
    <xf numFmtId="9" fontId="83" fillId="3" borderId="41" xfId="49" applyFont="1" applyFill="1" applyBorder="1" applyAlignment="1" applyProtection="1">
      <alignment horizontal="center" wrapText="1"/>
    </xf>
    <xf numFmtId="3" fontId="82" fillId="28" borderId="35" xfId="0" applyNumberFormat="1" applyFont="1" applyFill="1" applyBorder="1" applyAlignment="1">
      <alignment horizontal="center" wrapText="1"/>
    </xf>
    <xf numFmtId="169" fontId="82" fillId="28" borderId="41" xfId="42" applyNumberFormat="1" applyFont="1" applyFill="1" applyBorder="1" applyAlignment="1" applyProtection="1">
      <alignment horizontal="center" wrapText="1"/>
    </xf>
    <xf numFmtId="0" fontId="83" fillId="3" borderId="49" xfId="0" applyFont="1" applyFill="1" applyBorder="1" applyAlignment="1">
      <alignment horizontal="center" wrapText="1"/>
    </xf>
    <xf numFmtId="9" fontId="83" fillId="3" borderId="70" xfId="49" applyFont="1" applyFill="1" applyBorder="1" applyAlignment="1" applyProtection="1">
      <alignment horizontal="center" wrapText="1"/>
    </xf>
    <xf numFmtId="3" fontId="78" fillId="28" borderId="37" xfId="0" applyNumberFormat="1" applyFont="1" applyFill="1" applyBorder="1" applyAlignment="1">
      <alignment horizontal="center" wrapText="1"/>
    </xf>
    <xf numFmtId="169" fontId="78" fillId="28" borderId="42" xfId="42" applyNumberFormat="1" applyFont="1" applyFill="1" applyBorder="1" applyAlignment="1" applyProtection="1">
      <alignment horizontal="center" wrapText="1"/>
    </xf>
    <xf numFmtId="9" fontId="83" fillId="3" borderId="37" xfId="49" applyFont="1" applyFill="1" applyBorder="1" applyAlignment="1" applyProtection="1">
      <alignment horizontal="center" wrapText="1"/>
    </xf>
    <xf numFmtId="9" fontId="83" fillId="3" borderId="42" xfId="49" applyFont="1" applyFill="1" applyBorder="1" applyAlignment="1" applyProtection="1">
      <alignment horizontal="center" wrapText="1"/>
    </xf>
    <xf numFmtId="3" fontId="78" fillId="5" borderId="52" xfId="0" applyNumberFormat="1" applyFont="1" applyFill="1" applyBorder="1" applyAlignment="1">
      <alignment horizontal="center"/>
    </xf>
    <xf numFmtId="3" fontId="78" fillId="5" borderId="54" xfId="0" applyNumberFormat="1" applyFont="1" applyFill="1" applyBorder="1" applyAlignment="1">
      <alignment horizontal="center"/>
    </xf>
    <xf numFmtId="3" fontId="83" fillId="28" borderId="56" xfId="0" applyNumberFormat="1" applyFont="1" applyFill="1" applyBorder="1" applyAlignment="1">
      <alignment horizontal="center"/>
    </xf>
    <xf numFmtId="3" fontId="83" fillId="28" borderId="58" xfId="0" applyNumberFormat="1" applyFont="1" applyFill="1" applyBorder="1" applyAlignment="1">
      <alignment horizontal="center"/>
    </xf>
    <xf numFmtId="3" fontId="83" fillId="3" borderId="35" xfId="0" applyNumberFormat="1" applyFont="1" applyFill="1" applyBorder="1" applyAlignment="1">
      <alignment horizontal="center"/>
    </xf>
    <xf numFmtId="3" fontId="83" fillId="3" borderId="36" xfId="0" applyNumberFormat="1" applyFont="1" applyFill="1" applyBorder="1" applyAlignment="1">
      <alignment horizontal="center"/>
    </xf>
    <xf numFmtId="3" fontId="78" fillId="28" borderId="35" xfId="0" applyNumberFormat="1" applyFont="1" applyFill="1" applyBorder="1" applyAlignment="1">
      <alignment horizontal="center"/>
    </xf>
    <xf numFmtId="3" fontId="78" fillId="28" borderId="36" xfId="0" applyNumberFormat="1" applyFont="1" applyFill="1" applyBorder="1" applyAlignment="1">
      <alignment horizontal="center"/>
    </xf>
    <xf numFmtId="3" fontId="78" fillId="3" borderId="44" xfId="0" applyNumberFormat="1" applyFont="1" applyFill="1" applyBorder="1" applyAlignment="1">
      <alignment horizontal="center"/>
    </xf>
    <xf numFmtId="3" fontId="78" fillId="3" borderId="36" xfId="0" applyNumberFormat="1" applyFont="1" applyFill="1" applyBorder="1" applyAlignment="1">
      <alignment horizontal="center"/>
    </xf>
    <xf numFmtId="3" fontId="82" fillId="28" borderId="35" xfId="0" applyNumberFormat="1" applyFont="1" applyFill="1" applyBorder="1" applyAlignment="1">
      <alignment horizontal="center"/>
    </xf>
    <xf numFmtId="3" fontId="78" fillId="3" borderId="35" xfId="0" applyNumberFormat="1" applyFont="1" applyFill="1" applyBorder="1" applyAlignment="1">
      <alignment horizontal="center"/>
    </xf>
    <xf numFmtId="3" fontId="83" fillId="28" borderId="35" xfId="0" applyNumberFormat="1" applyFont="1" applyFill="1" applyBorder="1" applyAlignment="1">
      <alignment horizontal="center"/>
    </xf>
    <xf numFmtId="3" fontId="78" fillId="28" borderId="49" xfId="0" applyNumberFormat="1" applyFont="1" applyFill="1" applyBorder="1" applyAlignment="1">
      <alignment horizontal="center"/>
    </xf>
    <xf numFmtId="3" fontId="78" fillId="28" borderId="51" xfId="0" applyNumberFormat="1" applyFont="1" applyFill="1" applyBorder="1" applyAlignment="1">
      <alignment horizontal="center"/>
    </xf>
    <xf numFmtId="3" fontId="82" fillId="0" borderId="32" xfId="0" applyNumberFormat="1" applyFont="1" applyBorder="1" applyAlignment="1">
      <alignment horizontal="center"/>
    </xf>
    <xf numFmtId="3" fontId="82" fillId="0" borderId="49" xfId="0" applyNumberFormat="1" applyFont="1" applyBorder="1" applyAlignment="1">
      <alignment horizontal="center"/>
    </xf>
    <xf numFmtId="3" fontId="82" fillId="0" borderId="37" xfId="0" applyNumberFormat="1" applyFont="1" applyBorder="1" applyAlignment="1">
      <alignment horizontal="center"/>
    </xf>
    <xf numFmtId="3" fontId="83" fillId="28" borderId="39" xfId="0" applyNumberFormat="1" applyFont="1" applyFill="1" applyBorder="1" applyAlignment="1">
      <alignment horizontal="center"/>
    </xf>
    <xf numFmtId="0" fontId="82" fillId="2" borderId="0" xfId="0" applyFont="1" applyFill="1" applyAlignment="1">
      <alignment horizontal="center"/>
    </xf>
    <xf numFmtId="3" fontId="82" fillId="2" borderId="0" xfId="0" applyNumberFormat="1" applyFont="1" applyFill="1" applyAlignment="1">
      <alignment horizontal="center"/>
    </xf>
    <xf numFmtId="3" fontId="83" fillId="28" borderId="36" xfId="0" applyNumberFormat="1" applyFont="1" applyFill="1" applyBorder="1" applyAlignment="1">
      <alignment horizontal="center"/>
    </xf>
    <xf numFmtId="3" fontId="78" fillId="5" borderId="61" xfId="0" applyNumberFormat="1" applyFont="1" applyFill="1" applyBorder="1" applyAlignment="1">
      <alignment horizontal="center"/>
    </xf>
    <xf numFmtId="3" fontId="78" fillId="5" borderId="60" xfId="0" applyNumberFormat="1" applyFont="1" applyFill="1" applyBorder="1" applyAlignment="1">
      <alignment horizontal="center"/>
    </xf>
    <xf numFmtId="3" fontId="82" fillId="0" borderId="34" xfId="0" applyNumberFormat="1" applyFont="1" applyBorder="1" applyAlignment="1">
      <alignment horizontal="center"/>
    </xf>
    <xf numFmtId="3" fontId="82" fillId="0" borderId="51" xfId="0" applyNumberFormat="1" applyFont="1" applyBorder="1" applyAlignment="1">
      <alignment horizontal="center"/>
    </xf>
    <xf numFmtId="3" fontId="82" fillId="0" borderId="39" xfId="0" applyNumberFormat="1" applyFont="1" applyBorder="1" applyAlignment="1">
      <alignment horizontal="center"/>
    </xf>
    <xf numFmtId="3" fontId="78" fillId="28" borderId="0" xfId="0" applyNumberFormat="1" applyFont="1" applyFill="1" applyAlignment="1">
      <alignment horizontal="center"/>
    </xf>
    <xf numFmtId="0" fontId="82" fillId="28" borderId="32" xfId="0" applyFont="1" applyFill="1" applyBorder="1" applyAlignment="1">
      <alignment horizontal="center" wrapText="1"/>
    </xf>
    <xf numFmtId="0" fontId="82" fillId="3" borderId="35" xfId="0" applyFont="1" applyFill="1" applyBorder="1" applyAlignment="1">
      <alignment horizontal="center" wrapText="1"/>
    </xf>
    <xf numFmtId="0" fontId="82" fillId="28" borderId="35" xfId="0" applyFont="1" applyFill="1" applyBorder="1" applyAlignment="1">
      <alignment horizontal="center" wrapText="1"/>
    </xf>
    <xf numFmtId="0" fontId="82" fillId="28" borderId="37" xfId="0" applyFont="1" applyFill="1" applyBorder="1" applyAlignment="1">
      <alignment horizontal="center" wrapText="1"/>
    </xf>
    <xf numFmtId="3" fontId="82" fillId="28" borderId="32" xfId="0" applyNumberFormat="1" applyFont="1" applyFill="1" applyBorder="1" applyAlignment="1">
      <alignment horizontal="center" wrapText="1"/>
    </xf>
    <xf numFmtId="3" fontId="82" fillId="3" borderId="35" xfId="0" applyNumberFormat="1" applyFont="1" applyFill="1" applyBorder="1" applyAlignment="1">
      <alignment horizontal="center" wrapText="1"/>
    </xf>
    <xf numFmtId="169" fontId="82" fillId="28" borderId="40" xfId="42" applyNumberFormat="1" applyFont="1" applyFill="1" applyBorder="1" applyAlignment="1" applyProtection="1">
      <alignment wrapText="1"/>
    </xf>
    <xf numFmtId="169" fontId="82" fillId="3" borderId="41" xfId="42" applyNumberFormat="1" applyFont="1" applyFill="1" applyBorder="1" applyAlignment="1" applyProtection="1">
      <alignment wrapText="1"/>
    </xf>
    <xf numFmtId="165" fontId="82" fillId="28" borderId="41" xfId="42" applyFont="1" applyFill="1" applyBorder="1" applyAlignment="1" applyProtection="1">
      <alignment wrapText="1"/>
    </xf>
    <xf numFmtId="169" fontId="82" fillId="28" borderId="41" xfId="42" applyNumberFormat="1" applyFont="1" applyFill="1" applyBorder="1" applyAlignment="1" applyProtection="1">
      <alignment wrapText="1"/>
    </xf>
    <xf numFmtId="3" fontId="53" fillId="38" borderId="74" xfId="56" applyNumberFormat="1" applyFont="1" applyFill="1" applyBorder="1" applyAlignment="1">
      <alignment horizontal="center" vertical="center"/>
    </xf>
    <xf numFmtId="188" fontId="97" fillId="38" borderId="74" xfId="42" applyNumberFormat="1" applyFont="1" applyFill="1" applyBorder="1" applyAlignment="1">
      <alignment horizontal="center"/>
    </xf>
    <xf numFmtId="169" fontId="82" fillId="28" borderId="40" xfId="42" applyNumberFormat="1" applyFont="1" applyFill="1" applyBorder="1" applyAlignment="1" applyProtection="1">
      <alignment horizontal="center" wrapText="1"/>
    </xf>
    <xf numFmtId="169" fontId="82" fillId="3" borderId="41" xfId="42" applyNumberFormat="1" applyFont="1" applyFill="1" applyBorder="1" applyAlignment="1" applyProtection="1">
      <alignment horizontal="center" wrapText="1"/>
    </xf>
    <xf numFmtId="10" fontId="83" fillId="3" borderId="35" xfId="49" applyNumberFormat="1" applyFont="1" applyFill="1" applyBorder="1" applyAlignment="1" applyProtection="1">
      <alignment horizontal="center" wrapText="1"/>
    </xf>
    <xf numFmtId="10" fontId="83" fillId="3" borderId="41" xfId="49" applyNumberFormat="1" applyFont="1" applyFill="1" applyBorder="1" applyAlignment="1" applyProtection="1">
      <alignment horizontal="center" wrapText="1"/>
    </xf>
    <xf numFmtId="10" fontId="83" fillId="3" borderId="37" xfId="49" applyNumberFormat="1" applyFont="1" applyFill="1" applyBorder="1" applyAlignment="1" applyProtection="1">
      <alignment horizontal="center" wrapText="1"/>
    </xf>
    <xf numFmtId="10" fontId="83" fillId="3" borderId="42" xfId="49" applyNumberFormat="1" applyFont="1" applyFill="1" applyBorder="1" applyAlignment="1" applyProtection="1">
      <alignment horizontal="center" wrapText="1"/>
    </xf>
    <xf numFmtId="3" fontId="82" fillId="0" borderId="34" xfId="0" applyNumberFormat="1" applyFont="1" applyBorder="1" applyAlignment="1">
      <alignment horizontal="right"/>
    </xf>
    <xf numFmtId="10" fontId="76" fillId="0" borderId="133" xfId="0" applyNumberFormat="1" applyFont="1" applyBorder="1"/>
    <xf numFmtId="4" fontId="0" fillId="2" borderId="12" xfId="0" applyNumberFormat="1" applyFill="1" applyBorder="1"/>
    <xf numFmtId="169" fontId="112" fillId="0" borderId="133" xfId="61" applyNumberFormat="1" applyFont="1" applyBorder="1" applyAlignment="1">
      <alignment horizontal="left"/>
    </xf>
    <xf numFmtId="188" fontId="111" fillId="0" borderId="74" xfId="42" applyNumberFormat="1" applyFont="1" applyBorder="1" applyAlignment="1">
      <alignment horizontal="center"/>
    </xf>
    <xf numFmtId="188" fontId="111" fillId="0" borderId="133" xfId="42" applyNumberFormat="1" applyFont="1" applyBorder="1" applyAlignment="1">
      <alignment horizontal="center"/>
    </xf>
    <xf numFmtId="188" fontId="111" fillId="0" borderId="11" xfId="42" applyNumberFormat="1" applyFont="1" applyBorder="1" applyAlignment="1">
      <alignment horizontal="center"/>
    </xf>
    <xf numFmtId="188" fontId="111" fillId="0" borderId="12" xfId="42" applyNumberFormat="1" applyFont="1" applyBorder="1" applyAlignment="1">
      <alignment horizontal="center"/>
    </xf>
    <xf numFmtId="10" fontId="83" fillId="3" borderId="35" xfId="49" applyNumberFormat="1" applyFont="1" applyFill="1" applyBorder="1" applyAlignment="1" applyProtection="1">
      <alignment horizontal="right" wrapText="1"/>
    </xf>
    <xf numFmtId="10" fontId="83" fillId="3" borderId="41" xfId="49" applyNumberFormat="1" applyFont="1" applyFill="1" applyBorder="1" applyAlignment="1" applyProtection="1">
      <alignment horizontal="right" wrapText="1"/>
    </xf>
    <xf numFmtId="10" fontId="83" fillId="3" borderId="31" xfId="49" applyNumberFormat="1" applyFont="1" applyFill="1" applyBorder="1" applyAlignment="1" applyProtection="1">
      <alignment horizontal="right" wrapText="1"/>
    </xf>
    <xf numFmtId="10" fontId="83" fillId="3" borderId="36" xfId="49" applyNumberFormat="1" applyFont="1" applyFill="1" applyBorder="1" applyAlignment="1" applyProtection="1">
      <alignment horizontal="right" wrapText="1"/>
    </xf>
    <xf numFmtId="3" fontId="110" fillId="38" borderId="74" xfId="56" applyNumberFormat="1" applyFont="1" applyFill="1" applyBorder="1" applyAlignment="1">
      <alignment horizontal="center" vertical="center"/>
    </xf>
    <xf numFmtId="169" fontId="111" fillId="0" borderId="74" xfId="42" applyNumberFormat="1" applyFont="1" applyBorder="1" applyAlignment="1">
      <alignment horizontal="center"/>
    </xf>
    <xf numFmtId="3" fontId="109" fillId="28" borderId="74" xfId="56" applyNumberFormat="1" applyFont="1" applyFill="1" applyBorder="1"/>
    <xf numFmtId="169" fontId="44" fillId="3" borderId="46" xfId="42" applyNumberFormat="1" applyFont="1" applyFill="1" applyBorder="1" applyAlignment="1" applyProtection="1">
      <alignment horizontal="right" wrapText="1"/>
    </xf>
    <xf numFmtId="10" fontId="44" fillId="3" borderId="96" xfId="49" applyNumberFormat="1" applyFont="1" applyFill="1" applyBorder="1" applyAlignment="1" applyProtection="1">
      <alignment horizontal="right" wrapText="1"/>
    </xf>
    <xf numFmtId="3" fontId="16" fillId="2" borderId="0" xfId="51" applyNumberFormat="1" applyFill="1"/>
    <xf numFmtId="0" fontId="79" fillId="36" borderId="0" xfId="0" applyFont="1" applyFill="1" applyAlignment="1">
      <alignment horizontal="left" wrapText="1"/>
    </xf>
    <xf numFmtId="169" fontId="140" fillId="45" borderId="0" xfId="42" applyNumberFormat="1" applyFont="1" applyFill="1" applyBorder="1" applyAlignment="1" applyProtection="1">
      <alignment horizontal="left" wrapText="1"/>
    </xf>
    <xf numFmtId="3" fontId="140" fillId="45" borderId="0" xfId="0" applyNumberFormat="1" applyFont="1" applyFill="1" applyAlignment="1">
      <alignment horizontal="right"/>
    </xf>
    <xf numFmtId="9" fontId="140" fillId="45" borderId="0" xfId="49" applyFont="1" applyFill="1" applyBorder="1"/>
    <xf numFmtId="169" fontId="79" fillId="36" borderId="7" xfId="42" applyNumberFormat="1" applyFont="1" applyFill="1" applyBorder="1" applyAlignment="1" applyProtection="1">
      <alignment horizontal="left" wrapText="1"/>
    </xf>
    <xf numFmtId="169" fontId="140" fillId="45" borderId="19" xfId="42" applyNumberFormat="1" applyFont="1" applyFill="1" applyBorder="1" applyAlignment="1" applyProtection="1">
      <alignment horizontal="left" wrapText="1"/>
    </xf>
    <xf numFmtId="3" fontId="79" fillId="36" borderId="67" xfId="0" applyNumberFormat="1" applyFont="1" applyFill="1" applyBorder="1" applyAlignment="1">
      <alignment horizontal="right" wrapText="1"/>
    </xf>
    <xf numFmtId="3" fontId="79" fillId="36" borderId="59" xfId="0" applyNumberFormat="1" applyFont="1" applyFill="1" applyBorder="1" applyAlignment="1">
      <alignment horizontal="right" wrapText="1"/>
    </xf>
    <xf numFmtId="3" fontId="79" fillId="36" borderId="60" xfId="0" applyNumberFormat="1" applyFont="1" applyFill="1" applyBorder="1" applyAlignment="1">
      <alignment horizontal="right" wrapText="1"/>
    </xf>
    <xf numFmtId="3" fontId="79" fillId="36" borderId="7" xfId="0" applyNumberFormat="1" applyFont="1" applyFill="1" applyBorder="1" applyAlignment="1">
      <alignment horizontal="right"/>
    </xf>
    <xf numFmtId="9" fontId="79" fillId="36" borderId="7" xfId="49" applyFont="1" applyFill="1" applyBorder="1"/>
    <xf numFmtId="169" fontId="107" fillId="37" borderId="9" xfId="42" applyNumberFormat="1" applyFont="1" applyFill="1" applyBorder="1" applyAlignment="1">
      <alignment horizontal="right"/>
    </xf>
    <xf numFmtId="168" fontId="77" fillId="37" borderId="78" xfId="49" applyNumberFormat="1" applyFont="1" applyFill="1" applyBorder="1" applyAlignment="1" applyProtection="1">
      <alignment horizontal="right" wrapText="1"/>
    </xf>
    <xf numFmtId="168" fontId="77" fillId="37" borderId="52" xfId="49" applyNumberFormat="1" applyFont="1" applyFill="1" applyBorder="1" applyAlignment="1" applyProtection="1">
      <alignment horizontal="right" wrapText="1"/>
    </xf>
    <xf numFmtId="168" fontId="77" fillId="37" borderId="54" xfId="49" applyNumberFormat="1" applyFont="1" applyFill="1" applyBorder="1" applyAlignment="1" applyProtection="1">
      <alignment horizontal="right" wrapText="1"/>
    </xf>
    <xf numFmtId="3" fontId="44" fillId="5" borderId="93" xfId="0" applyNumberFormat="1" applyFont="1" applyFill="1" applyBorder="1" applyAlignment="1">
      <alignment horizontal="right"/>
    </xf>
    <xf numFmtId="0" fontId="134" fillId="0" borderId="98" xfId="0" applyFont="1" applyBorder="1" applyAlignment="1">
      <alignment horizontal="left"/>
    </xf>
    <xf numFmtId="0" fontId="109" fillId="0" borderId="98" xfId="60" applyFont="1" applyBorder="1" applyAlignment="1">
      <alignment horizontal="left"/>
    </xf>
    <xf numFmtId="0" fontId="134" fillId="0" borderId="99" xfId="0" applyFont="1" applyBorder="1" applyAlignment="1">
      <alignment horizontal="left"/>
    </xf>
    <xf numFmtId="188" fontId="112" fillId="0" borderId="102" xfId="61" applyNumberFormat="1" applyFont="1" applyBorder="1" applyAlignment="1">
      <alignment horizontal="center"/>
    </xf>
    <xf numFmtId="188" fontId="112" fillId="0" borderId="74" xfId="61" applyNumberFormat="1" applyFont="1" applyBorder="1" applyAlignment="1">
      <alignment horizontal="center"/>
    </xf>
    <xf numFmtId="188" fontId="112" fillId="0" borderId="11" xfId="61" applyNumberFormat="1" applyFont="1" applyBorder="1" applyAlignment="1">
      <alignment horizontal="center"/>
    </xf>
    <xf numFmtId="188" fontId="112" fillId="0" borderId="133" xfId="61" applyNumberFormat="1" applyFont="1" applyBorder="1" applyAlignment="1">
      <alignment horizontal="center"/>
    </xf>
    <xf numFmtId="188" fontId="112" fillId="0" borderId="12" xfId="61" applyNumberFormat="1" applyFont="1" applyBorder="1" applyAlignment="1">
      <alignment horizontal="center"/>
    </xf>
    <xf numFmtId="169" fontId="112" fillId="0" borderId="94" xfId="61" applyNumberFormat="1" applyFont="1" applyBorder="1" applyAlignment="1">
      <alignment horizontal="center" wrapText="1"/>
    </xf>
    <xf numFmtId="188" fontId="112" fillId="0" borderId="98" xfId="61" applyNumberFormat="1" applyFont="1" applyBorder="1" applyAlignment="1">
      <alignment horizontal="center"/>
    </xf>
    <xf numFmtId="188" fontId="112" fillId="0" borderId="105" xfId="61" applyNumberFormat="1" applyFont="1" applyBorder="1" applyAlignment="1">
      <alignment horizontal="center"/>
    </xf>
    <xf numFmtId="188" fontId="112" fillId="0" borderId="106" xfId="61" applyNumberFormat="1" applyFont="1" applyBorder="1" applyAlignment="1">
      <alignment horizontal="center"/>
    </xf>
    <xf numFmtId="188" fontId="112" fillId="0" borderId="130" xfId="61" applyNumberFormat="1" applyFont="1" applyBorder="1" applyAlignment="1">
      <alignment horizontal="center"/>
    </xf>
    <xf numFmtId="188" fontId="112" fillId="0" borderId="75" xfId="61" applyNumberFormat="1" applyFont="1" applyBorder="1" applyAlignment="1">
      <alignment horizontal="center"/>
    </xf>
    <xf numFmtId="188" fontId="112" fillId="0" borderId="99" xfId="61" applyNumberFormat="1" applyFont="1" applyBorder="1" applyAlignment="1">
      <alignment horizontal="center"/>
    </xf>
    <xf numFmtId="188" fontId="112" fillId="0" borderId="103" xfId="61" applyNumberFormat="1" applyFont="1" applyBorder="1" applyAlignment="1">
      <alignment horizontal="center"/>
    </xf>
    <xf numFmtId="169" fontId="112" fillId="0" borderId="2" xfId="61" applyNumberFormat="1" applyFont="1" applyBorder="1" applyAlignment="1">
      <alignment horizontal="center"/>
    </xf>
    <xf numFmtId="169" fontId="112" fillId="0" borderId="7" xfId="61" applyNumberFormat="1" applyFont="1" applyBorder="1"/>
    <xf numFmtId="169" fontId="132" fillId="0" borderId="81" xfId="61" applyNumberFormat="1" applyFont="1" applyBorder="1" applyAlignment="1">
      <alignment horizontal="center" vertical="center"/>
    </xf>
    <xf numFmtId="3" fontId="0" fillId="0" borderId="131" xfId="0" applyNumberFormat="1" applyBorder="1" applyAlignment="1">
      <alignment horizontal="right"/>
    </xf>
    <xf numFmtId="3" fontId="0" fillId="0" borderId="128" xfId="0" applyNumberFormat="1" applyBorder="1" applyAlignment="1">
      <alignment horizontal="right"/>
    </xf>
    <xf numFmtId="3" fontId="0" fillId="0" borderId="129" xfId="0" applyNumberFormat="1" applyBorder="1" applyAlignment="1">
      <alignment horizontal="right"/>
    </xf>
    <xf numFmtId="3" fontId="23" fillId="28" borderId="143" xfId="0" applyNumberFormat="1" applyFont="1" applyFill="1" applyBorder="1" applyAlignment="1">
      <alignment horizontal="right"/>
    </xf>
    <xf numFmtId="3" fontId="0" fillId="0" borderId="134" xfId="0" applyNumberFormat="1" applyBorder="1" applyAlignment="1">
      <alignment horizontal="left"/>
    </xf>
    <xf numFmtId="0" fontId="43" fillId="3" borderId="7" xfId="0" applyFont="1" applyFill="1" applyBorder="1"/>
    <xf numFmtId="0" fontId="44" fillId="3" borderId="13" xfId="0" applyFont="1" applyFill="1" applyBorder="1"/>
    <xf numFmtId="3" fontId="99" fillId="2" borderId="0" xfId="0" applyNumberFormat="1" applyFont="1" applyFill="1"/>
    <xf numFmtId="188" fontId="111" fillId="0" borderId="149" xfId="42" applyNumberFormat="1" applyFont="1" applyBorder="1" applyAlignment="1">
      <alignment horizontal="center"/>
    </xf>
    <xf numFmtId="188" fontId="111" fillId="0" borderId="151" xfId="42" applyNumberFormat="1" applyFont="1" applyBorder="1" applyAlignment="1">
      <alignment horizontal="center"/>
    </xf>
    <xf numFmtId="0" fontId="109" fillId="0" borderId="135" xfId="60" applyFont="1" applyBorder="1" applyAlignment="1">
      <alignment horizontal="left"/>
    </xf>
    <xf numFmtId="169" fontId="132" fillId="0" borderId="102" xfId="42" applyNumberFormat="1" applyFont="1" applyBorder="1" applyAlignment="1">
      <alignment horizontal="center" vertical="center"/>
    </xf>
    <xf numFmtId="188" fontId="111" fillId="0" borderId="102" xfId="42" applyNumberFormat="1" applyFont="1" applyBorder="1" applyAlignment="1">
      <alignment horizontal="center"/>
    </xf>
    <xf numFmtId="188" fontId="111" fillId="0" borderId="10" xfId="42" applyNumberFormat="1" applyFont="1" applyBorder="1" applyAlignment="1">
      <alignment horizontal="center"/>
    </xf>
    <xf numFmtId="3" fontId="82" fillId="28" borderId="41" xfId="0" applyNumberFormat="1" applyFont="1" applyFill="1" applyBorder="1" applyAlignment="1">
      <alignment horizontal="right"/>
    </xf>
    <xf numFmtId="188" fontId="111" fillId="0" borderId="0" xfId="60" applyNumberFormat="1" applyFont="1" applyAlignment="1">
      <alignment horizontal="center"/>
    </xf>
    <xf numFmtId="169" fontId="111" fillId="0" borderId="0" xfId="60" applyNumberFormat="1" applyFont="1" applyAlignment="1">
      <alignment horizontal="center"/>
    </xf>
    <xf numFmtId="3" fontId="111" fillId="0" borderId="0" xfId="60" applyNumberFormat="1" applyFont="1"/>
    <xf numFmtId="0" fontId="43" fillId="3" borderId="47" xfId="0" applyFont="1" applyFill="1" applyBorder="1" applyAlignment="1">
      <alignment horizontal="left" wrapText="1"/>
    </xf>
    <xf numFmtId="189" fontId="111" fillId="0" borderId="0" xfId="60" applyNumberFormat="1" applyFont="1" applyAlignment="1">
      <alignment horizontal="center"/>
    </xf>
    <xf numFmtId="169" fontId="49" fillId="37" borderId="9" xfId="42" applyNumberFormat="1" applyFont="1" applyFill="1" applyBorder="1" applyAlignment="1" applyProtection="1">
      <alignment wrapText="1"/>
    </xf>
    <xf numFmtId="169" fontId="107" fillId="37" borderId="9" xfId="42" applyNumberFormat="1" applyFont="1" applyFill="1" applyBorder="1" applyAlignment="1"/>
    <xf numFmtId="169" fontId="112" fillId="0" borderId="74" xfId="67" applyNumberFormat="1" applyFont="1" applyFill="1" applyBorder="1"/>
    <xf numFmtId="169" fontId="111" fillId="0" borderId="74" xfId="67" applyNumberFormat="1" applyFont="1" applyFill="1" applyBorder="1"/>
    <xf numFmtId="3" fontId="0" fillId="0" borderId="0" xfId="0" applyNumberFormat="1"/>
    <xf numFmtId="178" fontId="98" fillId="0" borderId="74" xfId="42" applyNumberFormat="1" applyFont="1" applyFill="1" applyBorder="1" applyAlignment="1">
      <alignment horizontal="center"/>
    </xf>
    <xf numFmtId="0" fontId="98" fillId="41" borderId="74" xfId="57" applyFont="1" applyFill="1" applyBorder="1"/>
    <xf numFmtId="0" fontId="101" fillId="41" borderId="74" xfId="57" applyFont="1" applyFill="1" applyBorder="1"/>
    <xf numFmtId="3" fontId="82" fillId="43" borderId="35" xfId="0" applyNumberFormat="1" applyFont="1" applyFill="1" applyBorder="1" applyAlignment="1">
      <alignment horizontal="right"/>
    </xf>
    <xf numFmtId="3" fontId="83" fillId="43" borderId="56" xfId="0" applyNumberFormat="1" applyFont="1" applyFill="1" applyBorder="1" applyAlignment="1">
      <alignment horizontal="right"/>
    </xf>
    <xf numFmtId="0" fontId="83" fillId="0" borderId="55" xfId="0" applyFont="1" applyBorder="1"/>
    <xf numFmtId="0" fontId="83" fillId="0" borderId="47" xfId="0" applyFont="1" applyBorder="1"/>
    <xf numFmtId="169" fontId="101" fillId="0" borderId="74" xfId="58" applyNumberFormat="1" applyFont="1" applyFill="1" applyBorder="1" applyAlignment="1">
      <alignment horizontal="center"/>
    </xf>
    <xf numFmtId="169" fontId="132" fillId="0" borderId="107" xfId="61" applyNumberFormat="1" applyFont="1" applyBorder="1" applyAlignment="1">
      <alignment horizontal="center" vertical="center"/>
    </xf>
    <xf numFmtId="169" fontId="132" fillId="0" borderId="100" xfId="61" applyNumberFormat="1" applyFont="1" applyBorder="1" applyAlignment="1">
      <alignment horizontal="center" vertical="center"/>
    </xf>
    <xf numFmtId="169" fontId="132" fillId="0" borderId="108" xfId="61" applyNumberFormat="1" applyFont="1" applyBorder="1" applyAlignment="1">
      <alignment horizontal="center" vertical="center"/>
    </xf>
    <xf numFmtId="169" fontId="132" fillId="0" borderId="7" xfId="61" applyNumberFormat="1" applyFont="1" applyBorder="1" applyAlignment="1">
      <alignment horizontal="center" vertical="center"/>
    </xf>
    <xf numFmtId="188" fontId="112" fillId="28" borderId="77" xfId="61" applyNumberFormat="1" applyFont="1" applyFill="1" applyBorder="1" applyAlignment="1">
      <alignment horizontal="center"/>
    </xf>
    <xf numFmtId="188" fontId="112" fillId="28" borderId="74" xfId="61" applyNumberFormat="1" applyFont="1" applyFill="1" applyBorder="1" applyAlignment="1">
      <alignment horizontal="center"/>
    </xf>
    <xf numFmtId="188" fontId="112" fillId="0" borderId="97" xfId="61" applyNumberFormat="1" applyFont="1" applyBorder="1" applyAlignment="1">
      <alignment horizontal="center"/>
    </xf>
    <xf numFmtId="188" fontId="112" fillId="28" borderId="102" xfId="61" applyNumberFormat="1" applyFont="1" applyFill="1" applyBorder="1" applyAlignment="1">
      <alignment horizontal="center"/>
    </xf>
    <xf numFmtId="188" fontId="112" fillId="0" borderId="77" xfId="61" applyNumberFormat="1" applyFont="1" applyBorder="1" applyAlignment="1">
      <alignment horizontal="center"/>
    </xf>
    <xf numFmtId="188" fontId="112" fillId="28" borderId="125" xfId="61" applyNumberFormat="1" applyFont="1" applyFill="1" applyBorder="1" applyAlignment="1">
      <alignment horizontal="center"/>
    </xf>
    <xf numFmtId="188" fontId="112" fillId="28" borderId="18" xfId="61" applyNumberFormat="1" applyFont="1" applyFill="1" applyBorder="1" applyAlignment="1">
      <alignment horizontal="center"/>
    </xf>
    <xf numFmtId="188" fontId="112" fillId="0" borderId="145" xfId="61" applyNumberFormat="1" applyFont="1" applyBorder="1" applyAlignment="1">
      <alignment horizontal="center"/>
    </xf>
    <xf numFmtId="188" fontId="141" fillId="0" borderId="105" xfId="61" applyNumberFormat="1" applyFont="1" applyFill="1" applyBorder="1" applyAlignment="1">
      <alignment horizontal="center" vertical="center"/>
    </xf>
    <xf numFmtId="188" fontId="141" fillId="0" borderId="106" xfId="61" applyNumberFormat="1" applyFont="1" applyFill="1" applyBorder="1" applyAlignment="1">
      <alignment horizontal="center" vertical="center"/>
    </xf>
    <xf numFmtId="188" fontId="141" fillId="0" borderId="130" xfId="61" applyNumberFormat="1" applyFont="1" applyFill="1" applyBorder="1" applyAlignment="1">
      <alignment horizontal="center" vertical="center"/>
    </xf>
    <xf numFmtId="188" fontId="141" fillId="0" borderId="9" xfId="61" applyNumberFormat="1" applyFont="1" applyFill="1" applyBorder="1" applyAlignment="1">
      <alignment horizontal="center" vertical="center"/>
    </xf>
    <xf numFmtId="169" fontId="132" fillId="0" borderId="82" xfId="61" applyNumberFormat="1" applyFont="1" applyBorder="1" applyAlignment="1">
      <alignment horizontal="center" vertical="center"/>
    </xf>
    <xf numFmtId="188" fontId="141" fillId="0" borderId="122" xfId="61" applyNumberFormat="1" applyFont="1" applyFill="1" applyBorder="1" applyAlignment="1">
      <alignment horizontal="center" vertical="center"/>
    </xf>
    <xf numFmtId="169" fontId="132" fillId="0" borderId="77" xfId="61" applyNumberFormat="1" applyFont="1" applyBorder="1" applyAlignment="1">
      <alignment horizontal="center" vertical="center"/>
    </xf>
    <xf numFmtId="169" fontId="112" fillId="28" borderId="77" xfId="61" applyNumberFormat="1" applyFont="1" applyFill="1" applyBorder="1" applyAlignment="1">
      <alignment horizontal="left"/>
    </xf>
    <xf numFmtId="169" fontId="112" fillId="28" borderId="74" xfId="61" applyNumberFormat="1" applyFont="1" applyFill="1" applyBorder="1" applyAlignment="1">
      <alignment horizontal="left"/>
    </xf>
    <xf numFmtId="169" fontId="112" fillId="28" borderId="133" xfId="61" applyNumberFormat="1" applyFont="1" applyFill="1" applyBorder="1" applyAlignment="1">
      <alignment horizontal="left"/>
    </xf>
    <xf numFmtId="169" fontId="112" fillId="0" borderId="77" xfId="61" applyNumberFormat="1" applyFont="1" applyBorder="1" applyAlignment="1">
      <alignment horizontal="left"/>
    </xf>
    <xf numFmtId="169" fontId="112" fillId="28" borderId="77" xfId="61" applyNumberFormat="1" applyFont="1" applyFill="1" applyBorder="1" applyAlignment="1">
      <alignment horizontal="center"/>
    </xf>
    <xf numFmtId="169" fontId="112" fillId="28" borderId="74" xfId="61" applyNumberFormat="1" applyFont="1" applyFill="1" applyBorder="1" applyAlignment="1">
      <alignment horizontal="center"/>
    </xf>
    <xf numFmtId="169" fontId="112" fillId="28" borderId="133" xfId="61" applyNumberFormat="1" applyFont="1" applyFill="1" applyBorder="1" applyAlignment="1">
      <alignment horizontal="center"/>
    </xf>
    <xf numFmtId="169" fontId="112" fillId="28" borderId="125" xfId="61" applyNumberFormat="1" applyFont="1" applyFill="1" applyBorder="1" applyAlignment="1">
      <alignment horizontal="left"/>
    </xf>
    <xf numFmtId="169" fontId="112" fillId="28" borderId="18" xfId="61" applyNumberFormat="1" applyFont="1" applyFill="1" applyBorder="1" applyAlignment="1">
      <alignment horizontal="left"/>
    </xf>
    <xf numFmtId="169" fontId="112" fillId="28" borderId="21" xfId="61" applyNumberFormat="1" applyFont="1" applyFill="1" applyBorder="1" applyAlignment="1">
      <alignment horizontal="left"/>
    </xf>
    <xf numFmtId="169" fontId="112" fillId="0" borderId="122" xfId="61" applyNumberFormat="1" applyFont="1" applyBorder="1" applyAlignment="1">
      <alignment horizontal="center"/>
    </xf>
    <xf numFmtId="169" fontId="132" fillId="0" borderId="125" xfId="61" applyNumberFormat="1" applyFont="1" applyBorder="1" applyAlignment="1">
      <alignment horizontal="center" vertical="center"/>
    </xf>
    <xf numFmtId="169" fontId="132" fillId="0" borderId="18" xfId="61" applyNumberFormat="1" applyFont="1" applyBorder="1" applyAlignment="1">
      <alignment horizontal="center" vertical="center"/>
    </xf>
    <xf numFmtId="169" fontId="132" fillId="0" borderId="126" xfId="61" applyNumberFormat="1" applyFont="1" applyBorder="1" applyAlignment="1">
      <alignment horizontal="center" vertical="center"/>
    </xf>
    <xf numFmtId="188" fontId="112" fillId="28" borderId="75" xfId="61" applyNumberFormat="1" applyFont="1" applyFill="1" applyBorder="1" applyAlignment="1">
      <alignment horizontal="center"/>
    </xf>
    <xf numFmtId="188" fontId="112" fillId="0" borderId="83" xfId="61" applyNumberFormat="1" applyFont="1" applyBorder="1" applyAlignment="1">
      <alignment horizontal="center"/>
    </xf>
    <xf numFmtId="188" fontId="112" fillId="0" borderId="148" xfId="61" applyNumberFormat="1" applyFont="1" applyBorder="1" applyAlignment="1">
      <alignment horizontal="center"/>
    </xf>
    <xf numFmtId="188" fontId="112" fillId="0" borderId="149" xfId="61" applyNumberFormat="1" applyFont="1" applyBorder="1" applyAlignment="1">
      <alignment horizontal="center"/>
    </xf>
    <xf numFmtId="188" fontId="112" fillId="0" borderId="150" xfId="61" applyNumberFormat="1" applyFont="1" applyBorder="1" applyAlignment="1">
      <alignment horizontal="center"/>
    </xf>
    <xf numFmtId="188" fontId="112" fillId="0" borderId="13" xfId="61" applyNumberFormat="1" applyFont="1" applyBorder="1" applyAlignment="1">
      <alignment horizontal="center"/>
    </xf>
    <xf numFmtId="188" fontId="112" fillId="0" borderId="79" xfId="61" applyNumberFormat="1" applyFont="1" applyBorder="1" applyAlignment="1">
      <alignment horizontal="center"/>
    </xf>
    <xf numFmtId="188" fontId="112" fillId="0" borderId="80" xfId="61" applyNumberFormat="1" applyFont="1" applyBorder="1" applyAlignment="1">
      <alignment horizontal="center"/>
    </xf>
    <xf numFmtId="188" fontId="112" fillId="28" borderId="80" xfId="61" applyNumberFormat="1" applyFont="1" applyFill="1" applyBorder="1" applyAlignment="1">
      <alignment horizontal="center"/>
    </xf>
    <xf numFmtId="188" fontId="112" fillId="0" borderId="81" xfId="61" applyNumberFormat="1" applyFont="1" applyBorder="1" applyAlignment="1">
      <alignment horizontal="center"/>
    </xf>
    <xf numFmtId="188" fontId="112" fillId="28" borderId="133" xfId="61" applyNumberFormat="1" applyFont="1" applyFill="1" applyBorder="1" applyAlignment="1">
      <alignment horizontal="center"/>
    </xf>
    <xf numFmtId="0" fontId="134" fillId="0" borderId="145" xfId="0" applyFont="1" applyBorder="1" applyAlignment="1">
      <alignment horizontal="left"/>
    </xf>
    <xf numFmtId="188" fontId="112" fillId="28" borderId="10" xfId="61" applyNumberFormat="1" applyFont="1" applyFill="1" applyBorder="1" applyAlignment="1">
      <alignment horizontal="center"/>
    </xf>
    <xf numFmtId="188" fontId="112" fillId="28" borderId="11" xfId="61" applyNumberFormat="1" applyFont="1" applyFill="1" applyBorder="1" applyAlignment="1">
      <alignment horizontal="center"/>
    </xf>
    <xf numFmtId="188" fontId="112" fillId="28" borderId="12" xfId="61" applyNumberFormat="1" applyFont="1" applyFill="1" applyBorder="1" applyAlignment="1">
      <alignment horizontal="center"/>
    </xf>
    <xf numFmtId="188" fontId="112" fillId="0" borderId="122" xfId="61" applyNumberFormat="1" applyFont="1" applyBorder="1" applyAlignment="1">
      <alignment horizontal="center"/>
    </xf>
    <xf numFmtId="169" fontId="112" fillId="28" borderId="82" xfId="61" applyNumberFormat="1" applyFont="1" applyFill="1" applyBorder="1" applyAlignment="1">
      <alignment horizontal="left"/>
    </xf>
    <xf numFmtId="169" fontId="112" fillId="28" borderId="80" xfId="61" applyNumberFormat="1" applyFont="1" applyFill="1" applyBorder="1" applyAlignment="1">
      <alignment horizontal="left"/>
    </xf>
    <xf numFmtId="169" fontId="112" fillId="28" borderId="81" xfId="61" applyNumberFormat="1" applyFont="1" applyFill="1" applyBorder="1" applyAlignment="1">
      <alignment horizontal="left"/>
    </xf>
    <xf numFmtId="169" fontId="112" fillId="0" borderId="101" xfId="61" applyNumberFormat="1" applyFont="1" applyBorder="1" applyAlignment="1">
      <alignment horizontal="center"/>
    </xf>
    <xf numFmtId="169" fontId="112" fillId="28" borderId="102" xfId="61" applyNumberFormat="1" applyFont="1" applyFill="1" applyBorder="1" applyAlignment="1">
      <alignment horizontal="left"/>
    </xf>
    <xf numFmtId="169" fontId="112" fillId="28" borderId="83" xfId="61" applyNumberFormat="1" applyFont="1" applyFill="1" applyBorder="1" applyAlignment="1">
      <alignment horizontal="left"/>
    </xf>
    <xf numFmtId="169" fontId="112" fillId="28" borderId="11" xfId="61" applyNumberFormat="1" applyFont="1" applyFill="1" applyBorder="1" applyAlignment="1">
      <alignment horizontal="left"/>
    </xf>
    <xf numFmtId="169" fontId="112" fillId="28" borderId="12" xfId="61" applyNumberFormat="1" applyFont="1" applyFill="1" applyBorder="1" applyAlignment="1">
      <alignment horizontal="left"/>
    </xf>
    <xf numFmtId="169" fontId="112" fillId="0" borderId="124" xfId="61" applyNumberFormat="1" applyFont="1" applyBorder="1" applyAlignment="1">
      <alignment horizontal="center"/>
    </xf>
    <xf numFmtId="168" fontId="83" fillId="3" borderId="37" xfId="49" applyNumberFormat="1" applyFont="1" applyFill="1" applyBorder="1" applyAlignment="1" applyProtection="1">
      <alignment horizontal="right" wrapText="1"/>
    </xf>
    <xf numFmtId="10" fontId="83" fillId="3" borderId="37" xfId="49" applyNumberFormat="1" applyFont="1" applyFill="1" applyBorder="1" applyAlignment="1" applyProtection="1">
      <alignment horizontal="right" wrapText="1"/>
    </xf>
    <xf numFmtId="168" fontId="83" fillId="3" borderId="42" xfId="49" applyNumberFormat="1" applyFont="1" applyFill="1" applyBorder="1" applyAlignment="1" applyProtection="1">
      <alignment horizontal="right" wrapText="1"/>
    </xf>
    <xf numFmtId="168" fontId="83" fillId="3" borderId="41" xfId="49" applyNumberFormat="1" applyFont="1" applyFill="1" applyBorder="1" applyAlignment="1" applyProtection="1">
      <alignment horizontal="right" wrapText="1"/>
    </xf>
    <xf numFmtId="10" fontId="83" fillId="3" borderId="42" xfId="49" applyNumberFormat="1" applyFont="1" applyFill="1" applyBorder="1" applyAlignment="1" applyProtection="1">
      <alignment horizontal="right" wrapText="1"/>
    </xf>
    <xf numFmtId="10" fontId="83" fillId="3" borderId="38" xfId="49" applyNumberFormat="1" applyFont="1" applyFill="1" applyBorder="1" applyAlignment="1" applyProtection="1">
      <alignment horizontal="right" wrapText="1"/>
    </xf>
    <xf numFmtId="10" fontId="83" fillId="3" borderId="39" xfId="49" applyNumberFormat="1" applyFont="1" applyFill="1" applyBorder="1" applyAlignment="1" applyProtection="1">
      <alignment horizontal="right" wrapText="1"/>
    </xf>
    <xf numFmtId="168" fontId="83" fillId="3" borderId="38" xfId="49" applyNumberFormat="1" applyFont="1" applyFill="1" applyBorder="1" applyAlignment="1" applyProtection="1">
      <alignment horizontal="right" wrapText="1"/>
    </xf>
    <xf numFmtId="168" fontId="83" fillId="3" borderId="39" xfId="49" applyNumberFormat="1" applyFont="1" applyFill="1" applyBorder="1" applyAlignment="1" applyProtection="1">
      <alignment horizontal="right" wrapText="1"/>
    </xf>
    <xf numFmtId="3" fontId="82" fillId="43" borderId="49" xfId="0" applyNumberFormat="1" applyFont="1" applyFill="1" applyBorder="1" applyAlignment="1">
      <alignment horizontal="right"/>
    </xf>
    <xf numFmtId="3" fontId="82" fillId="43" borderId="32" xfId="0" applyNumberFormat="1" applyFont="1" applyFill="1" applyBorder="1" applyAlignment="1">
      <alignment horizontal="right"/>
    </xf>
    <xf numFmtId="3" fontId="78" fillId="43" borderId="35" xfId="0" applyNumberFormat="1" applyFont="1" applyFill="1" applyBorder="1" applyAlignment="1">
      <alignment horizontal="right"/>
    </xf>
    <xf numFmtId="0" fontId="69" fillId="3" borderId="152" xfId="0" applyFont="1" applyFill="1" applyBorder="1" applyAlignment="1">
      <alignment horizontal="right"/>
    </xf>
    <xf numFmtId="165" fontId="68" fillId="5" borderId="7" xfId="42" applyFont="1" applyFill="1" applyBorder="1" applyAlignment="1">
      <alignment horizontal="right"/>
    </xf>
    <xf numFmtId="165" fontId="70" fillId="3" borderId="46" xfId="42" applyFont="1" applyFill="1" applyBorder="1" applyAlignment="1" applyProtection="1">
      <alignment horizontal="right" wrapText="1"/>
    </xf>
    <xf numFmtId="165" fontId="70" fillId="28" borderId="47" xfId="42" applyFont="1" applyFill="1" applyBorder="1" applyAlignment="1" applyProtection="1">
      <alignment horizontal="right" wrapText="1"/>
    </xf>
    <xf numFmtId="165" fontId="70" fillId="3" borderId="47" xfId="42" applyFont="1" applyFill="1" applyBorder="1" applyAlignment="1" applyProtection="1">
      <alignment horizontal="right" wrapText="1"/>
    </xf>
    <xf numFmtId="165" fontId="70" fillId="3" borderId="96" xfId="42" applyFont="1" applyFill="1" applyBorder="1" applyAlignment="1" applyProtection="1">
      <alignment horizontal="right" wrapText="1"/>
    </xf>
    <xf numFmtId="0" fontId="142" fillId="2" borderId="0" xfId="68" applyFont="1" applyFill="1"/>
    <xf numFmtId="169" fontId="45" fillId="3" borderId="47" xfId="42" applyNumberFormat="1" applyFont="1" applyFill="1" applyBorder="1" applyAlignment="1">
      <alignment horizontal="left" vertical="top" wrapText="1"/>
    </xf>
    <xf numFmtId="3" fontId="71" fillId="3" borderId="141" xfId="0" applyNumberFormat="1" applyFont="1" applyFill="1" applyBorder="1" applyAlignment="1">
      <alignment horizontal="right" wrapText="1"/>
    </xf>
    <xf numFmtId="3" fontId="71" fillId="28" borderId="41" xfId="0" applyNumberFormat="1" applyFont="1" applyFill="1" applyBorder="1" applyAlignment="1">
      <alignment horizontal="right" wrapText="1"/>
    </xf>
    <xf numFmtId="3" fontId="71" fillId="3" borderId="153" xfId="0" applyNumberFormat="1" applyFont="1" applyFill="1" applyBorder="1" applyAlignment="1">
      <alignment horizontal="right" wrapText="1"/>
    </xf>
    <xf numFmtId="3" fontId="71" fillId="3" borderId="41" xfId="0" applyNumberFormat="1" applyFont="1" applyFill="1" applyBorder="1" applyAlignment="1">
      <alignment horizontal="right" wrapText="1"/>
    </xf>
    <xf numFmtId="3" fontId="71" fillId="3" borderId="46" xfId="0" applyNumberFormat="1" applyFont="1" applyFill="1" applyBorder="1" applyAlignment="1">
      <alignment horizontal="right" wrapText="1"/>
    </xf>
    <xf numFmtId="3" fontId="71" fillId="28" borderId="47" xfId="0" applyNumberFormat="1" applyFont="1" applyFill="1" applyBorder="1" applyAlignment="1">
      <alignment horizontal="right" wrapText="1"/>
    </xf>
    <xf numFmtId="3" fontId="71" fillId="3" borderId="47" xfId="0" applyNumberFormat="1" applyFont="1" applyFill="1" applyBorder="1" applyAlignment="1">
      <alignment horizontal="right" wrapText="1"/>
    </xf>
    <xf numFmtId="3" fontId="71" fillId="3" borderId="96" xfId="0" applyNumberFormat="1" applyFont="1" applyFill="1" applyBorder="1" applyAlignment="1">
      <alignment horizontal="right" wrapText="1"/>
    </xf>
    <xf numFmtId="169" fontId="112" fillId="0" borderId="74" xfId="42" applyNumberFormat="1" applyFont="1" applyBorder="1"/>
    <xf numFmtId="169" fontId="89" fillId="5" borderId="53" xfId="42" applyNumberFormat="1" applyFont="1" applyFill="1" applyBorder="1" applyAlignment="1">
      <alignment horizontal="right"/>
    </xf>
    <xf numFmtId="169" fontId="89" fillId="5" borderId="63" xfId="42" applyNumberFormat="1" applyFont="1" applyFill="1" applyBorder="1" applyAlignment="1">
      <alignment horizontal="right"/>
    </xf>
    <xf numFmtId="178" fontId="77" fillId="3" borderId="35" xfId="42" applyNumberFormat="1" applyFont="1" applyFill="1" applyBorder="1" applyAlignment="1">
      <alignment horizontal="right"/>
    </xf>
    <xf numFmtId="0" fontId="140" fillId="45" borderId="0" xfId="0" applyFont="1" applyFill="1" applyAlignment="1">
      <alignment horizontal="left" vertical="top" wrapText="1"/>
    </xf>
    <xf numFmtId="169" fontId="97" fillId="0" borderId="0" xfId="56" applyNumberFormat="1" applyFont="1"/>
    <xf numFmtId="3" fontId="82" fillId="0" borderId="87" xfId="0" applyNumberFormat="1" applyFont="1" applyBorder="1"/>
    <xf numFmtId="3" fontId="82" fillId="0" borderId="84" xfId="0" applyNumberFormat="1" applyFont="1" applyBorder="1" applyAlignment="1">
      <alignment horizontal="right"/>
    </xf>
    <xf numFmtId="3" fontId="82" fillId="0" borderId="4" xfId="0" applyNumberFormat="1" applyFont="1" applyBorder="1"/>
    <xf numFmtId="0" fontId="74" fillId="0" borderId="2" xfId="0" applyFont="1" applyBorder="1" applyAlignment="1">
      <alignment horizontal="center"/>
    </xf>
    <xf numFmtId="0" fontId="74" fillId="0" borderId="78" xfId="0" applyFont="1" applyBorder="1" applyAlignment="1">
      <alignment horizontal="center"/>
    </xf>
    <xf numFmtId="0" fontId="74" fillId="0" borderId="3" xfId="0" applyFont="1" applyBorder="1" applyAlignment="1">
      <alignment horizontal="center"/>
    </xf>
    <xf numFmtId="0" fontId="73" fillId="2" borderId="109" xfId="0" applyFont="1" applyFill="1" applyBorder="1" applyAlignment="1">
      <alignment horizontal="center"/>
    </xf>
    <xf numFmtId="0" fontId="73" fillId="2" borderId="110" xfId="0" applyFont="1" applyFill="1" applyBorder="1" applyAlignment="1">
      <alignment horizontal="center"/>
    </xf>
    <xf numFmtId="0" fontId="73" fillId="2" borderId="111" xfId="0" applyFont="1" applyFill="1" applyBorder="1" applyAlignment="1">
      <alignment horizontal="center"/>
    </xf>
    <xf numFmtId="0" fontId="73" fillId="2" borderId="112" xfId="0" applyFont="1" applyFill="1" applyBorder="1" applyAlignment="1">
      <alignment horizontal="center"/>
    </xf>
    <xf numFmtId="0" fontId="73" fillId="2" borderId="0" xfId="0" applyFont="1" applyFill="1" applyAlignment="1">
      <alignment horizontal="center"/>
    </xf>
    <xf numFmtId="0" fontId="73" fillId="2" borderId="113" xfId="0" applyFont="1" applyFill="1" applyBorder="1" applyAlignment="1">
      <alignment horizontal="center"/>
    </xf>
    <xf numFmtId="14" fontId="74" fillId="2" borderId="117" xfId="0" applyNumberFormat="1" applyFont="1" applyFill="1" applyBorder="1" applyAlignment="1">
      <alignment horizontal="center"/>
    </xf>
    <xf numFmtId="0" fontId="74" fillId="2" borderId="118" xfId="0" applyFont="1" applyFill="1" applyBorder="1" applyAlignment="1">
      <alignment horizontal="center"/>
    </xf>
    <xf numFmtId="0" fontId="74" fillId="2" borderId="119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20" fillId="2" borderId="74" xfId="0" applyFont="1" applyFill="1" applyBorder="1" applyAlignment="1">
      <alignment horizontal="center"/>
    </xf>
    <xf numFmtId="0" fontId="47" fillId="5" borderId="4" xfId="51" applyFont="1" applyFill="1" applyBorder="1" applyAlignment="1">
      <alignment horizontal="center"/>
    </xf>
    <xf numFmtId="0" fontId="47" fillId="5" borderId="5" xfId="51" applyFont="1" applyFill="1" applyBorder="1" applyAlignment="1">
      <alignment horizontal="center"/>
    </xf>
    <xf numFmtId="0" fontId="47" fillId="5" borderId="6" xfId="51" applyFont="1" applyFill="1" applyBorder="1" applyAlignment="1">
      <alignment horizontal="center"/>
    </xf>
    <xf numFmtId="0" fontId="47" fillId="5" borderId="5" xfId="68" applyFont="1" applyFill="1" applyBorder="1" applyAlignment="1">
      <alignment horizontal="center"/>
    </xf>
    <xf numFmtId="0" fontId="47" fillId="5" borderId="6" xfId="68" applyFont="1" applyFill="1" applyBorder="1" applyAlignment="1">
      <alignment horizontal="center"/>
    </xf>
    <xf numFmtId="0" fontId="47" fillId="5" borderId="4" xfId="68" applyFont="1" applyFill="1" applyBorder="1" applyAlignment="1">
      <alignment horizontal="center"/>
    </xf>
    <xf numFmtId="0" fontId="81" fillId="5" borderId="4" xfId="53" applyFont="1" applyFill="1" applyBorder="1" applyAlignment="1">
      <alignment horizontal="center"/>
    </xf>
    <xf numFmtId="0" fontId="81" fillId="5" borderId="5" xfId="53" applyFont="1" applyFill="1" applyBorder="1" applyAlignment="1">
      <alignment horizontal="center"/>
    </xf>
    <xf numFmtId="0" fontId="81" fillId="5" borderId="94" xfId="53" applyFont="1" applyFill="1" applyBorder="1" applyAlignment="1">
      <alignment horizontal="center"/>
    </xf>
    <xf numFmtId="0" fontId="15" fillId="2" borderId="1" xfId="53" applyFill="1" applyBorder="1" applyAlignment="1">
      <alignment horizontal="left" vertical="top"/>
    </xf>
    <xf numFmtId="0" fontId="15" fillId="2" borderId="93" xfId="53" applyFill="1" applyBorder="1" applyAlignment="1">
      <alignment horizontal="left" vertical="top"/>
    </xf>
    <xf numFmtId="0" fontId="15" fillId="2" borderId="94" xfId="53" applyFill="1" applyBorder="1" applyAlignment="1">
      <alignment horizontal="left" vertical="top"/>
    </xf>
    <xf numFmtId="0" fontId="15" fillId="2" borderId="14" xfId="53" applyFill="1" applyBorder="1" applyAlignment="1">
      <alignment horizontal="left" vertical="top"/>
    </xf>
    <xf numFmtId="0" fontId="15" fillId="2" borderId="0" xfId="53" applyFill="1" applyAlignment="1">
      <alignment horizontal="left" vertical="top"/>
    </xf>
    <xf numFmtId="0" fontId="15" fillId="2" borderId="91" xfId="53" applyFill="1" applyBorder="1" applyAlignment="1">
      <alignment horizontal="left" vertical="top"/>
    </xf>
    <xf numFmtId="0" fontId="15" fillId="2" borderId="8" xfId="53" applyFill="1" applyBorder="1" applyAlignment="1">
      <alignment horizontal="left" vertical="top"/>
    </xf>
    <xf numFmtId="0" fontId="15" fillId="2" borderId="95" xfId="53" applyFill="1" applyBorder="1" applyAlignment="1">
      <alignment horizontal="left" vertical="top"/>
    </xf>
    <xf numFmtId="0" fontId="15" fillId="2" borderId="85" xfId="53" applyFill="1" applyBorder="1" applyAlignment="1">
      <alignment horizontal="left" vertical="top"/>
    </xf>
    <xf numFmtId="0" fontId="81" fillId="5" borderId="4" xfId="0" applyFont="1" applyFill="1" applyBorder="1" applyAlignment="1">
      <alignment horizontal="center"/>
    </xf>
    <xf numFmtId="0" fontId="81" fillId="5" borderId="5" xfId="0" applyFont="1" applyFill="1" applyBorder="1" applyAlignment="1">
      <alignment horizontal="center"/>
    </xf>
    <xf numFmtId="0" fontId="81" fillId="5" borderId="94" xfId="0" applyFont="1" applyFill="1" applyBorder="1" applyAlignment="1">
      <alignment horizontal="center"/>
    </xf>
    <xf numFmtId="0" fontId="47" fillId="5" borderId="4" xfId="0" applyFont="1" applyFill="1" applyBorder="1" applyAlignment="1">
      <alignment horizontal="center"/>
    </xf>
    <xf numFmtId="0" fontId="47" fillId="5" borderId="5" xfId="0" applyFont="1" applyFill="1" applyBorder="1" applyAlignment="1">
      <alignment horizontal="center"/>
    </xf>
    <xf numFmtId="0" fontId="47" fillId="5" borderId="6" xfId="0" applyFont="1" applyFill="1" applyBorder="1" applyAlignment="1">
      <alignment horizontal="center"/>
    </xf>
    <xf numFmtId="0" fontId="111" fillId="0" borderId="97" xfId="60" applyFont="1" applyBorder="1" applyAlignment="1">
      <alignment horizontal="center" vertical="center"/>
    </xf>
    <xf numFmtId="0" fontId="111" fillId="0" borderId="98" xfId="60" applyFont="1" applyBorder="1" applyAlignment="1">
      <alignment horizontal="center" vertical="center"/>
    </xf>
    <xf numFmtId="169" fontId="132" fillId="35" borderId="78" xfId="61" applyNumberFormat="1" applyFont="1" applyFill="1" applyBorder="1" applyAlignment="1">
      <alignment horizontal="center" vertical="center"/>
    </xf>
    <xf numFmtId="169" fontId="132" fillId="35" borderId="3" xfId="61" applyNumberFormat="1" applyFont="1" applyFill="1" applyBorder="1" applyAlignment="1">
      <alignment horizontal="center" vertical="center"/>
    </xf>
    <xf numFmtId="169" fontId="132" fillId="35" borderId="137" xfId="61" applyNumberFormat="1" applyFont="1" applyFill="1" applyBorder="1" applyAlignment="1">
      <alignment horizontal="center" vertical="center"/>
    </xf>
    <xf numFmtId="169" fontId="132" fillId="35" borderId="93" xfId="61" applyNumberFormat="1" applyFont="1" applyFill="1" applyBorder="1" applyAlignment="1">
      <alignment horizontal="center" vertical="center"/>
    </xf>
    <xf numFmtId="169" fontId="132" fillId="35" borderId="5" xfId="61" applyNumberFormat="1" applyFont="1" applyFill="1" applyBorder="1" applyAlignment="1">
      <alignment horizontal="center" vertical="center"/>
    </xf>
    <xf numFmtId="0" fontId="111" fillId="0" borderId="7" xfId="60" applyFont="1" applyBorder="1" applyAlignment="1">
      <alignment horizontal="center" vertical="center"/>
    </xf>
    <xf numFmtId="0" fontId="111" fillId="0" borderId="143" xfId="60" applyFont="1" applyBorder="1" applyAlignment="1">
      <alignment horizontal="center" vertical="center"/>
    </xf>
    <xf numFmtId="0" fontId="111" fillId="0" borderId="1" xfId="60" applyFont="1" applyBorder="1" applyAlignment="1">
      <alignment horizontal="center" vertical="center"/>
    </xf>
    <xf numFmtId="0" fontId="111" fillId="0" borderId="15" xfId="60" applyFont="1" applyBorder="1" applyAlignment="1">
      <alignment horizontal="center" vertical="center"/>
    </xf>
    <xf numFmtId="169" fontId="132" fillId="35" borderId="4" xfId="42" applyNumberFormat="1" applyFont="1" applyFill="1" applyBorder="1" applyAlignment="1">
      <alignment horizontal="center" vertical="center"/>
    </xf>
    <xf numFmtId="169" fontId="132" fillId="35" borderId="5" xfId="42" applyNumberFormat="1" applyFont="1" applyFill="1" applyBorder="1" applyAlignment="1">
      <alignment horizontal="center" vertical="center"/>
    </xf>
    <xf numFmtId="169" fontId="132" fillId="35" borderId="94" xfId="42" applyNumberFormat="1" applyFont="1" applyFill="1" applyBorder="1" applyAlignment="1">
      <alignment horizontal="center" vertical="center"/>
    </xf>
    <xf numFmtId="0" fontId="133" fillId="5" borderId="1" xfId="0" applyFont="1" applyFill="1" applyBorder="1" applyAlignment="1">
      <alignment horizontal="center"/>
    </xf>
    <xf numFmtId="0" fontId="133" fillId="5" borderId="93" xfId="0" applyFont="1" applyFill="1" applyBorder="1" applyAlignment="1">
      <alignment horizontal="center"/>
    </xf>
    <xf numFmtId="0" fontId="133" fillId="5" borderId="94" xfId="0" applyFont="1" applyFill="1" applyBorder="1" applyAlignment="1">
      <alignment horizontal="center"/>
    </xf>
    <xf numFmtId="169" fontId="132" fillId="35" borderId="2" xfId="61" applyNumberFormat="1" applyFont="1" applyFill="1" applyBorder="1" applyAlignment="1">
      <alignment horizontal="center" vertical="center"/>
    </xf>
    <xf numFmtId="0" fontId="84" fillId="0" borderId="7" xfId="0" applyFont="1" applyBorder="1" applyAlignment="1">
      <alignment horizontal="center" vertical="center"/>
    </xf>
    <xf numFmtId="0" fontId="84" fillId="0" borderId="13" xfId="0" applyFont="1" applyBorder="1" applyAlignment="1">
      <alignment horizontal="center" vertical="center"/>
    </xf>
    <xf numFmtId="169" fontId="106" fillId="3" borderId="2" xfId="42" applyNumberFormat="1" applyFont="1" applyFill="1" applyBorder="1" applyAlignment="1">
      <alignment horizontal="center" vertical="center"/>
    </xf>
    <xf numFmtId="169" fontId="106" fillId="3" borderId="78" xfId="42" applyNumberFormat="1" applyFont="1" applyFill="1" applyBorder="1" applyAlignment="1">
      <alignment horizontal="center" vertical="center"/>
    </xf>
    <xf numFmtId="169" fontId="106" fillId="3" borderId="3" xfId="42" applyNumberFormat="1" applyFont="1" applyFill="1" applyBorder="1" applyAlignment="1">
      <alignment horizontal="center" vertical="center"/>
    </xf>
    <xf numFmtId="0" fontId="84" fillId="0" borderId="7" xfId="0" applyFont="1" applyBorder="1" applyAlignment="1">
      <alignment horizontal="center"/>
    </xf>
    <xf numFmtId="0" fontId="84" fillId="0" borderId="13" xfId="0" applyFont="1" applyBorder="1" applyAlignment="1">
      <alignment horizontal="center"/>
    </xf>
    <xf numFmtId="0" fontId="46" fillId="4" borderId="7" xfId="0" applyFont="1" applyFill="1" applyBorder="1" applyAlignment="1">
      <alignment horizontal="center" vertical="center" wrapText="1"/>
    </xf>
    <xf numFmtId="0" fontId="46" fillId="4" borderId="13" xfId="0" applyFont="1" applyFill="1" applyBorder="1" applyAlignment="1">
      <alignment horizontal="center" vertical="center" wrapText="1"/>
    </xf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46" fillId="4" borderId="2" xfId="0" applyFont="1" applyFill="1" applyBorder="1" applyAlignment="1">
      <alignment horizontal="center"/>
    </xf>
    <xf numFmtId="0" fontId="46" fillId="4" borderId="3" xfId="0" applyFont="1" applyFill="1" applyBorder="1" applyAlignment="1">
      <alignment horizontal="center"/>
    </xf>
    <xf numFmtId="0" fontId="94" fillId="5" borderId="4" xfId="0" applyFont="1" applyFill="1" applyBorder="1" applyAlignment="1">
      <alignment horizontal="center"/>
    </xf>
    <xf numFmtId="0" fontId="94" fillId="5" borderId="5" xfId="0" applyFont="1" applyFill="1" applyBorder="1" applyAlignment="1">
      <alignment horizontal="center"/>
    </xf>
    <xf numFmtId="0" fontId="94" fillId="5" borderId="94" xfId="0" applyFont="1" applyFill="1" applyBorder="1" applyAlignment="1">
      <alignment horizontal="center"/>
    </xf>
    <xf numFmtId="0" fontId="94" fillId="5" borderId="1" xfId="0" applyFont="1" applyFill="1" applyBorder="1" applyAlignment="1">
      <alignment horizontal="center"/>
    </xf>
    <xf numFmtId="0" fontId="94" fillId="5" borderId="93" xfId="0" applyFont="1" applyFill="1" applyBorder="1" applyAlignment="1">
      <alignment horizontal="center"/>
    </xf>
    <xf numFmtId="0" fontId="93" fillId="5" borderId="2" xfId="0" applyFont="1" applyFill="1" applyBorder="1" applyAlignment="1">
      <alignment horizontal="center"/>
    </xf>
    <xf numFmtId="0" fontId="93" fillId="5" borderId="78" xfId="0" applyFont="1" applyFill="1" applyBorder="1" applyAlignment="1">
      <alignment horizontal="center"/>
    </xf>
    <xf numFmtId="0" fontId="93" fillId="5" borderId="3" xfId="0" applyFont="1" applyFill="1" applyBorder="1" applyAlignment="1">
      <alignment horizontal="center"/>
    </xf>
    <xf numFmtId="0" fontId="78" fillId="3" borderId="94" xfId="0" applyFont="1" applyFill="1" applyBorder="1" applyAlignment="1">
      <alignment horizontal="center" wrapText="1"/>
    </xf>
    <xf numFmtId="0" fontId="78" fillId="3" borderId="85" xfId="0" applyFont="1" applyFill="1" applyBorder="1" applyAlignment="1">
      <alignment horizontal="center" wrapText="1"/>
    </xf>
    <xf numFmtId="0" fontId="78" fillId="3" borderId="7" xfId="0" applyFont="1" applyFill="1" applyBorder="1" applyAlignment="1">
      <alignment horizontal="center" wrapText="1"/>
    </xf>
    <xf numFmtId="0" fontId="78" fillId="3" borderId="13" xfId="0" applyFont="1" applyFill="1" applyBorder="1" applyAlignment="1">
      <alignment horizontal="center" wrapText="1"/>
    </xf>
    <xf numFmtId="0" fontId="102" fillId="5" borderId="4" xfId="0" applyFont="1" applyFill="1" applyBorder="1" applyAlignment="1">
      <alignment horizontal="center"/>
    </xf>
    <xf numFmtId="0" fontId="102" fillId="5" borderId="5" xfId="0" applyFont="1" applyFill="1" applyBorder="1" applyAlignment="1">
      <alignment horizontal="center"/>
    </xf>
    <xf numFmtId="0" fontId="102" fillId="5" borderId="6" xfId="0" applyFont="1" applyFill="1" applyBorder="1" applyAlignment="1">
      <alignment horizontal="center"/>
    </xf>
    <xf numFmtId="0" fontId="103" fillId="5" borderId="4" xfId="0" applyFont="1" applyFill="1" applyBorder="1" applyAlignment="1">
      <alignment horizontal="center"/>
    </xf>
    <xf numFmtId="0" fontId="103" fillId="5" borderId="5" xfId="0" applyFont="1" applyFill="1" applyBorder="1" applyAlignment="1">
      <alignment horizontal="center"/>
    </xf>
    <xf numFmtId="0" fontId="103" fillId="5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67" fillId="5" borderId="2" xfId="0" applyFont="1" applyFill="1" applyBorder="1" applyAlignment="1">
      <alignment horizontal="center"/>
    </xf>
    <xf numFmtId="0" fontId="67" fillId="5" borderId="78" xfId="0" applyFont="1" applyFill="1" applyBorder="1" applyAlignment="1">
      <alignment horizontal="center"/>
    </xf>
    <xf numFmtId="0" fontId="67" fillId="5" borderId="3" xfId="0" applyFont="1" applyFill="1" applyBorder="1" applyAlignment="1">
      <alignment horizontal="center"/>
    </xf>
    <xf numFmtId="165" fontId="47" fillId="4" borderId="2" xfId="42" applyFont="1" applyFill="1" applyBorder="1" applyAlignment="1">
      <alignment horizontal="center"/>
    </xf>
    <xf numFmtId="165" fontId="47" fillId="4" borderId="3" xfId="42" applyFont="1" applyFill="1" applyBorder="1" applyAlignment="1">
      <alignment horizontal="center"/>
    </xf>
    <xf numFmtId="0" fontId="21" fillId="4" borderId="2" xfId="0" applyFont="1" applyFill="1" applyBorder="1" applyAlignment="1">
      <alignment horizontal="center"/>
    </xf>
    <xf numFmtId="0" fontId="21" fillId="4" borderId="3" xfId="0" applyFont="1" applyFill="1" applyBorder="1" applyAlignment="1">
      <alignment horizontal="center"/>
    </xf>
    <xf numFmtId="0" fontId="21" fillId="5" borderId="4" xfId="0" applyFont="1" applyFill="1" applyBorder="1" applyAlignment="1">
      <alignment horizontal="center"/>
    </xf>
    <xf numFmtId="0" fontId="21" fillId="5" borderId="5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"/>
    </xf>
    <xf numFmtId="0" fontId="85" fillId="5" borderId="4" xfId="0" applyFont="1" applyFill="1" applyBorder="1" applyAlignment="1">
      <alignment horizontal="center"/>
    </xf>
    <xf numFmtId="0" fontId="85" fillId="5" borderId="5" xfId="0" applyFont="1" applyFill="1" applyBorder="1" applyAlignment="1">
      <alignment horizontal="center"/>
    </xf>
    <xf numFmtId="0" fontId="85" fillId="5" borderId="6" xfId="0" applyFont="1" applyFill="1" applyBorder="1" applyAlignment="1">
      <alignment horizontal="center"/>
    </xf>
    <xf numFmtId="0" fontId="101" fillId="42" borderId="125" xfId="66" applyFont="1" applyFill="1" applyBorder="1" applyAlignment="1">
      <alignment horizontal="center" vertical="center"/>
    </xf>
    <xf numFmtId="0" fontId="101" fillId="42" borderId="138" xfId="66" applyFont="1" applyFill="1" applyBorder="1" applyAlignment="1">
      <alignment horizontal="center" vertical="center"/>
    </xf>
    <xf numFmtId="0" fontId="101" fillId="42" borderId="131" xfId="66" applyFont="1" applyFill="1" applyBorder="1" applyAlignment="1">
      <alignment horizontal="center" vertical="center"/>
    </xf>
    <xf numFmtId="0" fontId="101" fillId="42" borderId="18" xfId="66" applyFont="1" applyFill="1" applyBorder="1" applyAlignment="1">
      <alignment horizontal="center" vertical="center"/>
    </xf>
    <xf numFmtId="0" fontId="101" fillId="42" borderId="139" xfId="66" applyFont="1" applyFill="1" applyBorder="1" applyAlignment="1">
      <alignment horizontal="center" vertical="center"/>
    </xf>
    <xf numFmtId="0" fontId="101" fillId="42" borderId="128" xfId="66" applyFont="1" applyFill="1" applyBorder="1" applyAlignment="1">
      <alignment horizontal="center" vertical="center"/>
    </xf>
    <xf numFmtId="0" fontId="101" fillId="35" borderId="18" xfId="66" applyFont="1" applyFill="1" applyBorder="1" applyAlignment="1">
      <alignment horizontal="center" vertical="center"/>
    </xf>
    <xf numFmtId="0" fontId="101" fillId="35" borderId="139" xfId="66" applyFont="1" applyFill="1" applyBorder="1" applyAlignment="1">
      <alignment horizontal="center" vertical="center"/>
    </xf>
    <xf numFmtId="0" fontId="101" fillId="35" borderId="128" xfId="66" applyFont="1" applyFill="1" applyBorder="1" applyAlignment="1">
      <alignment horizontal="center" vertical="center"/>
    </xf>
    <xf numFmtId="0" fontId="101" fillId="42" borderId="74" xfId="66" applyFont="1" applyFill="1" applyBorder="1" applyAlignment="1">
      <alignment horizontal="center" vertical="center"/>
    </xf>
    <xf numFmtId="174" fontId="46" fillId="4" borderId="7" xfId="0" applyNumberFormat="1" applyFont="1" applyFill="1" applyBorder="1" applyAlignment="1">
      <alignment horizontal="center"/>
    </xf>
    <xf numFmtId="174" fontId="46" fillId="4" borderId="13" xfId="0" applyNumberFormat="1" applyFont="1" applyFill="1" applyBorder="1" applyAlignment="1">
      <alignment horizontal="center"/>
    </xf>
    <xf numFmtId="174" fontId="49" fillId="3" borderId="7" xfId="0" applyNumberFormat="1" applyFont="1" applyFill="1" applyBorder="1" applyAlignment="1">
      <alignment horizontal="center" vertical="center" wrapText="1"/>
    </xf>
    <xf numFmtId="174" fontId="49" fillId="3" borderId="13" xfId="0" applyNumberFormat="1" applyFont="1" applyFill="1" applyBorder="1" applyAlignment="1">
      <alignment horizontal="center" vertical="center" wrapText="1"/>
    </xf>
    <xf numFmtId="174" fontId="67" fillId="5" borderId="1" xfId="0" applyNumberFormat="1" applyFont="1" applyFill="1" applyBorder="1" applyAlignment="1">
      <alignment horizontal="center"/>
    </xf>
    <xf numFmtId="174" fontId="67" fillId="5" borderId="93" xfId="0" applyNumberFormat="1" applyFont="1" applyFill="1" applyBorder="1" applyAlignment="1">
      <alignment horizontal="center"/>
    </xf>
    <xf numFmtId="174" fontId="67" fillId="5" borderId="94" xfId="0" applyNumberFormat="1" applyFont="1" applyFill="1" applyBorder="1" applyAlignment="1">
      <alignment horizontal="center"/>
    </xf>
    <xf numFmtId="0" fontId="68" fillId="5" borderId="2" xfId="0" applyFont="1" applyFill="1" applyBorder="1" applyAlignment="1">
      <alignment horizontal="center"/>
    </xf>
    <xf numFmtId="0" fontId="68" fillId="5" borderId="78" xfId="0" applyFont="1" applyFill="1" applyBorder="1" applyAlignment="1">
      <alignment horizontal="center"/>
    </xf>
    <xf numFmtId="0" fontId="68" fillId="5" borderId="3" xfId="0" applyFont="1" applyFill="1" applyBorder="1" applyAlignment="1">
      <alignment horizontal="center"/>
    </xf>
    <xf numFmtId="0" fontId="96" fillId="35" borderId="76" xfId="56" applyFont="1" applyFill="1" applyBorder="1" applyAlignment="1">
      <alignment horizontal="center"/>
    </xf>
    <xf numFmtId="0" fontId="96" fillId="35" borderId="77" xfId="56" applyFont="1" applyFill="1" applyBorder="1" applyAlignment="1">
      <alignment horizontal="center"/>
    </xf>
    <xf numFmtId="0" fontId="134" fillId="0" borderId="0" xfId="0" applyFont="1" applyAlignment="1">
      <alignment horizontal="left"/>
    </xf>
    <xf numFmtId="0" fontId="134" fillId="0" borderId="0" xfId="0" applyFont="1" applyAlignment="1">
      <alignment horizontal="center"/>
    </xf>
    <xf numFmtId="0" fontId="99" fillId="0" borderId="120" xfId="0" applyFont="1" applyBorder="1" applyAlignment="1">
      <alignment horizontal="center"/>
    </xf>
    <xf numFmtId="0" fontId="99" fillId="0" borderId="134" xfId="0" applyFont="1" applyBorder="1" applyAlignment="1">
      <alignment horizontal="center"/>
    </xf>
    <xf numFmtId="0" fontId="96" fillId="4" borderId="80" xfId="0" applyFont="1" applyFill="1" applyBorder="1" applyAlignment="1">
      <alignment horizontal="center"/>
    </xf>
    <xf numFmtId="0" fontId="96" fillId="5" borderId="80" xfId="0" applyFont="1" applyFill="1" applyBorder="1" applyAlignment="1">
      <alignment horizontal="center"/>
    </xf>
    <xf numFmtId="0" fontId="96" fillId="5" borderId="100" xfId="0" applyFont="1" applyFill="1" applyBorder="1" applyAlignment="1">
      <alignment horizontal="center"/>
    </xf>
    <xf numFmtId="0" fontId="54" fillId="31" borderId="2" xfId="47" applyFont="1" applyFill="1" applyBorder="1" applyAlignment="1">
      <alignment horizontal="left"/>
    </xf>
    <xf numFmtId="0" fontId="54" fillId="31" borderId="78" xfId="47" applyFont="1" applyFill="1" applyBorder="1" applyAlignment="1">
      <alignment horizontal="left"/>
    </xf>
    <xf numFmtId="0" fontId="54" fillId="31" borderId="3" xfId="47" applyFont="1" applyFill="1" applyBorder="1" applyAlignment="1">
      <alignment horizontal="left"/>
    </xf>
    <xf numFmtId="0" fontId="52" fillId="2" borderId="74" xfId="45" applyFont="1" applyFill="1" applyBorder="1" applyAlignment="1">
      <alignment horizontal="center" vertical="center"/>
    </xf>
    <xf numFmtId="0" fontId="19" fillId="2" borderId="74" xfId="45" applyFill="1" applyBorder="1" applyAlignment="1">
      <alignment horizontal="center" vertical="center"/>
    </xf>
    <xf numFmtId="0" fontId="41" fillId="39" borderId="74" xfId="45" applyFont="1" applyFill="1" applyBorder="1" applyAlignment="1">
      <alignment horizontal="center" vertical="center" wrapText="1"/>
    </xf>
    <xf numFmtId="0" fontId="51" fillId="38" borderId="75" xfId="45" applyFont="1" applyFill="1" applyBorder="1" applyAlignment="1">
      <alignment horizontal="center" vertical="center"/>
    </xf>
    <xf numFmtId="0" fontId="51" fillId="38" borderId="76" xfId="45" applyFont="1" applyFill="1" applyBorder="1" applyAlignment="1">
      <alignment horizontal="center" vertical="center"/>
    </xf>
    <xf numFmtId="0" fontId="51" fillId="38" borderId="77" xfId="45" applyFont="1" applyFill="1" applyBorder="1" applyAlignment="1">
      <alignment horizontal="center" vertical="center"/>
    </xf>
    <xf numFmtId="0" fontId="51" fillId="38" borderId="74" xfId="45" applyFont="1" applyFill="1" applyBorder="1" applyAlignment="1">
      <alignment horizontal="center" vertical="center"/>
    </xf>
    <xf numFmtId="0" fontId="41" fillId="38" borderId="74" xfId="45" applyFont="1" applyFill="1" applyBorder="1" applyAlignment="1">
      <alignment horizontal="center" vertical="center"/>
    </xf>
    <xf numFmtId="0" fontId="46" fillId="35" borderId="76" xfId="45" applyFont="1" applyFill="1" applyBorder="1" applyAlignment="1">
      <alignment horizontal="center"/>
    </xf>
    <xf numFmtId="0" fontId="46" fillId="35" borderId="77" xfId="45" applyFont="1" applyFill="1" applyBorder="1" applyAlignment="1">
      <alignment horizontal="center"/>
    </xf>
    <xf numFmtId="0" fontId="51" fillId="38" borderId="126" xfId="45" applyFont="1" applyFill="1" applyBorder="1" applyAlignment="1">
      <alignment horizontal="center" vertical="center"/>
    </xf>
    <xf numFmtId="0" fontId="51" fillId="38" borderId="125" xfId="45" applyFont="1" applyFill="1" applyBorder="1" applyAlignment="1">
      <alignment horizontal="center" vertical="center"/>
    </xf>
    <xf numFmtId="0" fontId="41" fillId="38" borderId="126" xfId="45" applyFont="1" applyFill="1" applyBorder="1" applyAlignment="1">
      <alignment horizontal="center" vertical="center"/>
    </xf>
    <xf numFmtId="0" fontId="41" fillId="38" borderId="123" xfId="45" applyFont="1" applyFill="1" applyBorder="1" applyAlignment="1">
      <alignment horizontal="center" vertical="center"/>
    </xf>
    <xf numFmtId="0" fontId="41" fillId="38" borderId="125" xfId="45" applyFont="1" applyFill="1" applyBorder="1" applyAlignment="1">
      <alignment horizontal="center" vertical="center"/>
    </xf>
    <xf numFmtId="0" fontId="52" fillId="2" borderId="75" xfId="45" applyFont="1" applyFill="1" applyBorder="1" applyAlignment="1">
      <alignment horizontal="center" vertical="center"/>
    </xf>
    <xf numFmtId="0" fontId="52" fillId="2" borderId="77" xfId="45" applyFont="1" applyFill="1" applyBorder="1" applyAlignment="1">
      <alignment horizontal="center" vertical="center"/>
    </xf>
    <xf numFmtId="0" fontId="19" fillId="2" borderId="75" xfId="45" applyFill="1" applyBorder="1" applyAlignment="1">
      <alignment horizontal="center" vertical="center"/>
    </xf>
    <xf numFmtId="0" fontId="19" fillId="2" borderId="76" xfId="45" applyFill="1" applyBorder="1" applyAlignment="1">
      <alignment horizontal="center" vertical="center"/>
    </xf>
    <xf numFmtId="0" fontId="19" fillId="2" borderId="77" xfId="45" applyFill="1" applyBorder="1" applyAlignment="1">
      <alignment horizontal="center" vertical="center"/>
    </xf>
    <xf numFmtId="0" fontId="21" fillId="35" borderId="2" xfId="45" applyFont="1" applyFill="1" applyBorder="1" applyAlignment="1">
      <alignment horizontal="center"/>
    </xf>
    <xf numFmtId="0" fontId="21" fillId="35" borderId="78" xfId="45" applyFont="1" applyFill="1" applyBorder="1" applyAlignment="1">
      <alignment horizontal="center"/>
    </xf>
    <xf numFmtId="0" fontId="21" fillId="35" borderId="3" xfId="45" applyFont="1" applyFill="1" applyBorder="1" applyAlignment="1">
      <alignment horizontal="center"/>
    </xf>
    <xf numFmtId="0" fontId="41" fillId="39" borderId="129" xfId="45" applyFont="1" applyFill="1" applyBorder="1" applyAlignment="1">
      <alignment horizontal="center" vertical="center" wrapText="1"/>
    </xf>
    <xf numFmtId="0" fontId="41" fillId="39" borderId="131" xfId="45" applyFont="1" applyFill="1" applyBorder="1" applyAlignment="1">
      <alignment horizontal="center" vertical="center" wrapText="1"/>
    </xf>
    <xf numFmtId="0" fontId="51" fillId="38" borderId="129" xfId="45" applyFont="1" applyFill="1" applyBorder="1" applyAlignment="1">
      <alignment horizontal="center" vertical="center"/>
    </xf>
    <xf numFmtId="0" fontId="51" fillId="38" borderId="132" xfId="45" applyFont="1" applyFill="1" applyBorder="1" applyAlignment="1">
      <alignment horizontal="center" vertical="center"/>
    </xf>
    <xf numFmtId="0" fontId="51" fillId="38" borderId="131" xfId="45" applyFont="1" applyFill="1" applyBorder="1" applyAlignment="1">
      <alignment horizontal="center" vertical="center"/>
    </xf>
    <xf numFmtId="0" fontId="41" fillId="39" borderId="75" xfId="45" applyFont="1" applyFill="1" applyBorder="1" applyAlignment="1">
      <alignment horizontal="center" vertical="center" wrapText="1"/>
    </xf>
    <xf numFmtId="0" fontId="41" fillId="39" borderId="77" xfId="45" applyFont="1" applyFill="1" applyBorder="1" applyAlignment="1">
      <alignment horizontal="center" vertical="center" wrapText="1"/>
    </xf>
  </cellXfs>
  <cellStyles count="70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Check Cell" xfId="27" xr:uid="{00000000-0005-0000-0000-00001A000000}"/>
    <cellStyle name="Explanatory Text" xfId="28" xr:uid="{00000000-0005-0000-0000-00001B000000}"/>
    <cellStyle name="Good" xfId="29" xr:uid="{00000000-0005-0000-0000-00001C000000}"/>
    <cellStyle name="Heading 1" xfId="30" xr:uid="{00000000-0005-0000-0000-00001D000000}"/>
    <cellStyle name="Heading 2" xfId="31" xr:uid="{00000000-0005-0000-0000-00001E000000}"/>
    <cellStyle name="Heading 3" xfId="32" xr:uid="{00000000-0005-0000-0000-00001F000000}"/>
    <cellStyle name="Heading 4" xfId="33" xr:uid="{00000000-0005-0000-0000-000020000000}"/>
    <cellStyle name="Input" xfId="34" xr:uid="{00000000-0005-0000-0000-000021000000}"/>
    <cellStyle name="Linked Cell" xfId="35" xr:uid="{00000000-0005-0000-0000-000022000000}"/>
    <cellStyle name="Neutral" xfId="36" xr:uid="{00000000-0005-0000-0000-000023000000}"/>
    <cellStyle name="Normal" xfId="0" builtinId="0"/>
    <cellStyle name="Normal 10" xfId="60" xr:uid="{00000000-0005-0000-0000-000025000000}"/>
    <cellStyle name="Normal 11" xfId="62" xr:uid="{00000000-0005-0000-0000-000026000000}"/>
    <cellStyle name="Normal 12" xfId="66" xr:uid="{00000000-0005-0000-0000-000027000000}"/>
    <cellStyle name="Normal 2" xfId="43" xr:uid="{00000000-0005-0000-0000-000028000000}"/>
    <cellStyle name="Normal 2 2" xfId="47" xr:uid="{00000000-0005-0000-0000-000029000000}"/>
    <cellStyle name="Normal 3" xfId="45" xr:uid="{00000000-0005-0000-0000-00002A000000}"/>
    <cellStyle name="Normal 3 2" xfId="56" xr:uid="{00000000-0005-0000-0000-00002B000000}"/>
    <cellStyle name="Normal 4" xfId="46" xr:uid="{00000000-0005-0000-0000-00002C000000}"/>
    <cellStyle name="Normal 5" xfId="48" xr:uid="{00000000-0005-0000-0000-00002D000000}"/>
    <cellStyle name="Normal 6" xfId="51" xr:uid="{00000000-0005-0000-0000-00002E000000}"/>
    <cellStyle name="Normal 6 2" xfId="68" xr:uid="{00000000-0005-0000-0000-00002F000000}"/>
    <cellStyle name="Normal 7" xfId="53" xr:uid="{00000000-0005-0000-0000-000030000000}"/>
    <cellStyle name="Normal 8" xfId="54" xr:uid="{00000000-0005-0000-0000-000031000000}"/>
    <cellStyle name="Normal 9" xfId="57" xr:uid="{00000000-0005-0000-0000-000032000000}"/>
    <cellStyle name="Note" xfId="37" xr:uid="{00000000-0005-0000-0000-000033000000}"/>
    <cellStyle name="Output" xfId="38" xr:uid="{00000000-0005-0000-0000-000034000000}"/>
    <cellStyle name="ParaBirimi 2" xfId="63" xr:uid="{00000000-0005-0000-0000-000035000000}"/>
    <cellStyle name="Title" xfId="39" xr:uid="{00000000-0005-0000-0000-000036000000}"/>
    <cellStyle name="Total" xfId="40" xr:uid="{00000000-0005-0000-0000-000037000000}"/>
    <cellStyle name="Virgül" xfId="42" builtinId="3"/>
    <cellStyle name="Virgül 10" xfId="69" xr:uid="{00000000-0005-0000-0000-000039000000}"/>
    <cellStyle name="Virgül 2" xfId="44" xr:uid="{00000000-0005-0000-0000-00003A000000}"/>
    <cellStyle name="Virgül 3" xfId="50" xr:uid="{00000000-0005-0000-0000-00003B000000}"/>
    <cellStyle name="Virgül 4" xfId="52" xr:uid="{00000000-0005-0000-0000-00003C000000}"/>
    <cellStyle name="Virgül 5" xfId="55" xr:uid="{00000000-0005-0000-0000-00003D000000}"/>
    <cellStyle name="Virgül 6" xfId="58" xr:uid="{00000000-0005-0000-0000-00003E000000}"/>
    <cellStyle name="Virgül 7" xfId="61" xr:uid="{00000000-0005-0000-0000-00003F000000}"/>
    <cellStyle name="Virgül 8" xfId="64" xr:uid="{00000000-0005-0000-0000-000040000000}"/>
    <cellStyle name="Virgül 9" xfId="67" xr:uid="{00000000-0005-0000-0000-000041000000}"/>
    <cellStyle name="Warning Text" xfId="41" xr:uid="{00000000-0005-0000-0000-000042000000}"/>
    <cellStyle name="Yüzde" xfId="49" builtinId="5"/>
    <cellStyle name="Yüzde 2" xfId="59" xr:uid="{00000000-0005-0000-0000-000044000000}"/>
    <cellStyle name="Yüzde 3" xfId="65" xr:uid="{00000000-0005-0000-0000-000045000000}"/>
  </cellStyles>
  <dxfs count="3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0066"/>
      <color rgb="FF000066"/>
      <color rgb="FFFF9966"/>
      <color rgb="FFFFCC66"/>
      <color rgb="FFFF9900"/>
      <color rgb="FFFF9933"/>
      <color rgb="FFFF7C80"/>
      <color rgb="FF666699"/>
      <color rgb="FF000099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6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66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7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5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3.xml"/><Relationship Id="rId65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85725</xdr:rowOff>
    </xdr:from>
    <xdr:to>
      <xdr:col>6</xdr:col>
      <xdr:colOff>542925</xdr:colOff>
      <xdr:row>4</xdr:row>
      <xdr:rowOff>57150</xdr:rowOff>
    </xdr:to>
    <xdr:pic>
      <xdr:nvPicPr>
        <xdr:cNvPr id="2" name="Picture 3" descr="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85725"/>
          <a:ext cx="1781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301625</xdr:colOff>
      <xdr:row>32</xdr:row>
      <xdr:rowOff>31750</xdr:rowOff>
    </xdr:from>
    <xdr:to>
      <xdr:col>10</xdr:col>
      <xdr:colOff>1031874</xdr:colOff>
      <xdr:row>39</xdr:row>
      <xdr:rowOff>57150</xdr:rowOff>
    </xdr:to>
    <xdr:sp macro="" textlink="">
      <xdr:nvSpPr>
        <xdr:cNvPr id="2" name="WordArt 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286250" y="5159375"/>
          <a:ext cx="10620374" cy="11366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tr-TR" sz="3600" kern="10" spc="0">
              <a:ln w="19050">
                <a:solidFill>
                  <a:srgbClr val="FF6600"/>
                </a:solidFill>
                <a:round/>
                <a:headEnd/>
                <a:tailEnd/>
              </a:ln>
              <a:solidFill>
                <a:srgbClr val="000080"/>
              </a:solidFill>
              <a:effectLst>
                <a:outerShdw dist="45791" dir="2021404" algn="ctr" rotWithShape="0">
                  <a:srgbClr val="9999FF"/>
                </a:outerShdw>
              </a:effectLst>
              <a:latin typeface="Arial Black"/>
            </a:rPr>
            <a:t>BPET</a:t>
          </a:r>
        </a:p>
        <a:p>
          <a:pPr algn="ctr" rtl="0"/>
          <a:r>
            <a:rPr lang="tr-TR" sz="3600" kern="10" spc="0">
              <a:ln w="19050">
                <a:solidFill>
                  <a:srgbClr val="FF6600"/>
                </a:solidFill>
                <a:round/>
                <a:headEnd/>
                <a:tailEnd/>
              </a:ln>
              <a:solidFill>
                <a:srgbClr val="000080"/>
              </a:solidFill>
              <a:effectLst>
                <a:outerShdw dist="45791" dir="2021404" algn="ctr" rotWithShape="0">
                  <a:srgbClr val="9999FF"/>
                </a:outerShdw>
              </a:effectLst>
              <a:latin typeface="Arial Black"/>
            </a:rPr>
            <a:t> 2024 YILI ÇALIŞMA BÜTÇESİ</a:t>
          </a:r>
        </a:p>
      </xdr:txBody>
    </xdr:sp>
    <xdr:clientData/>
  </xdr:twoCellAnchor>
  <xdr:twoCellAnchor editAs="oneCell">
    <xdr:from>
      <xdr:col>5</xdr:col>
      <xdr:colOff>619125</xdr:colOff>
      <xdr:row>8</xdr:row>
      <xdr:rowOff>31750</xdr:rowOff>
    </xdr:from>
    <xdr:to>
      <xdr:col>8</xdr:col>
      <xdr:colOff>1086507</xdr:colOff>
      <xdr:row>16</xdr:row>
      <xdr:rowOff>66857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250" y="1317625"/>
          <a:ext cx="4706007" cy="13051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349250</xdr:colOff>
      <xdr:row>0</xdr:row>
      <xdr:rowOff>95250</xdr:rowOff>
    </xdr:from>
    <xdr:to>
      <xdr:col>9</xdr:col>
      <xdr:colOff>451507</xdr:colOff>
      <xdr:row>6</xdr:row>
      <xdr:rowOff>225607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95250"/>
          <a:ext cx="4706007" cy="13051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2035629</xdr:colOff>
      <xdr:row>2</xdr:row>
      <xdr:rowOff>370114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114"/>
          <a:ext cx="2035629" cy="7946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26895</xdr:colOff>
      <xdr:row>1</xdr:row>
      <xdr:rowOff>8964</xdr:rowOff>
    </xdr:from>
    <xdr:to>
      <xdr:col>0</xdr:col>
      <xdr:colOff>1875866</xdr:colOff>
      <xdr:row>3</xdr:row>
      <xdr:rowOff>268941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5" y="188258"/>
          <a:ext cx="1848971" cy="6185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201705</xdr:rowOff>
    </xdr:from>
    <xdr:ext cx="2375646" cy="627529"/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01705"/>
          <a:ext cx="2375646" cy="6275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201705</xdr:rowOff>
    </xdr:from>
    <xdr:ext cx="2375646" cy="627530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7558"/>
          <a:ext cx="2375646" cy="6275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190501</xdr:rowOff>
    </xdr:from>
    <xdr:ext cx="2375646" cy="649940"/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9736"/>
          <a:ext cx="2375646" cy="64994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26894</xdr:rowOff>
    </xdr:from>
    <xdr:to>
      <xdr:col>0</xdr:col>
      <xdr:colOff>2483224</xdr:colOff>
      <xdr:row>2</xdr:row>
      <xdr:rowOff>313765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188"/>
          <a:ext cx="2483224" cy="7082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1</xdr:row>
      <xdr:rowOff>-1</xdr:rowOff>
    </xdr:from>
    <xdr:to>
      <xdr:col>1</xdr:col>
      <xdr:colOff>3516084</xdr:colOff>
      <xdr:row>2</xdr:row>
      <xdr:rowOff>391885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5" y="206828"/>
          <a:ext cx="3516085" cy="8599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43543</xdr:colOff>
      <xdr:row>1</xdr:row>
      <xdr:rowOff>32657</xdr:rowOff>
    </xdr:from>
    <xdr:to>
      <xdr:col>0</xdr:col>
      <xdr:colOff>2177142</xdr:colOff>
      <xdr:row>2</xdr:row>
      <xdr:rowOff>316326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3" y="228600"/>
          <a:ext cx="2133599" cy="7082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50800</xdr:rowOff>
    </xdr:from>
    <xdr:to>
      <xdr:col>0</xdr:col>
      <xdr:colOff>3454400</xdr:colOff>
      <xdr:row>2</xdr:row>
      <xdr:rowOff>393700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30200"/>
          <a:ext cx="3416300" cy="81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0</xdr:rowOff>
    </xdr:from>
    <xdr:to>
      <xdr:col>0</xdr:col>
      <xdr:colOff>2286000</xdr:colOff>
      <xdr:row>2</xdr:row>
      <xdr:rowOff>203200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1300"/>
          <a:ext cx="2209800" cy="622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8965</xdr:colOff>
      <xdr:row>1</xdr:row>
      <xdr:rowOff>26894</xdr:rowOff>
    </xdr:from>
    <xdr:to>
      <xdr:col>0</xdr:col>
      <xdr:colOff>2070847</xdr:colOff>
      <xdr:row>2</xdr:row>
      <xdr:rowOff>313765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5" y="215153"/>
          <a:ext cx="2061882" cy="70821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35859</xdr:colOff>
      <xdr:row>1</xdr:row>
      <xdr:rowOff>8964</xdr:rowOff>
    </xdr:from>
    <xdr:to>
      <xdr:col>0</xdr:col>
      <xdr:colOff>2052918</xdr:colOff>
      <xdr:row>2</xdr:row>
      <xdr:rowOff>493059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" y="197223"/>
          <a:ext cx="2017059" cy="90543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35859</xdr:colOff>
      <xdr:row>1</xdr:row>
      <xdr:rowOff>26894</xdr:rowOff>
    </xdr:from>
    <xdr:to>
      <xdr:col>0</xdr:col>
      <xdr:colOff>2017059</xdr:colOff>
      <xdr:row>2</xdr:row>
      <xdr:rowOff>322729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" y="215153"/>
          <a:ext cx="1981200" cy="7171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53789</xdr:colOff>
      <xdr:row>0</xdr:row>
      <xdr:rowOff>188258</xdr:rowOff>
    </xdr:from>
    <xdr:to>
      <xdr:col>0</xdr:col>
      <xdr:colOff>2160494</xdr:colOff>
      <xdr:row>2</xdr:row>
      <xdr:rowOff>502024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9" y="188258"/>
          <a:ext cx="2106705" cy="9233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44825</xdr:colOff>
      <xdr:row>1</xdr:row>
      <xdr:rowOff>0</xdr:rowOff>
    </xdr:from>
    <xdr:to>
      <xdr:col>0</xdr:col>
      <xdr:colOff>2142565</xdr:colOff>
      <xdr:row>2</xdr:row>
      <xdr:rowOff>349624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5" y="188259"/>
          <a:ext cx="2097740" cy="77096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</xdr:colOff>
      <xdr:row>1</xdr:row>
      <xdr:rowOff>17929</xdr:rowOff>
    </xdr:from>
    <xdr:to>
      <xdr:col>0</xdr:col>
      <xdr:colOff>2160493</xdr:colOff>
      <xdr:row>2</xdr:row>
      <xdr:rowOff>510988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3" y="206188"/>
          <a:ext cx="2097740" cy="914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26895</xdr:rowOff>
    </xdr:from>
    <xdr:to>
      <xdr:col>0</xdr:col>
      <xdr:colOff>1945341</xdr:colOff>
      <xdr:row>2</xdr:row>
      <xdr:rowOff>376519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083"/>
          <a:ext cx="1945341" cy="75303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0</xdr:rowOff>
    </xdr:from>
    <xdr:to>
      <xdr:col>0</xdr:col>
      <xdr:colOff>1866900</xdr:colOff>
      <xdr:row>2</xdr:row>
      <xdr:rowOff>371475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09550"/>
          <a:ext cx="1828800" cy="77152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27709</xdr:colOff>
      <xdr:row>0</xdr:row>
      <xdr:rowOff>13855</xdr:rowOff>
    </xdr:from>
    <xdr:to>
      <xdr:col>0</xdr:col>
      <xdr:colOff>1988127</xdr:colOff>
      <xdr:row>1</xdr:row>
      <xdr:rowOff>290946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" y="13855"/>
          <a:ext cx="1960418" cy="43641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26894</xdr:colOff>
      <xdr:row>1</xdr:row>
      <xdr:rowOff>26894</xdr:rowOff>
    </xdr:from>
    <xdr:to>
      <xdr:col>0</xdr:col>
      <xdr:colOff>2250140</xdr:colOff>
      <xdr:row>2</xdr:row>
      <xdr:rowOff>313765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" y="215153"/>
          <a:ext cx="2223246" cy="70821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</xdr:colOff>
      <xdr:row>1</xdr:row>
      <xdr:rowOff>0</xdr:rowOff>
    </xdr:from>
    <xdr:to>
      <xdr:col>0</xdr:col>
      <xdr:colOff>2223247</xdr:colOff>
      <xdr:row>2</xdr:row>
      <xdr:rowOff>340659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3" y="188259"/>
          <a:ext cx="2160494" cy="762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0</xdr:rowOff>
    </xdr:from>
    <xdr:to>
      <xdr:col>0</xdr:col>
      <xdr:colOff>2205318</xdr:colOff>
      <xdr:row>2</xdr:row>
      <xdr:rowOff>340659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188259"/>
          <a:ext cx="2160494" cy="762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2232212</xdr:colOff>
      <xdr:row>2</xdr:row>
      <xdr:rowOff>340659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2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259"/>
          <a:ext cx="2232212" cy="762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26894</xdr:colOff>
      <xdr:row>1</xdr:row>
      <xdr:rowOff>35859</xdr:rowOff>
    </xdr:from>
    <xdr:to>
      <xdr:col>0</xdr:col>
      <xdr:colOff>2259106</xdr:colOff>
      <xdr:row>2</xdr:row>
      <xdr:rowOff>376518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" y="224118"/>
          <a:ext cx="2232212" cy="762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2169459</xdr:colOff>
      <xdr:row>2</xdr:row>
      <xdr:rowOff>340659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259"/>
          <a:ext cx="2169459" cy="762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17929</xdr:rowOff>
    </xdr:from>
    <xdr:to>
      <xdr:col>0</xdr:col>
      <xdr:colOff>2142565</xdr:colOff>
      <xdr:row>2</xdr:row>
      <xdr:rowOff>358588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188"/>
          <a:ext cx="2142565" cy="762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17929</xdr:rowOff>
    </xdr:from>
    <xdr:to>
      <xdr:col>0</xdr:col>
      <xdr:colOff>2043953</xdr:colOff>
      <xdr:row>2</xdr:row>
      <xdr:rowOff>358588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188"/>
          <a:ext cx="2043953" cy="762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17930</xdr:rowOff>
    </xdr:from>
    <xdr:to>
      <xdr:col>0</xdr:col>
      <xdr:colOff>2259106</xdr:colOff>
      <xdr:row>2</xdr:row>
      <xdr:rowOff>358589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206189"/>
          <a:ext cx="2214282" cy="762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35859</xdr:colOff>
      <xdr:row>1</xdr:row>
      <xdr:rowOff>17930</xdr:rowOff>
    </xdr:from>
    <xdr:to>
      <xdr:col>0</xdr:col>
      <xdr:colOff>2250141</xdr:colOff>
      <xdr:row>2</xdr:row>
      <xdr:rowOff>358589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" y="206189"/>
          <a:ext cx="2214282" cy="762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</xdr:colOff>
      <xdr:row>1</xdr:row>
      <xdr:rowOff>17929</xdr:rowOff>
    </xdr:from>
    <xdr:to>
      <xdr:col>0</xdr:col>
      <xdr:colOff>2402541</xdr:colOff>
      <xdr:row>2</xdr:row>
      <xdr:rowOff>358588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" y="206188"/>
          <a:ext cx="2393577" cy="762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26894</xdr:rowOff>
    </xdr:from>
    <xdr:to>
      <xdr:col>0</xdr:col>
      <xdr:colOff>2286001</xdr:colOff>
      <xdr:row>2</xdr:row>
      <xdr:rowOff>367553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15153"/>
          <a:ext cx="2286000" cy="762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</xdr:colOff>
      <xdr:row>1</xdr:row>
      <xdr:rowOff>0</xdr:rowOff>
    </xdr:from>
    <xdr:to>
      <xdr:col>0</xdr:col>
      <xdr:colOff>2303929</xdr:colOff>
      <xdr:row>2</xdr:row>
      <xdr:rowOff>340659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2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" y="188259"/>
          <a:ext cx="2286000" cy="762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26894</xdr:rowOff>
    </xdr:from>
    <xdr:to>
      <xdr:col>0</xdr:col>
      <xdr:colOff>2196353</xdr:colOff>
      <xdr:row>2</xdr:row>
      <xdr:rowOff>367553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3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153"/>
          <a:ext cx="2196353" cy="762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179294</xdr:rowOff>
    </xdr:from>
    <xdr:to>
      <xdr:col>0</xdr:col>
      <xdr:colOff>2187389</xdr:colOff>
      <xdr:row>2</xdr:row>
      <xdr:rowOff>331694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3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9294"/>
          <a:ext cx="2187388" cy="762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60</xdr:row>
          <xdr:rowOff>0</xdr:rowOff>
        </xdr:from>
        <xdr:to>
          <xdr:col>9</xdr:col>
          <xdr:colOff>495300</xdr:colOff>
          <xdr:row>61</xdr:row>
          <xdr:rowOff>137160</xdr:rowOff>
        </xdr:to>
        <xdr:sp macro="" textlink="">
          <xdr:nvSpPr>
            <xdr:cNvPr id="71681" name="CommandButton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33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1</xdr:row>
      <xdr:rowOff>0</xdr:rowOff>
    </xdr:from>
    <xdr:to>
      <xdr:col>0</xdr:col>
      <xdr:colOff>1893793</xdr:colOff>
      <xdr:row>2</xdr:row>
      <xdr:rowOff>369794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0"/>
          <a:ext cx="1882587" cy="788894"/>
        </a:xfrm>
        <a:prstGeom prst="rect">
          <a:avLst/>
        </a:prstGeom>
      </xdr:spPr>
    </xdr:pic>
    <xdr:clientData/>
  </xdr:twoCellAnchor>
  <xdr:oneCellAnchor>
    <xdr:from>
      <xdr:col>0</xdr:col>
      <xdr:colOff>11206</xdr:colOff>
      <xdr:row>1</xdr:row>
      <xdr:rowOff>11206</xdr:rowOff>
    </xdr:from>
    <xdr:ext cx="1882587" cy="784412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12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25</xdr:row>
      <xdr:rowOff>0</xdr:rowOff>
    </xdr:from>
    <xdr:ext cx="1882587" cy="784412"/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56578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882587" cy="784412"/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49</xdr:row>
      <xdr:rowOff>0</xdr:rowOff>
    </xdr:from>
    <xdr:ext cx="1882587" cy="784412"/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99060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49</xdr:row>
      <xdr:rowOff>11206</xdr:rowOff>
    </xdr:from>
    <xdr:ext cx="1882587" cy="784412"/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99172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73</xdr:row>
      <xdr:rowOff>0</xdr:rowOff>
    </xdr:from>
    <xdr:ext cx="1882587" cy="784412"/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41541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73</xdr:row>
      <xdr:rowOff>11206</xdr:rowOff>
    </xdr:from>
    <xdr:ext cx="1882587" cy="784412"/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3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416535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97</xdr:row>
      <xdr:rowOff>0</xdr:rowOff>
    </xdr:from>
    <xdr:ext cx="1882587" cy="784412"/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3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84023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97</xdr:row>
      <xdr:rowOff>11206</xdr:rowOff>
    </xdr:from>
    <xdr:ext cx="1882587" cy="784412"/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3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84135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121</xdr:row>
      <xdr:rowOff>0</xdr:rowOff>
    </xdr:from>
    <xdr:ext cx="1882587" cy="784412"/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3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226504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121</xdr:row>
      <xdr:rowOff>11206</xdr:rowOff>
    </xdr:from>
    <xdr:ext cx="1882587" cy="784412"/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3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2266165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145</xdr:row>
      <xdr:rowOff>0</xdr:rowOff>
    </xdr:from>
    <xdr:ext cx="1882587" cy="784412"/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3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268986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145</xdr:row>
      <xdr:rowOff>11206</xdr:rowOff>
    </xdr:from>
    <xdr:ext cx="1882587" cy="784412"/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3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269098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169</xdr:row>
      <xdr:rowOff>0</xdr:rowOff>
    </xdr:from>
    <xdr:ext cx="1882587" cy="784412"/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3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311467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169</xdr:row>
      <xdr:rowOff>11206</xdr:rowOff>
    </xdr:from>
    <xdr:ext cx="1882587" cy="784412"/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3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3115795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193</xdr:row>
      <xdr:rowOff>0</xdr:rowOff>
    </xdr:from>
    <xdr:ext cx="1882587" cy="784412"/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3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353949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193</xdr:row>
      <xdr:rowOff>11206</xdr:rowOff>
    </xdr:from>
    <xdr:ext cx="1882587" cy="784412"/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3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354061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217</xdr:row>
      <xdr:rowOff>0</xdr:rowOff>
    </xdr:from>
    <xdr:ext cx="1882587" cy="784412"/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3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396430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217</xdr:row>
      <xdr:rowOff>11206</xdr:rowOff>
    </xdr:from>
    <xdr:ext cx="1882587" cy="784412"/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3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3965425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241</xdr:row>
      <xdr:rowOff>0</xdr:rowOff>
    </xdr:from>
    <xdr:ext cx="1882587" cy="784412"/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3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438912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241</xdr:row>
      <xdr:rowOff>11206</xdr:rowOff>
    </xdr:from>
    <xdr:ext cx="1882587" cy="784412"/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3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439024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265</xdr:row>
      <xdr:rowOff>0</xdr:rowOff>
    </xdr:from>
    <xdr:ext cx="1882587" cy="784412"/>
    <xdr:pic>
      <xdr:nvPicPr>
        <xdr:cNvPr id="24" name="Resim 23">
          <a:extLst>
            <a:ext uri="{FF2B5EF4-FFF2-40B4-BE49-F238E27FC236}">
              <a16:creationId xmlns:a16="http://schemas.microsoft.com/office/drawing/2014/main" id="{00000000-0008-0000-3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481393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265</xdr:row>
      <xdr:rowOff>11206</xdr:rowOff>
    </xdr:from>
    <xdr:ext cx="1882587" cy="784412"/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3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4815055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289</xdr:row>
      <xdr:rowOff>0</xdr:rowOff>
    </xdr:from>
    <xdr:ext cx="1882587" cy="784412"/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3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523875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289</xdr:row>
      <xdr:rowOff>11206</xdr:rowOff>
    </xdr:from>
    <xdr:ext cx="1882587" cy="784412"/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3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523987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313</xdr:row>
      <xdr:rowOff>0</xdr:rowOff>
    </xdr:from>
    <xdr:ext cx="1882587" cy="784412"/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3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566356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313</xdr:row>
      <xdr:rowOff>11206</xdr:rowOff>
    </xdr:from>
    <xdr:ext cx="1882587" cy="784412"/>
    <xdr:pic>
      <xdr:nvPicPr>
        <xdr:cNvPr id="29" name="Resim 28">
          <a:extLst>
            <a:ext uri="{FF2B5EF4-FFF2-40B4-BE49-F238E27FC236}">
              <a16:creationId xmlns:a16="http://schemas.microsoft.com/office/drawing/2014/main" id="{00000000-0008-0000-3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5664685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337</xdr:row>
      <xdr:rowOff>0</xdr:rowOff>
    </xdr:from>
    <xdr:ext cx="1882587" cy="784412"/>
    <xdr:pic>
      <xdr:nvPicPr>
        <xdr:cNvPr id="30" name="Resim 29">
          <a:extLst>
            <a:ext uri="{FF2B5EF4-FFF2-40B4-BE49-F238E27FC236}">
              <a16:creationId xmlns:a16="http://schemas.microsoft.com/office/drawing/2014/main" id="{00000000-0008-0000-3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6088380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337</xdr:row>
      <xdr:rowOff>11206</xdr:rowOff>
    </xdr:from>
    <xdr:ext cx="1882587" cy="784412"/>
    <xdr:pic>
      <xdr:nvPicPr>
        <xdr:cNvPr id="31" name="Resim 30">
          <a:extLst>
            <a:ext uri="{FF2B5EF4-FFF2-40B4-BE49-F238E27FC236}">
              <a16:creationId xmlns:a16="http://schemas.microsoft.com/office/drawing/2014/main" id="{00000000-0008-0000-3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60895006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361</xdr:row>
      <xdr:rowOff>0</xdr:rowOff>
    </xdr:from>
    <xdr:ext cx="1882587" cy="784412"/>
    <xdr:pic>
      <xdr:nvPicPr>
        <xdr:cNvPr id="32" name="Resim 31">
          <a:extLst>
            <a:ext uri="{FF2B5EF4-FFF2-40B4-BE49-F238E27FC236}">
              <a16:creationId xmlns:a16="http://schemas.microsoft.com/office/drawing/2014/main" id="{00000000-0008-0000-3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65131950"/>
          <a:ext cx="1882587" cy="784412"/>
        </a:xfrm>
        <a:prstGeom prst="rect">
          <a:avLst/>
        </a:prstGeom>
      </xdr:spPr>
    </xdr:pic>
    <xdr:clientData/>
  </xdr:oneCellAnchor>
  <xdr:oneCellAnchor>
    <xdr:from>
      <xdr:col>0</xdr:col>
      <xdr:colOff>11206</xdr:colOff>
      <xdr:row>361</xdr:row>
      <xdr:rowOff>11206</xdr:rowOff>
    </xdr:from>
    <xdr:ext cx="1882587" cy="784412"/>
    <xdr:pic>
      <xdr:nvPicPr>
        <xdr:cNvPr id="33" name="Resim 32">
          <a:extLst>
            <a:ext uri="{FF2B5EF4-FFF2-40B4-BE49-F238E27FC236}">
              <a16:creationId xmlns:a16="http://schemas.microsoft.com/office/drawing/2014/main" id="{00000000-0008-0000-3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65143156"/>
          <a:ext cx="1882587" cy="78441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Users/USER/AppData/Local/Microsoft/Windows/INetCache/Content.Outlook/P2H9077A/Users/OSMAN/AppData/Local/Microsoft/Windows/INetCache/Content.Outlook/JHI5U5R7/2015%20B&#220;T&#199;E%20&#199;ALI&#350;MASI-BALPET/KAR%20MERKEZLER&#304;/SATI&#350;/Deneme.xls?BCC7B0BB" TargetMode="External"/><Relationship Id="rId1" Type="http://schemas.openxmlformats.org/officeDocument/2006/relationships/externalLinkPath" Target="file:///\\BCC7B0BB\Denem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OSMAN/AppData/Local/Microsoft/Windows/INetCache/Content.Outlook/JHI5U5R7/yeni...fiyat_cl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OSMAN/AppData/Local/Microsoft/Windows/INetCache/Content.Outlook/JHI5U5R7/2015%20B&#220;T&#199;E%20&#199;ALI&#350;MASI-BALPET/yeni...fiyat_clx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GULNAZ/Documents/sil/B&#220;T&#199;E%202014_%20Son/BALPET/yeni...fiyat_clx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OSMAN/AppData/Local/Microsoft/Windows/INetCache/Content.Outlook/JHI5U5R7/yeni...fiyat_clx_201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OSMAN/AppData/Local/Microsoft/Windows/INetCache/Content.Outlook/JHI5U5R7/2015%20B&#220;T&#199;E%20&#199;ALI&#350;MASI-BALPET/yeni...fiyat_clx_201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GULNAZ/Documents/sil/B&#220;T&#199;E%202014_%20Son/BALPET/yeni...fiyat_clx_201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INetCache/Content.Outlook/P2H9077A/Users/MATRIX/Desktop/YeniFiyat_MK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/Users/USER/AppData/Local/Microsoft/Windows/INetCache/Content.Outlook/P2H9077A/Users/OSMAN/AppData/Local/Microsoft/Windows/INetCache/Content.Outlook/JHI5U5R7/MASRAF%20MERKEZLER&#304;/MASRAF%20GELENLER/Balpet%20Masraf%20Merkezleri%20Konsolide_2014.xlsx?1623927C" TargetMode="External"/><Relationship Id="rId1" Type="http://schemas.openxmlformats.org/officeDocument/2006/relationships/externalLinkPath" Target="file:///\\1623927C\Balpet%20Masraf%20Merkezleri%20Konsolide_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  <sheetName val="Fiyatlar"/>
    </sheetNames>
    <sheetDataSet>
      <sheetData sheetId="0"/>
      <sheetData sheetId="1">
        <row r="4">
          <cell r="B4">
            <v>41640</v>
          </cell>
        </row>
        <row r="5">
          <cell r="B5">
            <v>1</v>
          </cell>
        </row>
        <row r="9">
          <cell r="B9" t="str">
            <v>MERSİN</v>
          </cell>
          <cell r="C9" t="str">
            <v>BPET</v>
          </cell>
          <cell r="D9" t="str">
            <v>Motorin (ithal)</v>
          </cell>
        </row>
        <row r="10">
          <cell r="B10" t="str">
            <v>MERSİN</v>
          </cell>
          <cell r="C10" t="str">
            <v>OPET</v>
          </cell>
          <cell r="D10" t="str">
            <v xml:space="preserve">K.Benzin 95 </v>
          </cell>
        </row>
        <row r="11">
          <cell r="B11" t="str">
            <v>MERSİN</v>
          </cell>
          <cell r="C11" t="str">
            <v>OPET</v>
          </cell>
          <cell r="D11" t="str">
            <v xml:space="preserve">Motorin </v>
          </cell>
        </row>
        <row r="12">
          <cell r="B12" t="str">
            <v>MERSİN</v>
          </cell>
          <cell r="C12" t="str">
            <v>BP</v>
          </cell>
          <cell r="D12" t="str">
            <v xml:space="preserve">K.Benzin 95 </v>
          </cell>
        </row>
        <row r="13">
          <cell r="B13" t="str">
            <v>MERSİN</v>
          </cell>
          <cell r="C13" t="str">
            <v>BP</v>
          </cell>
          <cell r="D13" t="str">
            <v>Motorin</v>
          </cell>
        </row>
        <row r="15">
          <cell r="B15" t="str">
            <v>MERSİN</v>
          </cell>
          <cell r="C15" t="str">
            <v>BPET</v>
          </cell>
          <cell r="D15" t="str">
            <v>UFO Motorin (İthal)</v>
          </cell>
        </row>
        <row r="16">
          <cell r="B16" t="str">
            <v>İZMİT KÖRFEZ</v>
          </cell>
          <cell r="C16" t="str">
            <v>OPET</v>
          </cell>
          <cell r="D16" t="str">
            <v>K.Benzin 95</v>
          </cell>
        </row>
        <row r="17">
          <cell r="B17" t="str">
            <v>İZMİT KÖRFEZ</v>
          </cell>
          <cell r="C17" t="str">
            <v>OPET</v>
          </cell>
          <cell r="D17" t="str">
            <v>K.Benzin 95 prem</v>
          </cell>
        </row>
        <row r="18">
          <cell r="B18" t="str">
            <v>İZMİT KÖRFEZ</v>
          </cell>
          <cell r="C18" t="str">
            <v>OPET</v>
          </cell>
          <cell r="D18" t="str">
            <v xml:space="preserve">Motorin </v>
          </cell>
        </row>
        <row r="19">
          <cell r="B19" t="str">
            <v>İZMİT KÖRFEZ</v>
          </cell>
          <cell r="D19" t="str">
            <v xml:space="preserve">UFO Motorin </v>
          </cell>
        </row>
        <row r="20">
          <cell r="B20" t="str">
            <v>İZMİT KÖRFEZ</v>
          </cell>
          <cell r="C20" t="str">
            <v>LUKOİL</v>
          </cell>
          <cell r="D20" t="str">
            <v xml:space="preserve">K.Benzin 95 </v>
          </cell>
        </row>
        <row r="21">
          <cell r="B21" t="str">
            <v>İZMİT KÖRFEZ</v>
          </cell>
          <cell r="C21" t="str">
            <v>LUKOİL</v>
          </cell>
          <cell r="D21" t="str">
            <v xml:space="preserve">Motorin </v>
          </cell>
        </row>
        <row r="22">
          <cell r="B22" t="str">
            <v>İZMİT KÖRFEZ</v>
          </cell>
          <cell r="C22" t="str">
            <v>TÜPRAŞ</v>
          </cell>
          <cell r="D22" t="str">
            <v>F.Oil</v>
          </cell>
        </row>
        <row r="23">
          <cell r="B23" t="str">
            <v>İZMİT KÖRFEZ</v>
          </cell>
          <cell r="C23" t="str">
            <v>TÜPRAŞ</v>
          </cell>
          <cell r="D23" t="str">
            <v xml:space="preserve">Kalorifer Yakıtı </v>
          </cell>
        </row>
        <row r="24">
          <cell r="B24" t="str">
            <v>İZMİT DERİNCE</v>
          </cell>
        </row>
        <row r="25">
          <cell r="B25" t="str">
            <v>BATMAN</v>
          </cell>
          <cell r="C25" t="str">
            <v>TÜPRAŞ</v>
          </cell>
          <cell r="D25" t="str">
            <v>K.Benzin 95</v>
          </cell>
        </row>
        <row r="26">
          <cell r="B26" t="str">
            <v>BATMAN</v>
          </cell>
          <cell r="C26" t="str">
            <v>TÜPRAŞ</v>
          </cell>
          <cell r="D26" t="str">
            <v xml:space="preserve">Motorin </v>
          </cell>
        </row>
        <row r="27">
          <cell r="B27" t="str">
            <v>BATMAN</v>
          </cell>
          <cell r="C27" t="str">
            <v>TÜPRAŞ</v>
          </cell>
          <cell r="D27" t="str">
            <v xml:space="preserve">UFO Motorin </v>
          </cell>
        </row>
        <row r="28">
          <cell r="B28" t="str">
            <v>ALİAĞA</v>
          </cell>
          <cell r="C28" t="str">
            <v>TÜPRAŞ</v>
          </cell>
          <cell r="D28" t="str">
            <v>K.Benzin 95</v>
          </cell>
        </row>
        <row r="29">
          <cell r="B29" t="str">
            <v>ALİAĞA</v>
          </cell>
          <cell r="C29" t="str">
            <v>TÜPRAŞ</v>
          </cell>
          <cell r="D29" t="str">
            <v>K.Benzin 95 prem</v>
          </cell>
        </row>
        <row r="30">
          <cell r="B30" t="str">
            <v>ALİAĞA</v>
          </cell>
          <cell r="C30" t="str">
            <v>TÜPRAŞ</v>
          </cell>
          <cell r="D30" t="str">
            <v xml:space="preserve">Motorin </v>
          </cell>
        </row>
        <row r="31">
          <cell r="B31" t="str">
            <v>ALİAĞA</v>
          </cell>
          <cell r="C31" t="str">
            <v>TÜPRAŞ</v>
          </cell>
          <cell r="D31" t="str">
            <v xml:space="preserve">Gaz Yağı </v>
          </cell>
        </row>
        <row r="32">
          <cell r="B32" t="str">
            <v>ALİAĞA</v>
          </cell>
          <cell r="C32" t="str">
            <v>TÜPRAŞ</v>
          </cell>
          <cell r="D32" t="str">
            <v>F.Oil</v>
          </cell>
        </row>
        <row r="33">
          <cell r="B33" t="str">
            <v>ALİAĞA</v>
          </cell>
          <cell r="C33" t="str">
            <v>TÜPRAŞ</v>
          </cell>
          <cell r="D33" t="str">
            <v xml:space="preserve">Kalorifer Yakıtı </v>
          </cell>
        </row>
        <row r="34">
          <cell r="D34" t="str">
            <v>Motorin</v>
          </cell>
        </row>
        <row r="35">
          <cell r="B35" t="str">
            <v>ALİAĞA</v>
          </cell>
          <cell r="C35" t="str">
            <v>TÜPRAŞ</v>
          </cell>
          <cell r="D35" t="str">
            <v xml:space="preserve">UFO Motorin </v>
          </cell>
        </row>
        <row r="36">
          <cell r="B36" t="str">
            <v>KIRIKKALE</v>
          </cell>
          <cell r="C36" t="str">
            <v>TÜPRAŞ</v>
          </cell>
          <cell r="D36" t="str">
            <v xml:space="preserve">K.Benzin 95 </v>
          </cell>
        </row>
        <row r="37">
          <cell r="B37" t="str">
            <v>KIRIKKALE</v>
          </cell>
          <cell r="C37" t="str">
            <v>TÜPRAŞ</v>
          </cell>
          <cell r="D37" t="str">
            <v>K.Benzin 95 prem</v>
          </cell>
        </row>
        <row r="38">
          <cell r="B38" t="str">
            <v>KIRIKKALE</v>
          </cell>
          <cell r="C38" t="str">
            <v>TÜPRAŞ</v>
          </cell>
          <cell r="D38" t="str">
            <v xml:space="preserve">Motorin </v>
          </cell>
        </row>
        <row r="39">
          <cell r="B39" t="str">
            <v>KIRIKKALE</v>
          </cell>
          <cell r="C39" t="str">
            <v>TÜPRAŞ</v>
          </cell>
          <cell r="D39" t="str">
            <v xml:space="preserve">Gaz Yağı </v>
          </cell>
        </row>
        <row r="40">
          <cell r="B40" t="str">
            <v>KIRIKKALE</v>
          </cell>
          <cell r="C40" t="str">
            <v>TÜPRAŞ</v>
          </cell>
          <cell r="D40" t="str">
            <v>Yüksek Kükürtlü F.Oil</v>
          </cell>
        </row>
        <row r="41">
          <cell r="B41" t="str">
            <v>KIRIKKALE</v>
          </cell>
          <cell r="C41" t="str">
            <v>TÜPRAŞ</v>
          </cell>
          <cell r="D41" t="str">
            <v xml:space="preserve">UFO Motorin </v>
          </cell>
        </row>
        <row r="42">
          <cell r="B42" t="str">
            <v>SAMSUN</v>
          </cell>
          <cell r="C42" t="str">
            <v>SHELL</v>
          </cell>
          <cell r="D42" t="str">
            <v xml:space="preserve">K.Benzin 95 </v>
          </cell>
        </row>
        <row r="43">
          <cell r="B43" t="str">
            <v>SAMSUN</v>
          </cell>
          <cell r="C43" t="str">
            <v>SHELL</v>
          </cell>
          <cell r="D43" t="str">
            <v xml:space="preserve">Motorin </v>
          </cell>
        </row>
        <row r="44">
          <cell r="B44" t="str">
            <v>SAMSUN</v>
          </cell>
          <cell r="C44" t="str">
            <v>LUKOIL</v>
          </cell>
          <cell r="D44" t="str">
            <v xml:space="preserve">K.Benzin 95 </v>
          </cell>
        </row>
        <row r="45">
          <cell r="B45" t="str">
            <v>SAMSUN</v>
          </cell>
          <cell r="C45" t="str">
            <v>LUKOIL</v>
          </cell>
          <cell r="D45" t="str">
            <v xml:space="preserve">Motorin </v>
          </cell>
        </row>
        <row r="46">
          <cell r="B46" t="str">
            <v>SAMSUN</v>
          </cell>
          <cell r="C46" t="str">
            <v>LUKOIL</v>
          </cell>
          <cell r="D46" t="str">
            <v xml:space="preserve">UFO Motorin </v>
          </cell>
        </row>
        <row r="47">
          <cell r="B47" t="str">
            <v>M.EREĞLİSİ</v>
          </cell>
          <cell r="C47" t="str">
            <v>OPET</v>
          </cell>
          <cell r="D47" t="str">
            <v xml:space="preserve">K.Benzin 95 </v>
          </cell>
        </row>
        <row r="48">
          <cell r="B48" t="str">
            <v>M.EREĞLİSİ</v>
          </cell>
          <cell r="C48" t="str">
            <v>OPET</v>
          </cell>
          <cell r="D48" t="str">
            <v xml:space="preserve">Motorin </v>
          </cell>
        </row>
        <row r="49">
          <cell r="B49" t="str">
            <v>M.EREĞLİSİ</v>
          </cell>
          <cell r="C49" t="str">
            <v>OPET</v>
          </cell>
          <cell r="D49" t="str">
            <v xml:space="preserve">UFO Motorin </v>
          </cell>
        </row>
        <row r="50">
          <cell r="B50" t="str">
            <v>GİRESUN</v>
          </cell>
          <cell r="C50" t="str">
            <v>OPET</v>
          </cell>
          <cell r="D50" t="str">
            <v xml:space="preserve">K.Benzin 95 </v>
          </cell>
        </row>
        <row r="51">
          <cell r="B51" t="str">
            <v>GİRESUN</v>
          </cell>
          <cell r="C51" t="str">
            <v>OPET</v>
          </cell>
          <cell r="D51" t="str">
            <v xml:space="preserve">Motorin </v>
          </cell>
        </row>
        <row r="52">
          <cell r="B52" t="str">
            <v>GİRESUN</v>
          </cell>
          <cell r="C52" t="str">
            <v>OPET</v>
          </cell>
          <cell r="D52" t="str">
            <v xml:space="preserve">UFO Motorin </v>
          </cell>
        </row>
        <row r="53">
          <cell r="B53" t="str">
            <v>ANTALYA</v>
          </cell>
          <cell r="C53" t="str">
            <v>SHELL/Lukoil</v>
          </cell>
          <cell r="D53" t="str">
            <v xml:space="preserve">K.Benzin 95 </v>
          </cell>
        </row>
        <row r="54">
          <cell r="B54" t="str">
            <v>ANTALYA</v>
          </cell>
          <cell r="C54" t="str">
            <v>SHELL/Lukoil</v>
          </cell>
          <cell r="D54" t="str">
            <v>K.Benzin 95 prem</v>
          </cell>
        </row>
        <row r="55">
          <cell r="B55" t="str">
            <v>ANTALYA</v>
          </cell>
          <cell r="C55" t="str">
            <v>SHELL/Lukoil</v>
          </cell>
          <cell r="D55" t="str">
            <v xml:space="preserve">Motorin </v>
          </cell>
        </row>
        <row r="56">
          <cell r="B56" t="str">
            <v>ANTALYA</v>
          </cell>
          <cell r="C56" t="str">
            <v>SHELL/Lukoil</v>
          </cell>
          <cell r="D56" t="str">
            <v xml:space="preserve">UFO Motorin 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  <sheetName val="Fiyatlar"/>
    </sheetNames>
    <sheetDataSet>
      <sheetData sheetId="0"/>
      <sheetData sheetId="1">
        <row r="4">
          <cell r="B4">
            <v>41640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  <sheetName val="Fiyatlar"/>
    </sheetNames>
    <sheetDataSet>
      <sheetData sheetId="0"/>
      <sheetData sheetId="1">
        <row r="4">
          <cell r="B4">
            <v>41640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  <sheetName val="Fiyatlar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  <sheetName val="Fiyatlar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 Uygulama"/>
      <sheetName val="Liste"/>
      <sheetName val="AKARYAKIT"/>
      <sheetName val="SERVIS"/>
      <sheetName val="İthalat"/>
      <sheetName val="Fiyatlar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lavuz"/>
      <sheetName val="RaporE"/>
      <sheetName val="RaporY"/>
      <sheetName val="Gecmis"/>
      <sheetName val="Liste"/>
      <sheetName val="AKARYAKIT"/>
      <sheetName val="SERVIS"/>
      <sheetName val="İthalat"/>
      <sheetName val="BP"/>
      <sheetName val="BP_arsiv"/>
      <sheetName val="EPDK_Depo"/>
      <sheetName val="PTavan"/>
      <sheetName val="WEB"/>
      <sheetName val="Bpet"/>
      <sheetName val="Gr"/>
      <sheetName val="Muk"/>
      <sheetName val="PO"/>
      <sheetName val="Moil"/>
      <sheetName val="Mersin"/>
      <sheetName val="Zaml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iz Satışları- Konsolide"/>
      <sheetName val="Dış Ticaret"/>
      <sheetName val="GM"/>
      <sheetName val="Hukuk"/>
      <sheetName val="İK- Konsolide"/>
      <sheetName val="İkmal"/>
      <sheetName val="İstanbul GM' lük"/>
      <sheetName val="Madeniyağ"/>
      <sheetName val="Tesis"/>
      <sheetName val="Yönetim Kurulu "/>
      <sheetName val="Mali İşler- Konsolide"/>
      <sheetName val="Pazarlama&amp;Marka"/>
      <sheetName val="Pazarlama&amp;Satış GMY"/>
      <sheetName val="Genel Yönetim Giderle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>
            <v>0</v>
          </cell>
        </row>
        <row r="2">
          <cell r="A2">
            <v>0</v>
          </cell>
          <cell r="C2">
            <v>0</v>
          </cell>
        </row>
        <row r="3">
          <cell r="A3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1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1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1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1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14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1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16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17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18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19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2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21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22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Relationship Id="rId4" Type="http://schemas.openxmlformats.org/officeDocument/2006/relationships/comments" Target="../comments23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Relationship Id="rId4" Type="http://schemas.openxmlformats.org/officeDocument/2006/relationships/comments" Target="../comments24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7.bin"/><Relationship Id="rId5" Type="http://schemas.openxmlformats.org/officeDocument/2006/relationships/image" Target="../media/image5.emf"/><Relationship Id="rId4" Type="http://schemas.openxmlformats.org/officeDocument/2006/relationships/control" Target="../activeX/activeX1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86"/>
  <sheetViews>
    <sheetView zoomScaleNormal="100" workbookViewId="0">
      <selection activeCell="B11" sqref="B11"/>
    </sheetView>
  </sheetViews>
  <sheetFormatPr defaultColWidth="0" defaultRowHeight="12.75" customHeight="1" zeroHeight="1"/>
  <cols>
    <col min="1" max="5" width="9.109375" customWidth="1"/>
    <col min="6" max="6" width="11.6640625" customWidth="1"/>
    <col min="7" max="8" width="9.109375" customWidth="1"/>
    <col min="9" max="9" width="8.88671875" customWidth="1"/>
    <col min="10" max="10" width="11.44140625" bestFit="1" customWidth="1"/>
    <col min="11" max="11" width="1.33203125" customWidth="1"/>
    <col min="12" max="16384" width="9.109375" hidden="1"/>
  </cols>
  <sheetData>
    <row r="1" spans="1:10" ht="13.2"/>
    <row r="2" spans="1:10" ht="13.2"/>
    <row r="3" spans="1:10" ht="13.2"/>
    <row r="4" spans="1:10" ht="13.2"/>
    <row r="5" spans="1:10" ht="13.8" thickBot="1"/>
    <row r="6" spans="1:10" ht="21.6" thickBot="1">
      <c r="C6" s="2277" t="s">
        <v>185</v>
      </c>
      <c r="D6" s="2278"/>
      <c r="E6" s="2278"/>
      <c r="F6" s="2278"/>
      <c r="G6" s="2278"/>
      <c r="H6" s="2278"/>
      <c r="I6" s="2279"/>
    </row>
    <row r="7" spans="1:10" ht="17.399999999999999">
      <c r="C7" s="589"/>
      <c r="D7" s="589"/>
      <c r="E7" s="589"/>
      <c r="F7" s="589"/>
      <c r="G7" s="589"/>
      <c r="H7" s="589"/>
      <c r="I7" s="589"/>
    </row>
    <row r="8" spans="1:10" s="279" customFormat="1" ht="18" customHeight="1">
      <c r="B8" s="279" t="s">
        <v>344</v>
      </c>
      <c r="J8" s="548">
        <v>1</v>
      </c>
    </row>
    <row r="9" spans="1:10" s="279" customFormat="1" ht="18" customHeight="1">
      <c r="B9" s="279" t="s">
        <v>345</v>
      </c>
      <c r="J9" s="548">
        <v>2</v>
      </c>
    </row>
    <row r="10" spans="1:10" s="547" customFormat="1" ht="18" customHeight="1">
      <c r="B10" s="547" t="s">
        <v>186</v>
      </c>
      <c r="J10" s="629">
        <v>40362</v>
      </c>
    </row>
    <row r="11" spans="1:10" s="547" customFormat="1" ht="18" customHeight="1">
      <c r="B11" s="547" t="s">
        <v>187</v>
      </c>
      <c r="J11" s="629">
        <v>41252</v>
      </c>
    </row>
    <row r="12" spans="1:10" s="547" customFormat="1" ht="18" customHeight="1">
      <c r="B12" s="547" t="s">
        <v>188</v>
      </c>
      <c r="J12" s="629" t="s">
        <v>189</v>
      </c>
    </row>
    <row r="13" spans="1:10" s="547" customFormat="1" ht="18" customHeight="1">
      <c r="A13" s="547" t="s">
        <v>257</v>
      </c>
      <c r="B13" s="547" t="s">
        <v>190</v>
      </c>
      <c r="J13" s="628">
        <v>18</v>
      </c>
    </row>
    <row r="14" spans="1:10" s="547" customFormat="1" ht="18" customHeight="1">
      <c r="A14" s="547" t="s">
        <v>257</v>
      </c>
      <c r="B14" s="547" t="s">
        <v>191</v>
      </c>
      <c r="J14" s="628" t="s">
        <v>192</v>
      </c>
    </row>
    <row r="15" spans="1:10" s="547" customFormat="1" ht="18" customHeight="1">
      <c r="A15" s="547" t="s">
        <v>257</v>
      </c>
      <c r="B15" s="547" t="s">
        <v>193</v>
      </c>
      <c r="J15" s="628">
        <v>24</v>
      </c>
    </row>
    <row r="16" spans="1:10" s="547" customFormat="1" ht="18" customHeight="1">
      <c r="A16" s="547" t="s">
        <v>257</v>
      </c>
      <c r="B16" s="547" t="s">
        <v>194</v>
      </c>
      <c r="J16" s="628" t="s">
        <v>195</v>
      </c>
    </row>
    <row r="17" spans="1:10" s="547" customFormat="1" ht="18" customHeight="1">
      <c r="A17" s="547" t="s">
        <v>257</v>
      </c>
      <c r="B17" s="547" t="s">
        <v>282</v>
      </c>
      <c r="J17" s="628" t="s">
        <v>195</v>
      </c>
    </row>
    <row r="18" spans="1:10" s="547" customFormat="1" ht="18" customHeight="1">
      <c r="A18" s="547" t="s">
        <v>257</v>
      </c>
      <c r="B18" s="547" t="s">
        <v>196</v>
      </c>
      <c r="J18" s="628" t="s">
        <v>197</v>
      </c>
    </row>
    <row r="19" spans="1:10" s="547" customFormat="1" ht="18" customHeight="1">
      <c r="A19" s="547" t="s">
        <v>257</v>
      </c>
      <c r="B19" s="547" t="s">
        <v>278</v>
      </c>
      <c r="J19" s="628" t="s">
        <v>198</v>
      </c>
    </row>
    <row r="20" spans="1:10" s="279" customFormat="1" ht="18" customHeight="1">
      <c r="A20" s="279" t="s">
        <v>257</v>
      </c>
      <c r="B20" s="279" t="s">
        <v>199</v>
      </c>
      <c r="J20" s="548" t="s">
        <v>200</v>
      </c>
    </row>
    <row r="21" spans="1:10" s="279" customFormat="1" ht="18" customHeight="1">
      <c r="A21" s="279" t="s">
        <v>257</v>
      </c>
      <c r="B21" s="279" t="s">
        <v>201</v>
      </c>
      <c r="J21" s="548" t="s">
        <v>202</v>
      </c>
    </row>
    <row r="22" spans="1:10" s="279" customFormat="1" ht="18" customHeight="1">
      <c r="A22" s="279" t="s">
        <v>257</v>
      </c>
      <c r="B22" s="279" t="s">
        <v>203</v>
      </c>
      <c r="J22" s="548" t="s">
        <v>204</v>
      </c>
    </row>
    <row r="23" spans="1:10" s="279" customFormat="1" ht="18" customHeight="1">
      <c r="A23" s="279" t="s">
        <v>257</v>
      </c>
      <c r="B23" s="279" t="s">
        <v>280</v>
      </c>
      <c r="J23" s="548"/>
    </row>
    <row r="24" spans="1:10" s="279" customFormat="1" ht="18" customHeight="1">
      <c r="A24" s="279" t="s">
        <v>257</v>
      </c>
      <c r="B24" s="279" t="s">
        <v>205</v>
      </c>
      <c r="J24" s="548" t="s">
        <v>206</v>
      </c>
    </row>
    <row r="25" spans="1:10" s="279" customFormat="1" ht="18" customHeight="1">
      <c r="A25" s="279" t="s">
        <v>257</v>
      </c>
      <c r="B25" s="279" t="s">
        <v>207</v>
      </c>
      <c r="J25" s="548" t="s">
        <v>208</v>
      </c>
    </row>
    <row r="26" spans="1:10" s="279" customFormat="1" ht="18" customHeight="1">
      <c r="A26" s="279" t="s">
        <v>257</v>
      </c>
      <c r="B26" s="279" t="s">
        <v>253</v>
      </c>
      <c r="J26" s="548" t="s">
        <v>209</v>
      </c>
    </row>
    <row r="27" spans="1:10" s="279" customFormat="1" ht="18" customHeight="1">
      <c r="A27" s="279" t="s">
        <v>257</v>
      </c>
      <c r="B27" s="279" t="s">
        <v>254</v>
      </c>
      <c r="J27" s="548" t="s">
        <v>209</v>
      </c>
    </row>
    <row r="28" spans="1:10" s="279" customFormat="1" ht="18" customHeight="1">
      <c r="A28" s="279" t="s">
        <v>257</v>
      </c>
      <c r="B28" s="279" t="s">
        <v>210</v>
      </c>
      <c r="J28" s="548" t="s">
        <v>211</v>
      </c>
    </row>
    <row r="29" spans="1:10" s="279" customFormat="1" ht="18" customHeight="1">
      <c r="A29" s="279" t="s">
        <v>257</v>
      </c>
      <c r="B29" s="279" t="s">
        <v>212</v>
      </c>
      <c r="J29" s="548" t="s">
        <v>213</v>
      </c>
    </row>
    <row r="30" spans="1:10" s="279" customFormat="1" ht="18" customHeight="1">
      <c r="A30" s="279" t="s">
        <v>257</v>
      </c>
      <c r="B30" s="279" t="s">
        <v>214</v>
      </c>
      <c r="J30" s="548" t="s">
        <v>215</v>
      </c>
    </row>
    <row r="31" spans="1:10" s="279" customFormat="1" ht="18" customHeight="1">
      <c r="A31" s="279" t="s">
        <v>257</v>
      </c>
      <c r="B31" s="279" t="s">
        <v>255</v>
      </c>
      <c r="J31" s="548" t="s">
        <v>217</v>
      </c>
    </row>
    <row r="32" spans="1:10" s="279" customFormat="1" ht="18" customHeight="1">
      <c r="A32" s="279" t="s">
        <v>257</v>
      </c>
      <c r="B32" s="279" t="s">
        <v>216</v>
      </c>
      <c r="J32" s="548" t="s">
        <v>218</v>
      </c>
    </row>
    <row r="33" spans="1:10" s="279" customFormat="1" ht="18" customHeight="1">
      <c r="A33" s="279" t="s">
        <v>257</v>
      </c>
      <c r="B33" s="279" t="s">
        <v>256</v>
      </c>
      <c r="J33" s="548" t="s">
        <v>218</v>
      </c>
    </row>
    <row r="34" spans="1:10" s="279" customFormat="1" ht="18" customHeight="1">
      <c r="A34" s="279" t="s">
        <v>257</v>
      </c>
      <c r="B34" s="279" t="s">
        <v>219</v>
      </c>
      <c r="J34" s="548" t="s">
        <v>220</v>
      </c>
    </row>
    <row r="35" spans="1:10" s="279" customFormat="1" ht="18" customHeight="1">
      <c r="A35" s="279" t="s">
        <v>257</v>
      </c>
      <c r="B35" s="279" t="s">
        <v>221</v>
      </c>
      <c r="J35" s="548" t="s">
        <v>222</v>
      </c>
    </row>
    <row r="36" spans="1:10" s="279" customFormat="1" ht="18" customHeight="1">
      <c r="B36" s="279" t="s">
        <v>283</v>
      </c>
      <c r="J36" s="548" t="s">
        <v>223</v>
      </c>
    </row>
    <row r="37" spans="1:10" s="279" customFormat="1" ht="18" customHeight="1">
      <c r="B37" s="279" t="s">
        <v>346</v>
      </c>
      <c r="C37" s="590"/>
      <c r="D37" s="590"/>
      <c r="E37" s="590"/>
      <c r="F37" s="590"/>
      <c r="G37" s="590"/>
      <c r="H37" s="590"/>
      <c r="I37" s="590"/>
      <c r="J37" s="548">
        <v>110</v>
      </c>
    </row>
    <row r="38" spans="1:10" s="279" customFormat="1" ht="18" customHeight="1">
      <c r="B38" s="279" t="s">
        <v>347</v>
      </c>
      <c r="C38" s="590"/>
      <c r="D38" s="590"/>
      <c r="E38" s="590"/>
      <c r="F38" s="590"/>
      <c r="G38" s="590"/>
      <c r="H38" s="590"/>
      <c r="I38" s="590"/>
      <c r="J38" s="548" t="s">
        <v>224</v>
      </c>
    </row>
    <row r="39" spans="1:10" s="279" customFormat="1" ht="18" customHeight="1">
      <c r="A39" s="279" t="s">
        <v>257</v>
      </c>
      <c r="B39" s="279" t="s">
        <v>276</v>
      </c>
      <c r="C39" s="590"/>
      <c r="D39" s="590"/>
      <c r="E39" s="590"/>
      <c r="F39" s="590"/>
      <c r="G39" s="590"/>
      <c r="H39" s="590"/>
      <c r="I39" s="590"/>
      <c r="J39" s="548">
        <v>121</v>
      </c>
    </row>
    <row r="40" spans="1:10" s="279" customFormat="1" ht="18" customHeight="1">
      <c r="A40" s="279" t="s">
        <v>257</v>
      </c>
      <c r="B40" s="279" t="s">
        <v>225</v>
      </c>
      <c r="C40" s="590"/>
      <c r="D40" s="590"/>
      <c r="E40" s="590"/>
      <c r="F40" s="590"/>
      <c r="G40" s="590"/>
      <c r="H40" s="590"/>
      <c r="I40" s="590"/>
      <c r="J40" s="548">
        <v>123</v>
      </c>
    </row>
    <row r="41" spans="1:10" s="279" customFormat="1" ht="18" customHeight="1">
      <c r="A41" s="279" t="s">
        <v>257</v>
      </c>
      <c r="B41" s="279" t="s">
        <v>277</v>
      </c>
      <c r="J41" s="548">
        <v>125</v>
      </c>
    </row>
    <row r="42" spans="1:10" s="279" customFormat="1" ht="18" customHeight="1">
      <c r="A42" s="279" t="s">
        <v>257</v>
      </c>
      <c r="B42" s="279" t="s">
        <v>226</v>
      </c>
      <c r="C42" s="590"/>
      <c r="D42" s="590"/>
      <c r="E42" s="590"/>
      <c r="F42" s="590"/>
      <c r="G42" s="590"/>
      <c r="H42" s="590"/>
      <c r="I42" s="590"/>
      <c r="J42" s="548">
        <v>126</v>
      </c>
    </row>
    <row r="43" spans="1:10" s="279" customFormat="1" ht="18" customHeight="1">
      <c r="A43" s="279" t="s">
        <v>257</v>
      </c>
      <c r="B43" s="279" t="s">
        <v>227</v>
      </c>
      <c r="J43" s="548">
        <v>127</v>
      </c>
    </row>
    <row r="44" spans="1:10" s="279" customFormat="1" ht="18" customHeight="1">
      <c r="A44" s="279" t="s">
        <v>257</v>
      </c>
      <c r="B44" s="279" t="s">
        <v>228</v>
      </c>
      <c r="J44" s="548">
        <v>128</v>
      </c>
    </row>
    <row r="45" spans="1:10" s="279" customFormat="1" ht="18" customHeight="1">
      <c r="A45" s="279" t="s">
        <v>257</v>
      </c>
      <c r="B45" s="279" t="s">
        <v>229</v>
      </c>
      <c r="J45" s="548">
        <v>129</v>
      </c>
    </row>
    <row r="46" spans="1:10" s="279" customFormat="1" ht="18" customHeight="1">
      <c r="A46" s="279" t="s">
        <v>257</v>
      </c>
      <c r="B46" s="279" t="s">
        <v>230</v>
      </c>
      <c r="J46" s="548">
        <v>130</v>
      </c>
    </row>
    <row r="47" spans="1:10" s="279" customFormat="1" ht="18" customHeight="1">
      <c r="A47" s="279" t="s">
        <v>257</v>
      </c>
      <c r="B47" s="279" t="s">
        <v>279</v>
      </c>
      <c r="J47" s="548">
        <v>131</v>
      </c>
    </row>
    <row r="48" spans="1:10" s="279" customFormat="1" ht="18" customHeight="1">
      <c r="B48" s="279" t="s">
        <v>231</v>
      </c>
      <c r="J48" s="548">
        <v>134</v>
      </c>
    </row>
    <row r="49" spans="1:10" s="279" customFormat="1" ht="18" customHeight="1">
      <c r="A49" s="279" t="s">
        <v>257</v>
      </c>
      <c r="B49" s="279" t="s">
        <v>232</v>
      </c>
      <c r="J49" s="548">
        <v>135</v>
      </c>
    </row>
    <row r="50" spans="1:10" s="279" customFormat="1" ht="18" customHeight="1">
      <c r="B50" s="279" t="s">
        <v>233</v>
      </c>
      <c r="J50" s="548">
        <v>136</v>
      </c>
    </row>
    <row r="51" spans="1:10" ht="18" customHeight="1"/>
    <row r="52" spans="1:10" ht="12.75" customHeight="1"/>
    <row r="53" spans="1:10" ht="12.75" customHeight="1"/>
    <row r="54" spans="1:10" ht="12.75" customHeight="1"/>
    <row r="55" spans="1:10" ht="12.75" customHeight="1"/>
    <row r="56" spans="1:10" ht="12.75" customHeight="1"/>
    <row r="57" spans="1:10" ht="12.75" customHeight="1"/>
    <row r="58" spans="1:10" ht="12.75" customHeight="1"/>
    <row r="59" spans="1:10" ht="12.75" customHeight="1"/>
    <row r="60" spans="1:10" ht="12.75" customHeight="1"/>
    <row r="61" spans="1:10" ht="12.75" customHeight="1"/>
    <row r="62" spans="1:10" ht="12.75" customHeight="1"/>
    <row r="63" spans="1:10" ht="12.75" customHeight="1"/>
    <row r="64" spans="1:1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</sheetData>
  <mergeCells count="1">
    <mergeCell ref="C6:I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8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9:H14"/>
  <sheetViews>
    <sheetView workbookViewId="0">
      <selection activeCell="L8" sqref="L8"/>
    </sheetView>
  </sheetViews>
  <sheetFormatPr defaultRowHeight="13.2"/>
  <sheetData>
    <row r="9" spans="4:8">
      <c r="D9">
        <v>2017</v>
      </c>
    </row>
    <row r="10" spans="4:8">
      <c r="D10" t="s">
        <v>516</v>
      </c>
    </row>
    <row r="12" spans="4:8">
      <c r="D12" t="s">
        <v>517</v>
      </c>
    </row>
    <row r="14" spans="4:8">
      <c r="D14" t="s">
        <v>518</v>
      </c>
      <c r="H14" t="s">
        <v>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M59"/>
  <sheetViews>
    <sheetView showGridLines="0" view="pageBreakPreview" topLeftCell="C1" zoomScale="60" zoomScaleNormal="100" workbookViewId="0">
      <selection activeCell="D4" sqref="D4"/>
    </sheetView>
  </sheetViews>
  <sheetFormatPr defaultColWidth="18.5546875" defaultRowHeight="0" customHeight="1" zeroHeight="1"/>
  <cols>
    <col min="1" max="1" width="9.109375" hidden="1" customWidth="1"/>
    <col min="2" max="2" width="37.5546875" customWidth="1"/>
    <col min="3" max="3" width="24.44140625" customWidth="1"/>
    <col min="4" max="11" width="21.109375" customWidth="1"/>
    <col min="12" max="12" width="21.88671875" customWidth="1"/>
  </cols>
  <sheetData>
    <row r="1" spans="2:13" ht="13.8" thickTop="1">
      <c r="B1" s="1"/>
      <c r="C1" s="271"/>
      <c r="D1" s="272"/>
      <c r="E1" s="272"/>
      <c r="F1" s="272"/>
      <c r="G1" s="272"/>
      <c r="H1" s="272"/>
      <c r="I1" s="272"/>
      <c r="J1" s="272"/>
      <c r="K1" s="272"/>
      <c r="L1" s="273"/>
      <c r="M1" s="1"/>
    </row>
    <row r="2" spans="2:13" ht="13.2">
      <c r="B2" s="1"/>
      <c r="C2" s="274"/>
      <c r="D2" s="1"/>
      <c r="E2" s="1"/>
      <c r="F2" s="1"/>
      <c r="G2" s="1"/>
      <c r="H2" s="1"/>
      <c r="I2" s="1"/>
      <c r="J2" s="1"/>
      <c r="K2" s="1"/>
      <c r="L2" s="275"/>
      <c r="M2" s="1"/>
    </row>
    <row r="3" spans="2:13" ht="13.2">
      <c r="B3" s="1"/>
      <c r="C3" s="274"/>
      <c r="D3" s="1"/>
      <c r="E3" s="1"/>
      <c r="F3" s="1"/>
      <c r="G3" s="1"/>
      <c r="H3" s="1"/>
      <c r="I3" s="1"/>
      <c r="J3" s="1"/>
      <c r="K3" s="1"/>
      <c r="L3" s="275"/>
      <c r="M3" s="1"/>
    </row>
    <row r="4" spans="2:13" ht="13.2">
      <c r="B4" s="1"/>
      <c r="C4" s="274"/>
      <c r="D4" s="1"/>
      <c r="E4" s="1"/>
      <c r="F4" s="1"/>
      <c r="G4" s="1"/>
      <c r="H4" s="1"/>
      <c r="I4" s="1"/>
      <c r="J4" s="1"/>
      <c r="K4" s="1"/>
      <c r="L4" s="275"/>
      <c r="M4" s="1"/>
    </row>
    <row r="5" spans="2:13" ht="13.2">
      <c r="B5" s="1"/>
      <c r="C5" s="274"/>
      <c r="D5" s="1"/>
      <c r="E5" s="1"/>
      <c r="F5" s="1"/>
      <c r="G5" s="1"/>
      <c r="H5" s="1"/>
      <c r="I5" s="1"/>
      <c r="J5" s="1"/>
      <c r="K5" s="1"/>
      <c r="L5" s="275"/>
      <c r="M5" s="1"/>
    </row>
    <row r="6" spans="2:13" ht="13.2">
      <c r="B6" s="1"/>
      <c r="C6" s="274"/>
      <c r="D6" s="1"/>
      <c r="E6" s="1"/>
      <c r="F6" s="1"/>
      <c r="G6" s="1"/>
      <c r="H6" s="1"/>
      <c r="I6" s="1"/>
      <c r="J6" s="1"/>
      <c r="K6" s="1"/>
      <c r="L6" s="275"/>
      <c r="M6" s="1"/>
    </row>
    <row r="7" spans="2:13" ht="13.2">
      <c r="B7" s="1"/>
      <c r="C7" s="274"/>
      <c r="D7" s="1"/>
      <c r="E7" s="1"/>
      <c r="F7" s="1"/>
      <c r="G7" s="1"/>
      <c r="H7" s="1"/>
      <c r="I7" s="1"/>
      <c r="J7" s="1"/>
      <c r="K7" s="1"/>
      <c r="L7" s="275"/>
      <c r="M7" s="1"/>
    </row>
    <row r="8" spans="2:13" ht="13.2">
      <c r="B8" s="1"/>
      <c r="C8" s="274"/>
      <c r="D8" s="1"/>
      <c r="E8" s="1"/>
      <c r="F8" s="1"/>
      <c r="G8" s="1"/>
      <c r="H8" s="1"/>
      <c r="I8" s="1"/>
      <c r="J8" s="1"/>
      <c r="K8" s="1"/>
      <c r="L8" s="275"/>
      <c r="M8" s="1"/>
    </row>
    <row r="9" spans="2:13" ht="13.2">
      <c r="B9" s="1"/>
      <c r="C9" s="274"/>
      <c r="D9" s="1"/>
      <c r="E9" s="1"/>
      <c r="F9" s="1"/>
      <c r="G9" s="1"/>
      <c r="H9" s="1"/>
      <c r="I9" s="1"/>
      <c r="J9" s="1"/>
      <c r="K9" s="1"/>
      <c r="L9" s="275"/>
      <c r="M9" s="1"/>
    </row>
    <row r="10" spans="2:13" ht="13.2">
      <c r="B10" s="1"/>
      <c r="C10" s="274"/>
      <c r="D10" s="1"/>
      <c r="E10" s="1"/>
      <c r="F10" s="1"/>
      <c r="G10" s="1"/>
      <c r="H10" s="1"/>
      <c r="I10" s="1"/>
      <c r="J10" s="1"/>
      <c r="K10" s="1"/>
      <c r="L10" s="275"/>
      <c r="M10" s="1"/>
    </row>
    <row r="11" spans="2:13" ht="13.2">
      <c r="B11" s="1"/>
      <c r="C11" s="274"/>
      <c r="D11" s="1"/>
      <c r="E11" s="1"/>
      <c r="F11" s="1"/>
      <c r="G11" s="1"/>
      <c r="H11" s="1"/>
      <c r="I11" s="1"/>
      <c r="J11" s="1"/>
      <c r="K11" s="1"/>
      <c r="L11" s="275"/>
      <c r="M11" s="1"/>
    </row>
    <row r="12" spans="2:13" ht="13.2">
      <c r="B12" s="1"/>
      <c r="C12" s="274"/>
      <c r="D12" s="1"/>
      <c r="E12" s="1"/>
      <c r="F12" s="1"/>
      <c r="G12" s="1"/>
      <c r="H12" s="1"/>
      <c r="I12" s="1"/>
      <c r="J12" s="1"/>
      <c r="K12" s="1"/>
      <c r="L12" s="275"/>
      <c r="M12" s="1"/>
    </row>
    <row r="13" spans="2:13" ht="13.2">
      <c r="B13" s="1"/>
      <c r="C13" s="274"/>
      <c r="D13" s="1"/>
      <c r="E13" s="1"/>
      <c r="F13" s="1"/>
      <c r="G13" s="1"/>
      <c r="H13" s="1"/>
      <c r="I13" s="1"/>
      <c r="J13" s="1"/>
      <c r="K13" s="1"/>
      <c r="L13" s="275"/>
      <c r="M13" s="1"/>
    </row>
    <row r="14" spans="2:13" ht="13.2">
      <c r="B14" s="1"/>
      <c r="C14" s="274"/>
      <c r="D14" s="1"/>
      <c r="E14" s="1"/>
      <c r="F14" s="1"/>
      <c r="G14" s="1"/>
      <c r="H14" s="1"/>
      <c r="I14" s="1"/>
      <c r="J14" s="1"/>
      <c r="K14" s="1"/>
      <c r="L14" s="275"/>
      <c r="M14" s="1"/>
    </row>
    <row r="15" spans="2:13" ht="13.2">
      <c r="B15" s="1"/>
      <c r="C15" s="274"/>
      <c r="D15" s="1"/>
      <c r="E15" s="1"/>
      <c r="F15" s="1"/>
      <c r="G15" s="1"/>
      <c r="H15" s="1"/>
      <c r="I15" s="1"/>
      <c r="J15" s="1"/>
      <c r="K15" s="1"/>
      <c r="L15" s="275"/>
      <c r="M15" s="1"/>
    </row>
    <row r="16" spans="2:13" ht="13.2">
      <c r="B16" s="1"/>
      <c r="C16" s="274"/>
      <c r="D16" s="1"/>
      <c r="E16" s="1"/>
      <c r="F16" s="1"/>
      <c r="G16" s="1"/>
      <c r="H16" s="1"/>
      <c r="I16" s="1"/>
      <c r="J16" s="1"/>
      <c r="K16" s="1"/>
      <c r="L16" s="275"/>
      <c r="M16" s="1"/>
    </row>
    <row r="17" spans="2:13" ht="13.2">
      <c r="B17" s="1"/>
      <c r="C17" s="274"/>
      <c r="D17" s="1"/>
      <c r="E17" s="1"/>
      <c r="F17" s="1"/>
      <c r="G17" s="1"/>
      <c r="H17" s="1"/>
      <c r="I17" s="1"/>
      <c r="J17" s="1"/>
      <c r="K17" s="1"/>
      <c r="L17" s="275"/>
      <c r="M17" s="1"/>
    </row>
    <row r="18" spans="2:13" ht="13.2">
      <c r="B18" s="1"/>
      <c r="C18" s="274"/>
      <c r="D18" s="1"/>
      <c r="E18" s="1"/>
      <c r="F18" s="1"/>
      <c r="G18" s="1"/>
      <c r="H18" s="1"/>
      <c r="I18" s="1"/>
      <c r="J18" s="1"/>
      <c r="K18" s="1"/>
      <c r="L18" s="275"/>
      <c r="M18" s="1"/>
    </row>
    <row r="19" spans="2:13" ht="13.2">
      <c r="B19" s="1"/>
      <c r="C19" s="274"/>
      <c r="D19" s="1"/>
      <c r="E19" s="1"/>
      <c r="F19" s="1"/>
      <c r="G19" s="1"/>
      <c r="H19" s="1"/>
      <c r="I19" s="1"/>
      <c r="J19" s="1"/>
      <c r="K19" s="1"/>
      <c r="L19" s="275"/>
      <c r="M19" s="1"/>
    </row>
    <row r="20" spans="2:13" ht="13.2">
      <c r="B20" s="1"/>
      <c r="C20" s="274"/>
      <c r="D20" s="1"/>
      <c r="E20" s="1"/>
      <c r="F20" s="1"/>
      <c r="G20" s="1"/>
      <c r="H20" s="1"/>
      <c r="I20" s="1"/>
      <c r="J20" s="1"/>
      <c r="K20" s="1"/>
      <c r="L20" s="275"/>
      <c r="M20" s="1"/>
    </row>
    <row r="21" spans="2:13" ht="13.2">
      <c r="B21" s="1"/>
      <c r="C21" s="274"/>
      <c r="D21" s="1"/>
      <c r="E21" s="1"/>
      <c r="F21" s="1"/>
      <c r="G21" s="1"/>
      <c r="H21" s="1"/>
      <c r="I21" s="1"/>
      <c r="J21" s="1"/>
      <c r="K21" s="1"/>
      <c r="L21" s="275"/>
      <c r="M21" s="1"/>
    </row>
    <row r="22" spans="2:13" ht="13.2">
      <c r="B22" s="1"/>
      <c r="C22" s="274"/>
      <c r="D22" s="1"/>
      <c r="E22" s="1"/>
      <c r="F22" s="1"/>
      <c r="G22" s="1"/>
      <c r="H22" s="1"/>
      <c r="I22" s="1"/>
      <c r="J22" s="1"/>
      <c r="K22" s="1"/>
      <c r="L22" s="275"/>
      <c r="M22" s="1"/>
    </row>
    <row r="23" spans="2:13" ht="13.2">
      <c r="B23" s="1"/>
      <c r="C23" s="274"/>
      <c r="D23" s="1"/>
      <c r="E23" s="1"/>
      <c r="F23" s="1"/>
      <c r="G23" s="1"/>
      <c r="H23" s="1"/>
      <c r="I23" s="1"/>
      <c r="J23" s="1"/>
      <c r="K23" s="1"/>
      <c r="L23" s="275"/>
      <c r="M23" s="1"/>
    </row>
    <row r="24" spans="2:13" ht="13.2">
      <c r="B24" s="1"/>
      <c r="C24" s="274"/>
      <c r="D24" s="1"/>
      <c r="E24" s="1"/>
      <c r="F24" s="1"/>
      <c r="G24" s="1"/>
      <c r="H24" s="1"/>
      <c r="I24" s="1"/>
      <c r="J24" s="1"/>
      <c r="K24" s="1"/>
      <c r="L24" s="275"/>
      <c r="M24" s="1"/>
    </row>
    <row r="25" spans="2:13" ht="13.2">
      <c r="B25" s="1"/>
      <c r="C25" s="274"/>
      <c r="D25" s="1"/>
      <c r="E25" s="1"/>
      <c r="F25" s="1"/>
      <c r="G25" s="1"/>
      <c r="H25" s="1"/>
      <c r="I25" s="1"/>
      <c r="J25" s="1"/>
      <c r="K25" s="1"/>
      <c r="L25" s="275"/>
      <c r="M25" s="1"/>
    </row>
    <row r="26" spans="2:13" ht="13.2">
      <c r="B26" s="1"/>
      <c r="C26" s="274"/>
      <c r="D26" s="1"/>
      <c r="E26" s="1"/>
      <c r="F26" s="1"/>
      <c r="G26" s="1"/>
      <c r="H26" s="1"/>
      <c r="I26" s="1"/>
      <c r="J26" s="1"/>
      <c r="K26" s="1"/>
      <c r="L26" s="275"/>
      <c r="M26" s="1"/>
    </row>
    <row r="27" spans="2:13" ht="13.2">
      <c r="B27" s="1"/>
      <c r="C27" s="274"/>
      <c r="D27" s="1"/>
      <c r="E27" s="1"/>
      <c r="F27" s="1"/>
      <c r="G27" s="1"/>
      <c r="H27" s="1"/>
      <c r="I27" s="1"/>
      <c r="J27" s="1"/>
      <c r="K27" s="1"/>
      <c r="L27" s="275"/>
      <c r="M27" s="1"/>
    </row>
    <row r="28" spans="2:13" ht="13.2">
      <c r="B28" s="1"/>
      <c r="C28" s="274"/>
      <c r="D28" s="1"/>
      <c r="E28" s="1"/>
      <c r="F28" s="1"/>
      <c r="G28" s="1"/>
      <c r="H28" s="1"/>
      <c r="I28" s="1"/>
      <c r="J28" s="1"/>
      <c r="K28" s="1"/>
      <c r="L28" s="275"/>
      <c r="M28" s="1"/>
    </row>
    <row r="29" spans="2:13" ht="13.2">
      <c r="B29" s="1"/>
      <c r="C29" s="274"/>
      <c r="D29" s="1"/>
      <c r="E29" s="1"/>
      <c r="F29" s="1"/>
      <c r="G29" s="1"/>
      <c r="H29" s="1"/>
      <c r="I29" s="1"/>
      <c r="J29" s="1"/>
      <c r="K29" s="1"/>
      <c r="L29" s="275"/>
      <c r="M29" s="1"/>
    </row>
    <row r="30" spans="2:13" ht="13.2">
      <c r="B30" s="1"/>
      <c r="C30" s="274"/>
      <c r="D30" s="1"/>
      <c r="E30" s="1"/>
      <c r="F30" s="1"/>
      <c r="G30" s="1"/>
      <c r="H30" s="1"/>
      <c r="I30" s="1"/>
      <c r="J30" s="1"/>
      <c r="K30" s="1"/>
      <c r="L30" s="275"/>
      <c r="M30" s="1"/>
    </row>
    <row r="31" spans="2:13" ht="13.8" thickBot="1">
      <c r="B31" s="1"/>
      <c r="C31" s="274"/>
      <c r="D31" s="1"/>
      <c r="E31" s="1"/>
      <c r="F31" s="1"/>
      <c r="G31" s="1"/>
      <c r="H31" s="1"/>
      <c r="I31" s="1"/>
      <c r="J31" s="1"/>
      <c r="K31" s="1"/>
      <c r="L31" s="275"/>
      <c r="M31" s="1"/>
    </row>
    <row r="32" spans="2:13" ht="13.8" thickTop="1">
      <c r="B32" s="1"/>
      <c r="C32" s="274"/>
      <c r="D32" s="2280"/>
      <c r="E32" s="2281"/>
      <c r="F32" s="2281"/>
      <c r="G32" s="2281"/>
      <c r="H32" s="2281"/>
      <c r="I32" s="2281"/>
      <c r="J32" s="2281"/>
      <c r="K32" s="2282"/>
      <c r="L32" s="275"/>
      <c r="M32" s="1"/>
    </row>
    <row r="33" spans="2:13" ht="13.2">
      <c r="B33" s="1"/>
      <c r="C33" s="274"/>
      <c r="D33" s="2283"/>
      <c r="E33" s="2284"/>
      <c r="F33" s="2284"/>
      <c r="G33" s="2284"/>
      <c r="H33" s="2284"/>
      <c r="I33" s="2284"/>
      <c r="J33" s="2284"/>
      <c r="K33" s="2285"/>
      <c r="L33" s="275"/>
      <c r="M33" s="1"/>
    </row>
    <row r="34" spans="2:13" ht="13.2">
      <c r="B34" s="1"/>
      <c r="C34" s="274"/>
      <c r="D34" s="2283"/>
      <c r="E34" s="2284"/>
      <c r="F34" s="2284"/>
      <c r="G34" s="2284"/>
      <c r="H34" s="2284"/>
      <c r="I34" s="2284"/>
      <c r="J34" s="2284"/>
      <c r="K34" s="2285"/>
      <c r="L34" s="275"/>
      <c r="M34" s="1"/>
    </row>
    <row r="35" spans="2:13" ht="13.2">
      <c r="B35" s="1"/>
      <c r="C35" s="274"/>
      <c r="D35" s="2283"/>
      <c r="E35" s="2284"/>
      <c r="F35" s="2284"/>
      <c r="G35" s="2284"/>
      <c r="H35" s="2284"/>
      <c r="I35" s="2284"/>
      <c r="J35" s="2284"/>
      <c r="K35" s="2285"/>
      <c r="L35" s="275"/>
      <c r="M35" s="1"/>
    </row>
    <row r="36" spans="2:13" ht="13.2">
      <c r="B36" s="1"/>
      <c r="C36" s="274"/>
      <c r="D36" s="2283"/>
      <c r="E36" s="2284"/>
      <c r="F36" s="2284"/>
      <c r="G36" s="2284"/>
      <c r="H36" s="2284"/>
      <c r="I36" s="2284"/>
      <c r="J36" s="2284"/>
      <c r="K36" s="2285"/>
      <c r="L36" s="275"/>
      <c r="M36" s="1"/>
    </row>
    <row r="37" spans="2:13" ht="13.2">
      <c r="B37" s="1"/>
      <c r="C37" s="274"/>
      <c r="D37" s="274"/>
      <c r="E37" s="1"/>
      <c r="F37" s="1"/>
      <c r="G37" s="1"/>
      <c r="H37" s="1"/>
      <c r="I37" s="1"/>
      <c r="J37" s="1"/>
      <c r="K37" s="275"/>
      <c r="L37" s="275"/>
      <c r="M37" s="1"/>
    </row>
    <row r="38" spans="2:13" ht="12.75" customHeight="1">
      <c r="B38" s="1"/>
      <c r="C38" s="274"/>
      <c r="D38" s="2283"/>
      <c r="E38" s="2284"/>
      <c r="F38" s="2284"/>
      <c r="G38" s="2284"/>
      <c r="H38" s="2284"/>
      <c r="I38" s="2284"/>
      <c r="J38" s="2284"/>
      <c r="K38" s="2285"/>
      <c r="L38" s="275"/>
      <c r="M38" s="1"/>
    </row>
    <row r="39" spans="2:13" ht="12.75" customHeight="1">
      <c r="B39" s="1"/>
      <c r="C39" s="274"/>
      <c r="D39" s="2283"/>
      <c r="E39" s="2284"/>
      <c r="F39" s="2284"/>
      <c r="G39" s="2284"/>
      <c r="H39" s="2284"/>
      <c r="I39" s="2284"/>
      <c r="J39" s="2284"/>
      <c r="K39" s="2285"/>
      <c r="L39" s="275"/>
      <c r="M39" s="1"/>
    </row>
    <row r="40" spans="2:13" ht="13.2">
      <c r="B40" s="1"/>
      <c r="C40" s="274"/>
      <c r="D40" s="274"/>
      <c r="E40" s="1"/>
      <c r="F40" s="1"/>
      <c r="G40" s="1"/>
      <c r="H40" s="1"/>
      <c r="I40" s="1"/>
      <c r="J40" s="1"/>
      <c r="K40" s="275"/>
      <c r="L40" s="275"/>
      <c r="M40" s="1"/>
    </row>
    <row r="41" spans="2:13" ht="13.2">
      <c r="B41" s="1"/>
      <c r="C41" s="274"/>
      <c r="D41" s="274"/>
      <c r="E41" s="1"/>
      <c r="F41" s="1"/>
      <c r="G41" s="1"/>
      <c r="H41" s="1"/>
      <c r="I41" s="1"/>
      <c r="J41" s="1"/>
      <c r="K41" s="275"/>
      <c r="L41" s="275"/>
      <c r="M41" s="1"/>
    </row>
    <row r="42" spans="2:13" ht="13.8" thickBot="1">
      <c r="B42" s="1"/>
      <c r="C42" s="274"/>
      <c r="D42" s="276"/>
      <c r="E42" s="277"/>
      <c r="F42" s="277"/>
      <c r="G42" s="277"/>
      <c r="H42" s="277"/>
      <c r="I42" s="277"/>
      <c r="J42" s="277"/>
      <c r="K42" s="278"/>
      <c r="L42" s="275"/>
      <c r="M42" s="1"/>
    </row>
    <row r="43" spans="2:13" ht="13.8" thickTop="1">
      <c r="B43" s="1"/>
      <c r="C43" s="274"/>
      <c r="D43" s="1"/>
      <c r="E43" s="1"/>
      <c r="F43" s="1"/>
      <c r="G43" s="1"/>
      <c r="H43" s="1"/>
      <c r="I43" s="1"/>
      <c r="J43" s="1"/>
      <c r="K43" s="1"/>
      <c r="L43" s="275"/>
      <c r="M43" s="1"/>
    </row>
    <row r="44" spans="2:13" ht="13.2">
      <c r="B44" s="1"/>
      <c r="C44" s="274"/>
      <c r="D44" s="1"/>
      <c r="E44" s="1"/>
      <c r="F44" s="1"/>
      <c r="G44" s="1"/>
      <c r="H44" s="1"/>
      <c r="I44" s="1"/>
      <c r="J44" s="1"/>
      <c r="K44" s="1"/>
      <c r="L44" s="275"/>
      <c r="M44" s="1"/>
    </row>
    <row r="45" spans="2:13" ht="13.2">
      <c r="B45" s="1"/>
      <c r="C45" s="274"/>
      <c r="D45" s="1"/>
      <c r="E45" s="1"/>
      <c r="F45" s="1"/>
      <c r="G45" s="1"/>
      <c r="H45" s="1"/>
      <c r="I45" s="1"/>
      <c r="J45" s="1"/>
      <c r="K45" s="1"/>
      <c r="L45" s="275"/>
      <c r="M45" s="1"/>
    </row>
    <row r="46" spans="2:13" ht="13.2">
      <c r="B46" s="1"/>
      <c r="C46" s="274"/>
      <c r="D46" s="1"/>
      <c r="E46" s="1"/>
      <c r="F46" s="1"/>
      <c r="G46" s="1"/>
      <c r="H46" s="1"/>
      <c r="I46" s="1"/>
      <c r="J46" s="1"/>
      <c r="K46" s="1"/>
      <c r="L46" s="275"/>
      <c r="M46" s="1"/>
    </row>
    <row r="47" spans="2:13" ht="13.2">
      <c r="B47" s="1"/>
      <c r="C47" s="274"/>
      <c r="D47" s="1"/>
      <c r="E47" s="1"/>
      <c r="F47" s="1"/>
      <c r="G47" s="1"/>
      <c r="H47" s="1"/>
      <c r="I47" s="1"/>
      <c r="J47" s="1"/>
      <c r="K47" s="1"/>
      <c r="L47" s="275"/>
      <c r="M47" s="1"/>
    </row>
    <row r="48" spans="2:13" ht="13.2">
      <c r="B48" s="1"/>
      <c r="C48" s="274"/>
      <c r="D48" s="1"/>
      <c r="E48" s="1"/>
      <c r="F48" s="1"/>
      <c r="G48" s="1"/>
      <c r="H48" s="1"/>
      <c r="I48" s="1"/>
      <c r="J48" s="1"/>
      <c r="K48" s="1"/>
      <c r="L48" s="275"/>
      <c r="M48" s="1"/>
    </row>
    <row r="49" spans="2:13" ht="13.2">
      <c r="B49" s="1"/>
      <c r="C49" s="274"/>
      <c r="D49" s="1"/>
      <c r="E49" s="1"/>
      <c r="F49" s="1"/>
      <c r="G49" s="1"/>
      <c r="H49" s="1"/>
      <c r="I49" s="1"/>
      <c r="J49" s="1"/>
      <c r="K49" s="1"/>
      <c r="L49" s="275"/>
      <c r="M49" s="1"/>
    </row>
    <row r="50" spans="2:13" ht="13.8" thickBot="1">
      <c r="B50" s="1"/>
      <c r="C50" s="274"/>
      <c r="D50" s="1"/>
      <c r="E50" s="1"/>
      <c r="F50" s="1"/>
      <c r="G50" s="1"/>
      <c r="H50" s="1"/>
      <c r="I50" s="1"/>
      <c r="J50" s="1"/>
      <c r="K50" s="1"/>
      <c r="L50" s="275"/>
      <c r="M50" s="1"/>
    </row>
    <row r="51" spans="2:13" ht="22.2" thickTop="1" thickBot="1">
      <c r="B51" s="1"/>
      <c r="C51" s="274"/>
      <c r="D51" s="1"/>
      <c r="E51" s="2286">
        <f ca="1">TODAY()</f>
        <v>45250</v>
      </c>
      <c r="F51" s="2287"/>
      <c r="G51" s="2287"/>
      <c r="H51" s="2287"/>
      <c r="I51" s="2288"/>
      <c r="J51" s="280"/>
      <c r="K51" s="1"/>
      <c r="L51" s="275"/>
      <c r="M51" s="1"/>
    </row>
    <row r="52" spans="2:13" ht="13.8" thickTop="1">
      <c r="B52" s="1"/>
      <c r="C52" s="274"/>
      <c r="D52" s="1"/>
      <c r="E52" s="1"/>
      <c r="F52" s="1"/>
      <c r="G52" s="1"/>
      <c r="H52" s="1"/>
      <c r="I52" s="1"/>
      <c r="J52" s="1"/>
      <c r="K52" s="1"/>
      <c r="L52" s="275"/>
      <c r="M52" s="1"/>
    </row>
    <row r="53" spans="2:13" ht="13.8" thickBot="1">
      <c r="B53" s="1"/>
      <c r="C53" s="276"/>
      <c r="D53" s="277"/>
      <c r="E53" s="277"/>
      <c r="F53" s="277"/>
      <c r="G53" s="277"/>
      <c r="H53" s="277"/>
      <c r="I53" s="277"/>
      <c r="J53" s="277"/>
      <c r="K53" s="277"/>
      <c r="L53" s="278"/>
      <c r="M53" s="1"/>
    </row>
    <row r="54" spans="2:13" ht="13.8" hidden="1" thickTop="1"/>
    <row r="55" spans="2:13" ht="13.8" hidden="1" thickTop="1"/>
    <row r="56" spans="2:13" ht="13.8" hidden="1" thickTop="1"/>
    <row r="57" spans="2:13" ht="13.8" hidden="1" thickTop="1"/>
    <row r="58" spans="2:13" ht="13.8" hidden="1" thickTop="1"/>
    <row r="59" spans="2:13" ht="13.8" hidden="1" thickTop="1"/>
  </sheetData>
  <mergeCells count="3">
    <mergeCell ref="D32:K36"/>
    <mergeCell ref="D38:K39"/>
    <mergeCell ref="E51:I51"/>
  </mergeCells>
  <printOptions horizontalCentered="1" verticalCentered="1"/>
  <pageMargins left="0.70866141732283472" right="0.9055118110236221" top="0.74803149606299213" bottom="0.74803149606299213" header="0.31496062992125984" footer="0.31496062992125984"/>
  <pageSetup paperSize="9" scale="61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8187-2BD4-4B2B-BB9F-06CBE5F6ED9A}">
  <dimension ref="A1:I118"/>
  <sheetViews>
    <sheetView zoomScaleNormal="100" workbookViewId="0">
      <selection activeCell="J14" sqref="J14"/>
    </sheetView>
  </sheetViews>
  <sheetFormatPr defaultRowHeight="13.2"/>
  <cols>
    <col min="9" max="9" width="16" customWidth="1"/>
  </cols>
  <sheetData>
    <row r="1" spans="1:9">
      <c r="A1" s="2289" t="s">
        <v>620</v>
      </c>
      <c r="B1" s="2290"/>
      <c r="C1" s="2290"/>
      <c r="D1" s="2290"/>
      <c r="E1" s="2290"/>
      <c r="F1" s="2290"/>
      <c r="G1" s="2290"/>
      <c r="H1" s="2290"/>
      <c r="I1" s="2290"/>
    </row>
    <row r="2" spans="1:9">
      <c r="A2" s="2290"/>
      <c r="B2" s="2290"/>
      <c r="C2" s="2290"/>
      <c r="D2" s="2290"/>
      <c r="E2" s="2290"/>
      <c r="F2" s="2290"/>
      <c r="G2" s="2290"/>
      <c r="H2" s="2290"/>
      <c r="I2" s="2290"/>
    </row>
    <row r="3" spans="1:9">
      <c r="A3" s="2290"/>
      <c r="B3" s="2290"/>
      <c r="C3" s="2290"/>
      <c r="D3" s="2290"/>
      <c r="E3" s="2290"/>
      <c r="F3" s="2290"/>
      <c r="G3" s="2290"/>
      <c r="H3" s="2290"/>
      <c r="I3" s="2290"/>
    </row>
    <row r="4" spans="1:9">
      <c r="A4" s="2290"/>
      <c r="B4" s="2290"/>
      <c r="C4" s="2290"/>
      <c r="D4" s="2290"/>
      <c r="E4" s="2290"/>
      <c r="F4" s="2290"/>
      <c r="G4" s="2290"/>
      <c r="H4" s="2290"/>
      <c r="I4" s="2290"/>
    </row>
    <row r="5" spans="1:9">
      <c r="A5" s="2290"/>
      <c r="B5" s="2290"/>
      <c r="C5" s="2290"/>
      <c r="D5" s="2290"/>
      <c r="E5" s="2290"/>
      <c r="F5" s="2290"/>
      <c r="G5" s="2290"/>
      <c r="H5" s="2290"/>
      <c r="I5" s="2290"/>
    </row>
    <row r="6" spans="1:9">
      <c r="A6" s="2290"/>
      <c r="B6" s="2290"/>
      <c r="C6" s="2290"/>
      <c r="D6" s="2290"/>
      <c r="E6" s="2290"/>
      <c r="F6" s="2290"/>
      <c r="G6" s="2290"/>
      <c r="H6" s="2290"/>
      <c r="I6" s="2290"/>
    </row>
    <row r="7" spans="1:9">
      <c r="A7" s="2290"/>
      <c r="B7" s="2290"/>
      <c r="C7" s="2290"/>
      <c r="D7" s="2290"/>
      <c r="E7" s="2290"/>
      <c r="F7" s="2290"/>
      <c r="G7" s="2290"/>
      <c r="H7" s="2290"/>
      <c r="I7" s="2290"/>
    </row>
    <row r="8" spans="1:9">
      <c r="A8" s="2290"/>
      <c r="B8" s="2290"/>
      <c r="C8" s="2290"/>
      <c r="D8" s="2290"/>
      <c r="E8" s="2290"/>
      <c r="F8" s="2290"/>
      <c r="G8" s="2290"/>
      <c r="H8" s="2290"/>
      <c r="I8" s="2290"/>
    </row>
    <row r="9" spans="1:9">
      <c r="A9" s="2290"/>
      <c r="B9" s="2290"/>
      <c r="C9" s="2290"/>
      <c r="D9" s="2290"/>
      <c r="E9" s="2290"/>
      <c r="F9" s="2290"/>
      <c r="G9" s="2290"/>
      <c r="H9" s="2290"/>
      <c r="I9" s="2290"/>
    </row>
    <row r="10" spans="1:9">
      <c r="A10" s="2290"/>
      <c r="B10" s="2290"/>
      <c r="C10" s="2290"/>
      <c r="D10" s="2290"/>
      <c r="E10" s="2290"/>
      <c r="F10" s="2290"/>
      <c r="G10" s="2290"/>
      <c r="H10" s="2290"/>
      <c r="I10" s="2290"/>
    </row>
    <row r="11" spans="1:9">
      <c r="A11" s="2290"/>
      <c r="B11" s="2290"/>
      <c r="C11" s="2290"/>
      <c r="D11" s="2290"/>
      <c r="E11" s="2290"/>
      <c r="F11" s="2290"/>
      <c r="G11" s="2290"/>
      <c r="H11" s="2290"/>
      <c r="I11" s="2290"/>
    </row>
    <row r="12" spans="1:9">
      <c r="A12" s="2290"/>
      <c r="B12" s="2290"/>
      <c r="C12" s="2290"/>
      <c r="D12" s="2290"/>
      <c r="E12" s="2290"/>
      <c r="F12" s="2290"/>
      <c r="G12" s="2290"/>
      <c r="H12" s="2290"/>
      <c r="I12" s="2290"/>
    </row>
    <row r="13" spans="1:9">
      <c r="A13" s="2290"/>
      <c r="B13" s="2290"/>
      <c r="C13" s="2290"/>
      <c r="D13" s="2290"/>
      <c r="E13" s="2290"/>
      <c r="F13" s="2290"/>
      <c r="G13" s="2290"/>
      <c r="H13" s="2290"/>
      <c r="I13" s="2290"/>
    </row>
    <row r="14" spans="1:9">
      <c r="A14" s="2290"/>
      <c r="B14" s="2290"/>
      <c r="C14" s="2290"/>
      <c r="D14" s="2290"/>
      <c r="E14" s="2290"/>
      <c r="F14" s="2290"/>
      <c r="G14" s="2290"/>
      <c r="H14" s="2290"/>
      <c r="I14" s="2290"/>
    </row>
    <row r="15" spans="1:9">
      <c r="A15" s="2290"/>
      <c r="B15" s="2290"/>
      <c r="C15" s="2290"/>
      <c r="D15" s="2290"/>
      <c r="E15" s="2290"/>
      <c r="F15" s="2290"/>
      <c r="G15" s="2290"/>
      <c r="H15" s="2290"/>
      <c r="I15" s="2290"/>
    </row>
    <row r="16" spans="1:9">
      <c r="A16" s="2290"/>
      <c r="B16" s="2290"/>
      <c r="C16" s="2290"/>
      <c r="D16" s="2290"/>
      <c r="E16" s="2290"/>
      <c r="F16" s="2290"/>
      <c r="G16" s="2290"/>
      <c r="H16" s="2290"/>
      <c r="I16" s="2290"/>
    </row>
    <row r="17" spans="1:9">
      <c r="A17" s="2290"/>
      <c r="B17" s="2290"/>
      <c r="C17" s="2290"/>
      <c r="D17" s="2290"/>
      <c r="E17" s="2290"/>
      <c r="F17" s="2290"/>
      <c r="G17" s="2290"/>
      <c r="H17" s="2290"/>
      <c r="I17" s="2290"/>
    </row>
    <row r="18" spans="1:9">
      <c r="A18" s="2290"/>
      <c r="B18" s="2290"/>
      <c r="C18" s="2290"/>
      <c r="D18" s="2290"/>
      <c r="E18" s="2290"/>
      <c r="F18" s="2290"/>
      <c r="G18" s="2290"/>
      <c r="H18" s="2290"/>
      <c r="I18" s="2290"/>
    </row>
    <row r="19" spans="1:9">
      <c r="A19" s="2290"/>
      <c r="B19" s="2290"/>
      <c r="C19" s="2290"/>
      <c r="D19" s="2290"/>
      <c r="E19" s="2290"/>
      <c r="F19" s="2290"/>
      <c r="G19" s="2290"/>
      <c r="H19" s="2290"/>
      <c r="I19" s="2290"/>
    </row>
    <row r="20" spans="1:9">
      <c r="A20" s="2290"/>
      <c r="B20" s="2290"/>
      <c r="C20" s="2290"/>
      <c r="D20" s="2290"/>
      <c r="E20" s="2290"/>
      <c r="F20" s="2290"/>
      <c r="G20" s="2290"/>
      <c r="H20" s="2290"/>
      <c r="I20" s="2290"/>
    </row>
    <row r="21" spans="1:9">
      <c r="A21" s="2290"/>
      <c r="B21" s="2290"/>
      <c r="C21" s="2290"/>
      <c r="D21" s="2290"/>
      <c r="E21" s="2290"/>
      <c r="F21" s="2290"/>
      <c r="G21" s="2290"/>
      <c r="H21" s="2290"/>
      <c r="I21" s="2290"/>
    </row>
    <row r="22" spans="1:9">
      <c r="A22" s="2290"/>
      <c r="B22" s="2290"/>
      <c r="C22" s="2290"/>
      <c r="D22" s="2290"/>
      <c r="E22" s="2290"/>
      <c r="F22" s="2290"/>
      <c r="G22" s="2290"/>
      <c r="H22" s="2290"/>
      <c r="I22" s="2290"/>
    </row>
    <row r="23" spans="1:9">
      <c r="A23" s="2290"/>
      <c r="B23" s="2290"/>
      <c r="C23" s="2290"/>
      <c r="D23" s="2290"/>
      <c r="E23" s="2290"/>
      <c r="F23" s="2290"/>
      <c r="G23" s="2290"/>
      <c r="H23" s="2290"/>
      <c r="I23" s="2290"/>
    </row>
    <row r="24" spans="1:9">
      <c r="A24" s="2290"/>
      <c r="B24" s="2290"/>
      <c r="C24" s="2290"/>
      <c r="D24" s="2290"/>
      <c r="E24" s="2290"/>
      <c r="F24" s="2290"/>
      <c r="G24" s="2290"/>
      <c r="H24" s="2290"/>
      <c r="I24" s="2290"/>
    </row>
    <row r="25" spans="1:9">
      <c r="A25" s="2290"/>
      <c r="B25" s="2290"/>
      <c r="C25" s="2290"/>
      <c r="D25" s="2290"/>
      <c r="E25" s="2290"/>
      <c r="F25" s="2290"/>
      <c r="G25" s="2290"/>
      <c r="H25" s="2290"/>
      <c r="I25" s="2290"/>
    </row>
    <row r="26" spans="1:9">
      <c r="A26" s="2290"/>
      <c r="B26" s="2290"/>
      <c r="C26" s="2290"/>
      <c r="D26" s="2290"/>
      <c r="E26" s="2290"/>
      <c r="F26" s="2290"/>
      <c r="G26" s="2290"/>
      <c r="H26" s="2290"/>
      <c r="I26" s="2290"/>
    </row>
    <row r="27" spans="1:9">
      <c r="A27" s="2290"/>
      <c r="B27" s="2290"/>
      <c r="C27" s="2290"/>
      <c r="D27" s="2290"/>
      <c r="E27" s="2290"/>
      <c r="F27" s="2290"/>
      <c r="G27" s="2290"/>
      <c r="H27" s="2290"/>
      <c r="I27" s="2290"/>
    </row>
    <row r="28" spans="1:9">
      <c r="A28" s="2290"/>
      <c r="B28" s="2290"/>
      <c r="C28" s="2290"/>
      <c r="D28" s="2290"/>
      <c r="E28" s="2290"/>
      <c r="F28" s="2290"/>
      <c r="G28" s="2290"/>
      <c r="H28" s="2290"/>
      <c r="I28" s="2290"/>
    </row>
    <row r="29" spans="1:9">
      <c r="A29" s="2290"/>
      <c r="B29" s="2290"/>
      <c r="C29" s="2290"/>
      <c r="D29" s="2290"/>
      <c r="E29" s="2290"/>
      <c r="F29" s="2290"/>
      <c r="G29" s="2290"/>
      <c r="H29" s="2290"/>
      <c r="I29" s="2290"/>
    </row>
    <row r="30" spans="1:9">
      <c r="A30" s="2290"/>
      <c r="B30" s="2290"/>
      <c r="C30" s="2290"/>
      <c r="D30" s="2290"/>
      <c r="E30" s="2290"/>
      <c r="F30" s="2290"/>
      <c r="G30" s="2290"/>
      <c r="H30" s="2290"/>
      <c r="I30" s="2290"/>
    </row>
    <row r="31" spans="1:9">
      <c r="A31" s="2290"/>
      <c r="B31" s="2290"/>
      <c r="C31" s="2290"/>
      <c r="D31" s="2290"/>
      <c r="E31" s="2290"/>
      <c r="F31" s="2290"/>
      <c r="G31" s="2290"/>
      <c r="H31" s="2290"/>
      <c r="I31" s="2290"/>
    </row>
    <row r="32" spans="1:9">
      <c r="A32" s="2290"/>
      <c r="B32" s="2290"/>
      <c r="C32" s="2290"/>
      <c r="D32" s="2290"/>
      <c r="E32" s="2290"/>
      <c r="F32" s="2290"/>
      <c r="G32" s="2290"/>
      <c r="H32" s="2290"/>
      <c r="I32" s="2290"/>
    </row>
    <row r="33" spans="1:9">
      <c r="A33" s="2290"/>
      <c r="B33" s="2290"/>
      <c r="C33" s="2290"/>
      <c r="D33" s="2290"/>
      <c r="E33" s="2290"/>
      <c r="F33" s="2290"/>
      <c r="G33" s="2290"/>
      <c r="H33" s="2290"/>
      <c r="I33" s="2290"/>
    </row>
    <row r="34" spans="1:9">
      <c r="A34" s="2290"/>
      <c r="B34" s="2290"/>
      <c r="C34" s="2290"/>
      <c r="D34" s="2290"/>
      <c r="E34" s="2290"/>
      <c r="F34" s="2290"/>
      <c r="G34" s="2290"/>
      <c r="H34" s="2290"/>
      <c r="I34" s="2290"/>
    </row>
    <row r="35" spans="1:9">
      <c r="A35" s="2290"/>
      <c r="B35" s="2290"/>
      <c r="C35" s="2290"/>
      <c r="D35" s="2290"/>
      <c r="E35" s="2290"/>
      <c r="F35" s="2290"/>
      <c r="G35" s="2290"/>
      <c r="H35" s="2290"/>
      <c r="I35" s="2290"/>
    </row>
    <row r="36" spans="1:9">
      <c r="A36" s="2290"/>
      <c r="B36" s="2290"/>
      <c r="C36" s="2290"/>
      <c r="D36" s="2290"/>
      <c r="E36" s="2290"/>
      <c r="F36" s="2290"/>
      <c r="G36" s="2290"/>
      <c r="H36" s="2290"/>
      <c r="I36" s="2290"/>
    </row>
    <row r="37" spans="1:9">
      <c r="A37" s="2290"/>
      <c r="B37" s="2290"/>
      <c r="C37" s="2290"/>
      <c r="D37" s="2290"/>
      <c r="E37" s="2290"/>
      <c r="F37" s="2290"/>
      <c r="G37" s="2290"/>
      <c r="H37" s="2290"/>
      <c r="I37" s="2290"/>
    </row>
    <row r="38" spans="1:9">
      <c r="A38" s="2290"/>
      <c r="B38" s="2290"/>
      <c r="C38" s="2290"/>
      <c r="D38" s="2290"/>
      <c r="E38" s="2290"/>
      <c r="F38" s="2290"/>
      <c r="G38" s="2290"/>
      <c r="H38" s="2290"/>
      <c r="I38" s="2290"/>
    </row>
    <row r="39" spans="1:9">
      <c r="A39" s="2290"/>
      <c r="B39" s="2290"/>
      <c r="C39" s="2290"/>
      <c r="D39" s="2290"/>
      <c r="E39" s="2290"/>
      <c r="F39" s="2290"/>
      <c r="G39" s="2290"/>
      <c r="H39" s="2290"/>
      <c r="I39" s="2290"/>
    </row>
    <row r="40" spans="1:9">
      <c r="A40" s="2290"/>
      <c r="B40" s="2290"/>
      <c r="C40" s="2290"/>
      <c r="D40" s="2290"/>
      <c r="E40" s="2290"/>
      <c r="F40" s="2290"/>
      <c r="G40" s="2290"/>
      <c r="H40" s="2290"/>
      <c r="I40" s="2290"/>
    </row>
    <row r="41" spans="1:9">
      <c r="A41" s="2290"/>
      <c r="B41" s="2290"/>
      <c r="C41" s="2290"/>
      <c r="D41" s="2290"/>
      <c r="E41" s="2290"/>
      <c r="F41" s="2290"/>
      <c r="G41" s="2290"/>
      <c r="H41" s="2290"/>
      <c r="I41" s="2290"/>
    </row>
    <row r="42" spans="1:9">
      <c r="A42" s="2290"/>
      <c r="B42" s="2290"/>
      <c r="C42" s="2290"/>
      <c r="D42" s="2290"/>
      <c r="E42" s="2290"/>
      <c r="F42" s="2290"/>
      <c r="G42" s="2290"/>
      <c r="H42" s="2290"/>
      <c r="I42" s="2290"/>
    </row>
    <row r="43" spans="1:9">
      <c r="A43" s="2290"/>
      <c r="B43" s="2290"/>
      <c r="C43" s="2290"/>
      <c r="D43" s="2290"/>
      <c r="E43" s="2290"/>
      <c r="F43" s="2290"/>
      <c r="G43" s="2290"/>
      <c r="H43" s="2290"/>
      <c r="I43" s="2290"/>
    </row>
    <row r="44" spans="1:9">
      <c r="A44" s="2290"/>
      <c r="B44" s="2290"/>
      <c r="C44" s="2290"/>
      <c r="D44" s="2290"/>
      <c r="E44" s="2290"/>
      <c r="F44" s="2290"/>
      <c r="G44" s="2290"/>
      <c r="H44" s="2290"/>
      <c r="I44" s="2290"/>
    </row>
    <row r="45" spans="1:9">
      <c r="A45" s="2290"/>
      <c r="B45" s="2290"/>
      <c r="C45" s="2290"/>
      <c r="D45" s="2290"/>
      <c r="E45" s="2290"/>
      <c r="F45" s="2290"/>
      <c r="G45" s="2290"/>
      <c r="H45" s="2290"/>
      <c r="I45" s="2290"/>
    </row>
    <row r="46" spans="1:9">
      <c r="A46" s="2290"/>
      <c r="B46" s="2290"/>
      <c r="C46" s="2290"/>
      <c r="D46" s="2290"/>
      <c r="E46" s="2290"/>
      <c r="F46" s="2290"/>
      <c r="G46" s="2290"/>
      <c r="H46" s="2290"/>
      <c r="I46" s="2290"/>
    </row>
    <row r="47" spans="1:9">
      <c r="A47" s="2290"/>
      <c r="B47" s="2290"/>
      <c r="C47" s="2290"/>
      <c r="D47" s="2290"/>
      <c r="E47" s="2290"/>
      <c r="F47" s="2290"/>
      <c r="G47" s="2290"/>
      <c r="H47" s="2290"/>
      <c r="I47" s="2290"/>
    </row>
    <row r="48" spans="1:9">
      <c r="A48" s="2290"/>
      <c r="B48" s="2290"/>
      <c r="C48" s="2290"/>
      <c r="D48" s="2290"/>
      <c r="E48" s="2290"/>
      <c r="F48" s="2290"/>
      <c r="G48" s="2290"/>
      <c r="H48" s="2290"/>
      <c r="I48" s="2290"/>
    </row>
    <row r="49" spans="1:9">
      <c r="A49" s="2290"/>
      <c r="B49" s="2290"/>
      <c r="C49" s="2290"/>
      <c r="D49" s="2290"/>
      <c r="E49" s="2290"/>
      <c r="F49" s="2290"/>
      <c r="G49" s="2290"/>
      <c r="H49" s="2290"/>
      <c r="I49" s="2290"/>
    </row>
    <row r="50" spans="1:9">
      <c r="A50" s="2290"/>
      <c r="B50" s="2290"/>
      <c r="C50" s="2290"/>
      <c r="D50" s="2290"/>
      <c r="E50" s="2290"/>
      <c r="F50" s="2290"/>
      <c r="G50" s="2290"/>
      <c r="H50" s="2290"/>
      <c r="I50" s="2290"/>
    </row>
    <row r="51" spans="1:9">
      <c r="A51" s="2290"/>
      <c r="B51" s="2290"/>
      <c r="C51" s="2290"/>
      <c r="D51" s="2290"/>
      <c r="E51" s="2290"/>
      <c r="F51" s="2290"/>
      <c r="G51" s="2290"/>
      <c r="H51" s="2290"/>
      <c r="I51" s="2290"/>
    </row>
    <row r="52" spans="1:9">
      <c r="A52" s="2290"/>
      <c r="B52" s="2290"/>
      <c r="C52" s="2290"/>
      <c r="D52" s="2290"/>
      <c r="E52" s="2290"/>
      <c r="F52" s="2290"/>
      <c r="G52" s="2290"/>
      <c r="H52" s="2290"/>
      <c r="I52" s="2290"/>
    </row>
    <row r="53" spans="1:9">
      <c r="A53" s="2290"/>
      <c r="B53" s="2290"/>
      <c r="C53" s="2290"/>
      <c r="D53" s="2290"/>
      <c r="E53" s="2290"/>
      <c r="F53" s="2290"/>
      <c r="G53" s="2290"/>
      <c r="H53" s="2290"/>
      <c r="I53" s="2290"/>
    </row>
    <row r="54" spans="1:9">
      <c r="A54" s="2290"/>
      <c r="B54" s="2290"/>
      <c r="C54" s="2290"/>
      <c r="D54" s="2290"/>
      <c r="E54" s="2290"/>
      <c r="F54" s="2290"/>
      <c r="G54" s="2290"/>
      <c r="H54" s="2290"/>
      <c r="I54" s="2290"/>
    </row>
    <row r="55" spans="1:9">
      <c r="A55" s="2290"/>
      <c r="B55" s="2290"/>
      <c r="C55" s="2290"/>
      <c r="D55" s="2290"/>
      <c r="E55" s="2290"/>
      <c r="F55" s="2290"/>
      <c r="G55" s="2290"/>
      <c r="H55" s="2290"/>
      <c r="I55" s="2290"/>
    </row>
    <row r="56" spans="1:9">
      <c r="A56" s="2290"/>
      <c r="B56" s="2290"/>
      <c r="C56" s="2290"/>
      <c r="D56" s="2290"/>
      <c r="E56" s="2290"/>
      <c r="F56" s="2290"/>
      <c r="G56" s="2290"/>
      <c r="H56" s="2290"/>
      <c r="I56" s="2290"/>
    </row>
    <row r="57" spans="1:9">
      <c r="A57" s="2290"/>
      <c r="B57" s="2290"/>
      <c r="C57" s="2290"/>
      <c r="D57" s="2290"/>
      <c r="E57" s="2290"/>
      <c r="F57" s="2290"/>
      <c r="G57" s="2290"/>
      <c r="H57" s="2290"/>
      <c r="I57" s="2290"/>
    </row>
    <row r="58" spans="1:9">
      <c r="A58" s="2290"/>
      <c r="B58" s="2290"/>
      <c r="C58" s="2290"/>
      <c r="D58" s="2290"/>
      <c r="E58" s="2290"/>
      <c r="F58" s="2290"/>
      <c r="G58" s="2290"/>
      <c r="H58" s="2290"/>
      <c r="I58" s="2290"/>
    </row>
    <row r="59" spans="1:9">
      <c r="A59" s="2290"/>
      <c r="B59" s="2290"/>
      <c r="C59" s="2290"/>
      <c r="D59" s="2290"/>
      <c r="E59" s="2290"/>
      <c r="F59" s="2290"/>
      <c r="G59" s="2290"/>
      <c r="H59" s="2290"/>
      <c r="I59" s="2290"/>
    </row>
    <row r="60" spans="1:9">
      <c r="A60" s="2290"/>
      <c r="B60" s="2290"/>
      <c r="C60" s="2290"/>
      <c r="D60" s="2290"/>
      <c r="E60" s="2290"/>
      <c r="F60" s="2290"/>
      <c r="G60" s="2290"/>
      <c r="H60" s="2290"/>
      <c r="I60" s="2290"/>
    </row>
    <row r="61" spans="1:9">
      <c r="A61" s="2290"/>
      <c r="B61" s="2290"/>
      <c r="C61" s="2290"/>
      <c r="D61" s="2290"/>
      <c r="E61" s="2290"/>
      <c r="F61" s="2290"/>
      <c r="G61" s="2290"/>
      <c r="H61" s="2290"/>
      <c r="I61" s="2290"/>
    </row>
    <row r="62" spans="1:9">
      <c r="A62" s="2290"/>
      <c r="B62" s="2290"/>
      <c r="C62" s="2290"/>
      <c r="D62" s="2290"/>
      <c r="E62" s="2290"/>
      <c r="F62" s="2290"/>
      <c r="G62" s="2290"/>
      <c r="H62" s="2290"/>
      <c r="I62" s="2290"/>
    </row>
    <row r="63" spans="1:9">
      <c r="A63" s="2290"/>
      <c r="B63" s="2290"/>
      <c r="C63" s="2290"/>
      <c r="D63" s="2290"/>
      <c r="E63" s="2290"/>
      <c r="F63" s="2290"/>
      <c r="G63" s="2290"/>
      <c r="H63" s="2290"/>
      <c r="I63" s="2290"/>
    </row>
    <row r="64" spans="1:9">
      <c r="A64" s="2290"/>
      <c r="B64" s="2290"/>
      <c r="C64" s="2290"/>
      <c r="D64" s="2290"/>
      <c r="E64" s="2290"/>
      <c r="F64" s="2290"/>
      <c r="G64" s="2290"/>
      <c r="H64" s="2290"/>
      <c r="I64" s="2290"/>
    </row>
    <row r="65" spans="1:9">
      <c r="A65" s="2290"/>
      <c r="B65" s="2290"/>
      <c r="C65" s="2290"/>
      <c r="D65" s="2290"/>
      <c r="E65" s="2290"/>
      <c r="F65" s="2290"/>
      <c r="G65" s="2290"/>
      <c r="H65" s="2290"/>
      <c r="I65" s="2290"/>
    </row>
    <row r="66" spans="1:9">
      <c r="A66" s="2290"/>
      <c r="B66" s="2290"/>
      <c r="C66" s="2290"/>
      <c r="D66" s="2290"/>
      <c r="E66" s="2290"/>
      <c r="F66" s="2290"/>
      <c r="G66" s="2290"/>
      <c r="H66" s="2290"/>
      <c r="I66" s="2290"/>
    </row>
    <row r="67" spans="1:9">
      <c r="A67" s="2290"/>
      <c r="B67" s="2290"/>
      <c r="C67" s="2290"/>
      <c r="D67" s="2290"/>
      <c r="E67" s="2290"/>
      <c r="F67" s="2290"/>
      <c r="G67" s="2290"/>
      <c r="H67" s="2290"/>
      <c r="I67" s="2290"/>
    </row>
    <row r="68" spans="1:9">
      <c r="A68" s="2290"/>
      <c r="B68" s="2290"/>
      <c r="C68" s="2290"/>
      <c r="D68" s="2290"/>
      <c r="E68" s="2290"/>
      <c r="F68" s="2290"/>
      <c r="G68" s="2290"/>
      <c r="H68" s="2290"/>
      <c r="I68" s="2290"/>
    </row>
    <row r="69" spans="1:9">
      <c r="A69" s="2290"/>
      <c r="B69" s="2290"/>
      <c r="C69" s="2290"/>
      <c r="D69" s="2290"/>
      <c r="E69" s="2290"/>
      <c r="F69" s="2290"/>
      <c r="G69" s="2290"/>
      <c r="H69" s="2290"/>
      <c r="I69" s="2290"/>
    </row>
    <row r="70" spans="1:9">
      <c r="A70" s="2290"/>
      <c r="B70" s="2290"/>
      <c r="C70" s="2290"/>
      <c r="D70" s="2290"/>
      <c r="E70" s="2290"/>
      <c r="F70" s="2290"/>
      <c r="G70" s="2290"/>
      <c r="H70" s="2290"/>
      <c r="I70" s="2290"/>
    </row>
    <row r="71" spans="1:9">
      <c r="A71" s="2290"/>
      <c r="B71" s="2290"/>
      <c r="C71" s="2290"/>
      <c r="D71" s="2290"/>
      <c r="E71" s="2290"/>
      <c r="F71" s="2290"/>
      <c r="G71" s="2290"/>
      <c r="H71" s="2290"/>
      <c r="I71" s="2290"/>
    </row>
    <row r="72" spans="1:9">
      <c r="A72" s="2290"/>
      <c r="B72" s="2290"/>
      <c r="C72" s="2290"/>
      <c r="D72" s="2290"/>
      <c r="E72" s="2290"/>
      <c r="F72" s="2290"/>
      <c r="G72" s="2290"/>
      <c r="H72" s="2290"/>
      <c r="I72" s="2290"/>
    </row>
    <row r="73" spans="1:9">
      <c r="A73" s="2290"/>
      <c r="B73" s="2290"/>
      <c r="C73" s="2290"/>
      <c r="D73" s="2290"/>
      <c r="E73" s="2290"/>
      <c r="F73" s="2290"/>
      <c r="G73" s="2290"/>
      <c r="H73" s="2290"/>
      <c r="I73" s="2290"/>
    </row>
    <row r="74" spans="1:9">
      <c r="A74" s="2290"/>
      <c r="B74" s="2290"/>
      <c r="C74" s="2290"/>
      <c r="D74" s="2290"/>
      <c r="E74" s="2290"/>
      <c r="F74" s="2290"/>
      <c r="G74" s="2290"/>
      <c r="H74" s="2290"/>
      <c r="I74" s="2290"/>
    </row>
    <row r="75" spans="1:9">
      <c r="A75" s="2290"/>
      <c r="B75" s="2290"/>
      <c r="C75" s="2290"/>
      <c r="D75" s="2290"/>
      <c r="E75" s="2290"/>
      <c r="F75" s="2290"/>
      <c r="G75" s="2290"/>
      <c r="H75" s="2290"/>
      <c r="I75" s="2290"/>
    </row>
    <row r="76" spans="1:9">
      <c r="A76" s="2290"/>
      <c r="B76" s="2290"/>
      <c r="C76" s="2290"/>
      <c r="D76" s="2290"/>
      <c r="E76" s="2290"/>
      <c r="F76" s="2290"/>
      <c r="G76" s="2290"/>
      <c r="H76" s="2290"/>
      <c r="I76" s="2290"/>
    </row>
    <row r="77" spans="1:9">
      <c r="A77" s="2290"/>
      <c r="B77" s="2290"/>
      <c r="C77" s="2290"/>
      <c r="D77" s="2290"/>
      <c r="E77" s="2290"/>
      <c r="F77" s="2290"/>
      <c r="G77" s="2290"/>
      <c r="H77" s="2290"/>
      <c r="I77" s="2290"/>
    </row>
    <row r="78" spans="1:9">
      <c r="A78" s="2290"/>
      <c r="B78" s="2290"/>
      <c r="C78" s="2290"/>
      <c r="D78" s="2290"/>
      <c r="E78" s="2290"/>
      <c r="F78" s="2290"/>
      <c r="G78" s="2290"/>
      <c r="H78" s="2290"/>
      <c r="I78" s="2290"/>
    </row>
    <row r="79" spans="1:9">
      <c r="A79" s="2290"/>
      <c r="B79" s="2290"/>
      <c r="C79" s="2290"/>
      <c r="D79" s="2290"/>
      <c r="E79" s="2290"/>
      <c r="F79" s="2290"/>
      <c r="G79" s="2290"/>
      <c r="H79" s="2290"/>
      <c r="I79" s="2290"/>
    </row>
    <row r="80" spans="1:9">
      <c r="A80" s="2290"/>
      <c r="B80" s="2290"/>
      <c r="C80" s="2290"/>
      <c r="D80" s="2290"/>
      <c r="E80" s="2290"/>
      <c r="F80" s="2290"/>
      <c r="G80" s="2290"/>
      <c r="H80" s="2290"/>
      <c r="I80" s="2290"/>
    </row>
    <row r="81" spans="1:9">
      <c r="A81" s="2290"/>
      <c r="B81" s="2290"/>
      <c r="C81" s="2290"/>
      <c r="D81" s="2290"/>
      <c r="E81" s="2290"/>
      <c r="F81" s="2290"/>
      <c r="G81" s="2290"/>
      <c r="H81" s="2290"/>
      <c r="I81" s="2290"/>
    </row>
    <row r="82" spans="1:9">
      <c r="A82" s="2290"/>
      <c r="B82" s="2290"/>
      <c r="C82" s="2290"/>
      <c r="D82" s="2290"/>
      <c r="E82" s="2290"/>
      <c r="F82" s="2290"/>
      <c r="G82" s="2290"/>
      <c r="H82" s="2290"/>
      <c r="I82" s="2290"/>
    </row>
    <row r="83" spans="1:9">
      <c r="A83" s="2290"/>
      <c r="B83" s="2290"/>
      <c r="C83" s="2290"/>
      <c r="D83" s="2290"/>
      <c r="E83" s="2290"/>
      <c r="F83" s="2290"/>
      <c r="G83" s="2290"/>
      <c r="H83" s="2290"/>
      <c r="I83" s="2290"/>
    </row>
    <row r="84" spans="1:9">
      <c r="A84" s="2290"/>
      <c r="B84" s="2290"/>
      <c r="C84" s="2290"/>
      <c r="D84" s="2290"/>
      <c r="E84" s="2290"/>
      <c r="F84" s="2290"/>
      <c r="G84" s="2290"/>
      <c r="H84" s="2290"/>
      <c r="I84" s="2290"/>
    </row>
    <row r="85" spans="1:9">
      <c r="A85" s="2290"/>
      <c r="B85" s="2290"/>
      <c r="C85" s="2290"/>
      <c r="D85" s="2290"/>
      <c r="E85" s="2290"/>
      <c r="F85" s="2290"/>
      <c r="G85" s="2290"/>
      <c r="H85" s="2290"/>
      <c r="I85" s="2290"/>
    </row>
    <row r="86" spans="1:9">
      <c r="A86" s="2290"/>
      <c r="B86" s="2290"/>
      <c r="C86" s="2290"/>
      <c r="D86" s="2290"/>
      <c r="E86" s="2290"/>
      <c r="F86" s="2290"/>
      <c r="G86" s="2290"/>
      <c r="H86" s="2290"/>
      <c r="I86" s="2290"/>
    </row>
    <row r="87" spans="1:9">
      <c r="A87" s="2290"/>
      <c r="B87" s="2290"/>
      <c r="C87" s="2290"/>
      <c r="D87" s="2290"/>
      <c r="E87" s="2290"/>
      <c r="F87" s="2290"/>
      <c r="G87" s="2290"/>
      <c r="H87" s="2290"/>
      <c r="I87" s="2290"/>
    </row>
    <row r="88" spans="1:9">
      <c r="A88" s="2290"/>
      <c r="B88" s="2290"/>
      <c r="C88" s="2290"/>
      <c r="D88" s="2290"/>
      <c r="E88" s="2290"/>
      <c r="F88" s="2290"/>
      <c r="G88" s="2290"/>
      <c r="H88" s="2290"/>
      <c r="I88" s="2290"/>
    </row>
    <row r="89" spans="1:9">
      <c r="A89" s="2290"/>
      <c r="B89" s="2290"/>
      <c r="C89" s="2290"/>
      <c r="D89" s="2290"/>
      <c r="E89" s="2290"/>
      <c r="F89" s="2290"/>
      <c r="G89" s="2290"/>
      <c r="H89" s="2290"/>
      <c r="I89" s="2290"/>
    </row>
    <row r="90" spans="1:9">
      <c r="A90" s="2290"/>
      <c r="B90" s="2290"/>
      <c r="C90" s="2290"/>
      <c r="D90" s="2290"/>
      <c r="E90" s="2290"/>
      <c r="F90" s="2290"/>
      <c r="G90" s="2290"/>
      <c r="H90" s="2290"/>
      <c r="I90" s="2290"/>
    </row>
    <row r="91" spans="1:9">
      <c r="A91" s="2290"/>
      <c r="B91" s="2290"/>
      <c r="C91" s="2290"/>
      <c r="D91" s="2290"/>
      <c r="E91" s="2290"/>
      <c r="F91" s="2290"/>
      <c r="G91" s="2290"/>
      <c r="H91" s="2290"/>
      <c r="I91" s="2290"/>
    </row>
    <row r="92" spans="1:9">
      <c r="A92" s="2290"/>
      <c r="B92" s="2290"/>
      <c r="C92" s="2290"/>
      <c r="D92" s="2290"/>
      <c r="E92" s="2290"/>
      <c r="F92" s="2290"/>
      <c r="G92" s="2290"/>
      <c r="H92" s="2290"/>
      <c r="I92" s="2290"/>
    </row>
    <row r="93" spans="1:9">
      <c r="A93" s="2290"/>
      <c r="B93" s="2290"/>
      <c r="C93" s="2290"/>
      <c r="D93" s="2290"/>
      <c r="E93" s="2290"/>
      <c r="F93" s="2290"/>
      <c r="G93" s="2290"/>
      <c r="H93" s="2290"/>
      <c r="I93" s="2290"/>
    </row>
    <row r="94" spans="1:9">
      <c r="A94" s="2290"/>
      <c r="B94" s="2290"/>
      <c r="C94" s="2290"/>
      <c r="D94" s="2290"/>
      <c r="E94" s="2290"/>
      <c r="F94" s="2290"/>
      <c r="G94" s="2290"/>
      <c r="H94" s="2290"/>
      <c r="I94" s="2290"/>
    </row>
    <row r="95" spans="1:9">
      <c r="A95" s="2290"/>
      <c r="B95" s="2290"/>
      <c r="C95" s="2290"/>
      <c r="D95" s="2290"/>
      <c r="E95" s="2290"/>
      <c r="F95" s="2290"/>
      <c r="G95" s="2290"/>
      <c r="H95" s="2290"/>
      <c r="I95" s="2290"/>
    </row>
    <row r="96" spans="1:9">
      <c r="A96" s="2290"/>
      <c r="B96" s="2290"/>
      <c r="C96" s="2290"/>
      <c r="D96" s="2290"/>
      <c r="E96" s="2290"/>
      <c r="F96" s="2290"/>
      <c r="G96" s="2290"/>
      <c r="H96" s="2290"/>
      <c r="I96" s="2290"/>
    </row>
    <row r="97" spans="1:9">
      <c r="A97" s="2290"/>
      <c r="B97" s="2290"/>
      <c r="C97" s="2290"/>
      <c r="D97" s="2290"/>
      <c r="E97" s="2290"/>
      <c r="F97" s="2290"/>
      <c r="G97" s="2290"/>
      <c r="H97" s="2290"/>
      <c r="I97" s="2290"/>
    </row>
    <row r="98" spans="1:9">
      <c r="A98" s="2290"/>
      <c r="B98" s="2290"/>
      <c r="C98" s="2290"/>
      <c r="D98" s="2290"/>
      <c r="E98" s="2290"/>
      <c r="F98" s="2290"/>
      <c r="G98" s="2290"/>
      <c r="H98" s="2290"/>
      <c r="I98" s="2290"/>
    </row>
    <row r="99" spans="1:9">
      <c r="A99" s="2290"/>
      <c r="B99" s="2290"/>
      <c r="C99" s="2290"/>
      <c r="D99" s="2290"/>
      <c r="E99" s="2290"/>
      <c r="F99" s="2290"/>
      <c r="G99" s="2290"/>
      <c r="H99" s="2290"/>
      <c r="I99" s="2290"/>
    </row>
    <row r="100" spans="1:9">
      <c r="A100" s="2290"/>
      <c r="B100" s="2290"/>
      <c r="C100" s="2290"/>
      <c r="D100" s="2290"/>
      <c r="E100" s="2290"/>
      <c r="F100" s="2290"/>
      <c r="G100" s="2290"/>
      <c r="H100" s="2290"/>
      <c r="I100" s="2290"/>
    </row>
    <row r="101" spans="1:9">
      <c r="A101" s="2290"/>
      <c r="B101" s="2290"/>
      <c r="C101" s="2290"/>
      <c r="D101" s="2290"/>
      <c r="E101" s="2290"/>
      <c r="F101" s="2290"/>
      <c r="G101" s="2290"/>
      <c r="H101" s="2290"/>
      <c r="I101" s="2290"/>
    </row>
    <row r="102" spans="1:9">
      <c r="A102" s="2290"/>
      <c r="B102" s="2290"/>
      <c r="C102" s="2290"/>
      <c r="D102" s="2290"/>
      <c r="E102" s="2290"/>
      <c r="F102" s="2290"/>
      <c r="G102" s="2290"/>
      <c r="H102" s="2290"/>
      <c r="I102" s="2290"/>
    </row>
    <row r="103" spans="1:9">
      <c r="A103" s="2290"/>
      <c r="B103" s="2290"/>
      <c r="C103" s="2290"/>
      <c r="D103" s="2290"/>
      <c r="E103" s="2290"/>
      <c r="F103" s="2290"/>
      <c r="G103" s="2290"/>
      <c r="H103" s="2290"/>
      <c r="I103" s="2290"/>
    </row>
    <row r="104" spans="1:9">
      <c r="A104" s="2290"/>
      <c r="B104" s="2290"/>
      <c r="C104" s="2290"/>
      <c r="D104" s="2290"/>
      <c r="E104" s="2290"/>
      <c r="F104" s="2290"/>
      <c r="G104" s="2290"/>
      <c r="H104" s="2290"/>
      <c r="I104" s="2290"/>
    </row>
    <row r="105" spans="1:9">
      <c r="A105" s="2290"/>
      <c r="B105" s="2290"/>
      <c r="C105" s="2290"/>
      <c r="D105" s="2290"/>
      <c r="E105" s="2290"/>
      <c r="F105" s="2290"/>
      <c r="G105" s="2290"/>
      <c r="H105" s="2290"/>
      <c r="I105" s="2290"/>
    </row>
    <row r="106" spans="1:9">
      <c r="A106" s="2290"/>
      <c r="B106" s="2290"/>
      <c r="C106" s="2290"/>
      <c r="D106" s="2290"/>
      <c r="E106" s="2290"/>
      <c r="F106" s="2290"/>
      <c r="G106" s="2290"/>
      <c r="H106" s="2290"/>
      <c r="I106" s="2290"/>
    </row>
    <row r="107" spans="1:9">
      <c r="A107" s="2290"/>
      <c r="B107" s="2290"/>
      <c r="C107" s="2290"/>
      <c r="D107" s="2290"/>
      <c r="E107" s="2290"/>
      <c r="F107" s="2290"/>
      <c r="G107" s="2290"/>
      <c r="H107" s="2290"/>
      <c r="I107" s="2290"/>
    </row>
    <row r="108" spans="1:9">
      <c r="A108" s="2290"/>
      <c r="B108" s="2290"/>
      <c r="C108" s="2290"/>
      <c r="D108" s="2290"/>
      <c r="E108" s="2290"/>
      <c r="F108" s="2290"/>
      <c r="G108" s="2290"/>
      <c r="H108" s="2290"/>
      <c r="I108" s="2290"/>
    </row>
    <row r="109" spans="1:9">
      <c r="A109" s="2290"/>
      <c r="B109" s="2290"/>
      <c r="C109" s="2290"/>
      <c r="D109" s="2290"/>
      <c r="E109" s="2290"/>
      <c r="F109" s="2290"/>
      <c r="G109" s="2290"/>
      <c r="H109" s="2290"/>
      <c r="I109" s="2290"/>
    </row>
    <row r="110" spans="1:9">
      <c r="A110" s="2290"/>
      <c r="B110" s="2290"/>
      <c r="C110" s="2290"/>
      <c r="D110" s="2290"/>
      <c r="E110" s="2290"/>
      <c r="F110" s="2290"/>
      <c r="G110" s="2290"/>
      <c r="H110" s="2290"/>
      <c r="I110" s="2290"/>
    </row>
    <row r="111" spans="1:9">
      <c r="A111" s="2290"/>
      <c r="B111" s="2290"/>
      <c r="C111" s="2290"/>
      <c r="D111" s="2290"/>
      <c r="E111" s="2290"/>
      <c r="F111" s="2290"/>
      <c r="G111" s="2290"/>
      <c r="H111" s="2290"/>
      <c r="I111" s="2290"/>
    </row>
    <row r="112" spans="1:9">
      <c r="A112" s="2290"/>
      <c r="B112" s="2290"/>
      <c r="C112" s="2290"/>
      <c r="D112" s="2290"/>
      <c r="E112" s="2290"/>
      <c r="F112" s="2290"/>
      <c r="G112" s="2290"/>
      <c r="H112" s="2290"/>
      <c r="I112" s="2290"/>
    </row>
    <row r="113" spans="1:9">
      <c r="A113" s="2290"/>
      <c r="B113" s="2290"/>
      <c r="C113" s="2290"/>
      <c r="D113" s="2290"/>
      <c r="E113" s="2290"/>
      <c r="F113" s="2290"/>
      <c r="G113" s="2290"/>
      <c r="H113" s="2290"/>
      <c r="I113" s="2290"/>
    </row>
    <row r="114" spans="1:9">
      <c r="A114" s="2290"/>
      <c r="B114" s="2290"/>
      <c r="C114" s="2290"/>
      <c r="D114" s="2290"/>
      <c r="E114" s="2290"/>
      <c r="F114" s="2290"/>
      <c r="G114" s="2290"/>
      <c r="H114" s="2290"/>
      <c r="I114" s="2290"/>
    </row>
    <row r="115" spans="1:9">
      <c r="A115" s="2290"/>
      <c r="B115" s="2290"/>
      <c r="C115" s="2290"/>
      <c r="D115" s="2290"/>
      <c r="E115" s="2290"/>
      <c r="F115" s="2290"/>
      <c r="G115" s="2290"/>
      <c r="H115" s="2290"/>
      <c r="I115" s="2290"/>
    </row>
    <row r="116" spans="1:9">
      <c r="A116" s="2290"/>
      <c r="B116" s="2290"/>
      <c r="C116" s="2290"/>
      <c r="D116" s="2290"/>
      <c r="E116" s="2290"/>
      <c r="F116" s="2290"/>
      <c r="G116" s="2290"/>
      <c r="H116" s="2290"/>
      <c r="I116" s="2290"/>
    </row>
    <row r="117" spans="1:9">
      <c r="A117" s="2290"/>
      <c r="B117" s="2290"/>
      <c r="C117" s="2290"/>
      <c r="D117" s="2290"/>
      <c r="E117" s="2290"/>
      <c r="F117" s="2290"/>
      <c r="G117" s="2290"/>
      <c r="H117" s="2290"/>
      <c r="I117" s="2290"/>
    </row>
    <row r="118" spans="1:9">
      <c r="A118" s="2290"/>
      <c r="B118" s="2290"/>
      <c r="C118" s="2290"/>
      <c r="D118" s="2290"/>
      <c r="E118" s="2290"/>
      <c r="F118" s="2290"/>
      <c r="G118" s="2290"/>
      <c r="H118" s="2290"/>
      <c r="I118" s="2290"/>
    </row>
  </sheetData>
  <mergeCells count="1">
    <mergeCell ref="A1:I11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C6:V37"/>
  <sheetViews>
    <sheetView view="pageBreakPreview" topLeftCell="A12" zoomScale="85" zoomScaleNormal="55" zoomScaleSheetLayoutView="85" workbookViewId="0">
      <selection activeCell="O11" sqref="O11"/>
    </sheetView>
  </sheetViews>
  <sheetFormatPr defaultColWidth="9.109375" defaultRowHeight="13.2"/>
  <cols>
    <col min="1" max="2" width="9.109375" style="1"/>
    <col min="3" max="3" width="6.44140625" style="1" customWidth="1"/>
    <col min="4" max="4" width="9.109375" style="1" hidden="1" customWidth="1"/>
    <col min="5" max="5" width="17.33203125" style="1" customWidth="1"/>
    <col min="6" max="14" width="9.109375" style="1"/>
    <col min="15" max="15" width="16.5546875" style="1" bestFit="1" customWidth="1"/>
    <col min="16" max="21" width="9.109375" style="1"/>
    <col min="22" max="22" width="17.6640625" style="1" customWidth="1"/>
    <col min="23" max="16384" width="9.109375" style="1"/>
  </cols>
  <sheetData>
    <row r="6" spans="3:16" ht="30" customHeight="1"/>
    <row r="7" spans="3:16" ht="30" customHeight="1"/>
    <row r="8" spans="3:16" ht="30" customHeight="1"/>
    <row r="9" spans="3:16" ht="30" customHeight="1">
      <c r="C9" s="646"/>
      <c r="D9" s="646"/>
      <c r="E9" s="646"/>
      <c r="F9" s="646"/>
      <c r="G9" s="646"/>
      <c r="H9" s="646"/>
      <c r="I9" s="646"/>
      <c r="J9" s="646"/>
      <c r="K9" s="646"/>
      <c r="L9" s="646"/>
      <c r="M9" s="646"/>
      <c r="N9" s="646"/>
      <c r="O9" s="646"/>
      <c r="P9" s="646"/>
    </row>
    <row r="10" spans="3:16" ht="27.75" customHeight="1">
      <c r="C10" s="646"/>
      <c r="D10" s="646"/>
      <c r="E10" s="646"/>
      <c r="F10" s="646"/>
      <c r="G10" s="646"/>
      <c r="H10" s="646"/>
      <c r="I10" s="646"/>
      <c r="J10" s="646"/>
      <c r="K10" s="646"/>
      <c r="L10" s="646"/>
      <c r="M10" s="646"/>
      <c r="N10" s="646"/>
      <c r="O10" s="646"/>
      <c r="P10" s="646"/>
    </row>
    <row r="11" spans="3:16" ht="14.4">
      <c r="C11" s="646"/>
      <c r="D11" s="646"/>
      <c r="E11" s="646"/>
      <c r="F11" s="646"/>
      <c r="G11" s="646"/>
      <c r="H11" s="646"/>
      <c r="I11" s="646"/>
      <c r="J11" s="646"/>
      <c r="K11" s="646"/>
      <c r="L11" s="646"/>
      <c r="M11" s="646"/>
      <c r="N11" s="646"/>
      <c r="O11" s="647">
        <f ca="1">TODAY()</f>
        <v>45250</v>
      </c>
      <c r="P11" s="646"/>
    </row>
    <row r="12" spans="3:16" ht="23.25" customHeight="1">
      <c r="C12" s="646"/>
      <c r="D12" s="646"/>
      <c r="E12" s="647" t="s">
        <v>621</v>
      </c>
      <c r="F12" s="646" t="s">
        <v>596</v>
      </c>
      <c r="G12" s="646"/>
      <c r="H12" s="646"/>
      <c r="I12" s="646"/>
      <c r="J12" s="646"/>
      <c r="K12" s="646"/>
      <c r="L12" s="646"/>
      <c r="M12" s="646"/>
      <c r="N12" s="646"/>
      <c r="O12" s="646"/>
      <c r="P12" s="646"/>
    </row>
    <row r="13" spans="3:16" ht="24" customHeight="1">
      <c r="C13" s="646"/>
      <c r="D13" s="646"/>
      <c r="E13" s="643" t="s">
        <v>284</v>
      </c>
      <c r="F13" s="646"/>
      <c r="G13" s="646"/>
      <c r="H13" s="646"/>
      <c r="I13" s="646"/>
      <c r="J13" s="646"/>
      <c r="K13" s="646"/>
      <c r="L13" s="646"/>
      <c r="M13" s="646"/>
      <c r="N13" s="646"/>
      <c r="O13" s="646"/>
      <c r="P13" s="646"/>
    </row>
    <row r="14" spans="3:16" ht="13.8">
      <c r="C14" s="646"/>
      <c r="D14" s="646"/>
      <c r="E14" s="646"/>
      <c r="F14" s="646"/>
      <c r="G14" s="646"/>
      <c r="H14" s="646"/>
      <c r="I14" s="646"/>
      <c r="J14" s="646"/>
      <c r="K14" s="646"/>
      <c r="L14" s="646"/>
      <c r="M14" s="646"/>
      <c r="N14" s="646"/>
      <c r="O14" s="646"/>
      <c r="P14" s="646"/>
    </row>
    <row r="15" spans="3:16" ht="13.8"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</row>
    <row r="16" spans="3:16" ht="13.8">
      <c r="C16" s="646"/>
      <c r="D16" s="646"/>
      <c r="E16" s="646"/>
      <c r="F16" s="646"/>
      <c r="G16" s="646"/>
      <c r="H16" s="646"/>
      <c r="I16" s="646"/>
      <c r="J16" s="646"/>
      <c r="K16" s="646"/>
      <c r="L16" s="646"/>
      <c r="M16" s="646"/>
      <c r="N16" s="646"/>
      <c r="O16" s="646"/>
      <c r="P16" s="646"/>
    </row>
    <row r="17" spans="3:22" ht="13.8">
      <c r="C17" s="646"/>
      <c r="D17" s="646"/>
      <c r="E17" s="646"/>
      <c r="F17" s="646"/>
      <c r="G17" s="646"/>
      <c r="H17" s="646"/>
      <c r="I17" s="646"/>
      <c r="J17" s="646"/>
      <c r="K17" s="646"/>
      <c r="L17" s="646"/>
      <c r="M17" s="646"/>
      <c r="N17" s="646"/>
      <c r="O17" s="646"/>
      <c r="P17" s="646"/>
    </row>
    <row r="18" spans="3:22" ht="13.8">
      <c r="C18" s="646"/>
      <c r="D18" s="646"/>
      <c r="E18" s="646"/>
      <c r="F18" s="646"/>
      <c r="G18" s="646"/>
      <c r="H18" s="646"/>
      <c r="I18" s="646"/>
      <c r="J18" s="646"/>
      <c r="K18" s="646"/>
      <c r="L18" s="646"/>
      <c r="M18" s="646"/>
      <c r="N18" s="646"/>
      <c r="O18" s="646"/>
      <c r="P18" s="646"/>
    </row>
    <row r="22" spans="3:22" s="563" customFormat="1" ht="13.8">
      <c r="E22" s="644" t="s">
        <v>578</v>
      </c>
      <c r="F22" s="644"/>
      <c r="G22" s="644"/>
      <c r="H22" s="644"/>
      <c r="I22" s="645" t="s">
        <v>579</v>
      </c>
      <c r="J22" s="644"/>
      <c r="K22" s="644"/>
      <c r="M22" s="644"/>
      <c r="N22" s="644" t="s">
        <v>580</v>
      </c>
      <c r="O22" s="644"/>
    </row>
    <row r="23" spans="3:22" s="563" customFormat="1" ht="13.8">
      <c r="E23" s="644"/>
      <c r="F23" s="644"/>
      <c r="G23" s="644"/>
      <c r="H23" s="644"/>
      <c r="I23" s="645"/>
      <c r="J23" s="644"/>
      <c r="K23" s="644"/>
      <c r="M23" s="644"/>
      <c r="N23" s="644"/>
      <c r="O23" s="644"/>
    </row>
    <row r="24" spans="3:22" s="563" customFormat="1" ht="13.8">
      <c r="E24" s="644"/>
      <c r="F24" s="644"/>
      <c r="G24" s="644"/>
      <c r="H24" s="644"/>
      <c r="I24" s="645"/>
      <c r="J24" s="644"/>
      <c r="K24" s="644"/>
      <c r="M24" s="644"/>
      <c r="N24" s="644"/>
      <c r="O24" s="644"/>
    </row>
    <row r="25" spans="3:22" s="563" customFormat="1" ht="13.8">
      <c r="E25" s="644"/>
      <c r="F25" s="644"/>
      <c r="G25" s="644"/>
      <c r="H25" s="644"/>
      <c r="I25" s="645"/>
      <c r="J25" s="644"/>
      <c r="K25" s="644"/>
      <c r="M25" s="644"/>
      <c r="N25" s="644"/>
      <c r="O25" s="644"/>
    </row>
    <row r="26" spans="3:22" s="563" customFormat="1" ht="13.8">
      <c r="E26" s="644"/>
      <c r="F26" s="644"/>
      <c r="G26" s="644"/>
      <c r="H26" s="644"/>
      <c r="I26" s="645"/>
      <c r="J26" s="644"/>
      <c r="K26" s="644"/>
      <c r="M26" s="644"/>
      <c r="N26" s="644"/>
      <c r="O26" s="644"/>
    </row>
    <row r="27" spans="3:22" s="563" customFormat="1" ht="13.8">
      <c r="E27" s="644"/>
      <c r="F27" s="644"/>
      <c r="G27" s="644"/>
      <c r="H27" s="644"/>
      <c r="I27" s="645"/>
      <c r="J27" s="644"/>
      <c r="K27" s="644"/>
      <c r="M27" s="644"/>
      <c r="N27" s="644"/>
      <c r="O27" s="644"/>
    </row>
    <row r="28" spans="3:22" s="563" customFormat="1" ht="13.8">
      <c r="E28" s="644"/>
      <c r="F28" s="644"/>
      <c r="G28" s="644"/>
      <c r="H28" s="644"/>
      <c r="I28" s="645"/>
      <c r="J28" s="644"/>
      <c r="K28" s="644"/>
      <c r="M28" s="644"/>
      <c r="N28" s="644"/>
      <c r="O28" s="644"/>
    </row>
    <row r="29" spans="3:22" s="563" customFormat="1" ht="13.8">
      <c r="E29" s="644"/>
      <c r="F29" s="644"/>
      <c r="G29" s="644"/>
      <c r="H29" s="644"/>
      <c r="I29" s="645"/>
      <c r="J29" s="644"/>
      <c r="K29" s="644"/>
      <c r="M29" s="644"/>
      <c r="N29" s="644"/>
      <c r="O29" s="644"/>
    </row>
    <row r="30" spans="3:22" s="563" customFormat="1" ht="13.8">
      <c r="E30" s="644"/>
      <c r="F30" s="644"/>
      <c r="G30" s="644"/>
      <c r="H30" s="644"/>
      <c r="I30" s="645"/>
      <c r="J30" s="644"/>
      <c r="K30" s="644"/>
      <c r="M30" s="644"/>
      <c r="N30" s="644"/>
      <c r="O30" s="644"/>
      <c r="V30" s="1"/>
    </row>
    <row r="31" spans="3:22" ht="14.4">
      <c r="E31" s="643"/>
      <c r="F31" s="643"/>
      <c r="G31" s="643"/>
      <c r="H31" s="643"/>
      <c r="I31" s="643"/>
      <c r="J31" s="643"/>
      <c r="K31" s="643"/>
      <c r="M31" s="643"/>
      <c r="N31" s="643"/>
      <c r="O31" s="643"/>
    </row>
    <row r="32" spans="3:22" ht="14.4">
      <c r="E32" s="643" t="s">
        <v>285</v>
      </c>
      <c r="F32" s="643"/>
      <c r="G32" s="643"/>
      <c r="H32" s="643"/>
      <c r="I32" s="643" t="s">
        <v>286</v>
      </c>
      <c r="J32" s="643"/>
      <c r="K32" s="643"/>
      <c r="M32" s="643"/>
      <c r="N32" s="643" t="s">
        <v>287</v>
      </c>
      <c r="O32" s="643"/>
    </row>
    <row r="33" spans="5:15" ht="14.4">
      <c r="E33" s="643"/>
      <c r="F33" s="643"/>
      <c r="G33" s="643"/>
      <c r="H33" s="643"/>
      <c r="I33" s="643"/>
      <c r="J33" s="643"/>
      <c r="K33" s="643"/>
      <c r="M33" s="643"/>
      <c r="N33" s="643"/>
      <c r="O33" s="643"/>
    </row>
    <row r="34" spans="5:15" ht="14.4">
      <c r="E34" s="643"/>
      <c r="F34" s="643"/>
      <c r="G34" s="643"/>
      <c r="H34" s="643"/>
      <c r="I34" s="643"/>
      <c r="J34" s="643"/>
      <c r="K34" s="643"/>
      <c r="M34" s="643"/>
      <c r="N34" s="643"/>
      <c r="O34" s="643"/>
    </row>
    <row r="36" spans="5:15" ht="14.4"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</row>
    <row r="37" spans="5:15" ht="14.4"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</row>
  </sheetData>
  <pageMargins left="0.70866141732283472" right="0.70866141732283472" top="0.74803149606299213" bottom="0.74803149606299213" header="0.31496062992125984" footer="0.31496062992125984"/>
  <pageSetup paperSize="9" scale="59" orientation="portrait" r:id="rId1"/>
  <headerFooter alignWithMargins="0">
    <oddFooter>&amp;R1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66"/>
  </sheetPr>
  <dimension ref="A1:Q67"/>
  <sheetViews>
    <sheetView showGridLines="0" zoomScale="85" zoomScaleNormal="85" workbookViewId="0">
      <selection activeCell="D6" sqref="D6"/>
    </sheetView>
  </sheetViews>
  <sheetFormatPr defaultColWidth="9.109375" defaultRowHeight="13.2"/>
  <cols>
    <col min="1" max="1" width="49.6640625" style="1" customWidth="1"/>
    <col min="2" max="14" width="11.6640625" style="1362" customWidth="1"/>
    <col min="15" max="15" width="13" style="1" customWidth="1"/>
    <col min="16" max="16" width="19.88671875" style="1" customWidth="1"/>
    <col min="17" max="17" width="18.5546875" style="1" customWidth="1"/>
    <col min="18" max="16384" width="9.109375" style="1"/>
  </cols>
  <sheetData>
    <row r="1" spans="1:16" ht="21" customHeight="1">
      <c r="A1" s="1336" t="s">
        <v>481</v>
      </c>
      <c r="B1" s="1337" t="s">
        <v>374</v>
      </c>
      <c r="C1" s="1337" t="s">
        <v>112</v>
      </c>
      <c r="D1" s="1337" t="s">
        <v>113</v>
      </c>
      <c r="E1" s="1337" t="s">
        <v>114</v>
      </c>
      <c r="F1" s="1337" t="s">
        <v>115</v>
      </c>
      <c r="G1" s="1337" t="s">
        <v>116</v>
      </c>
      <c r="H1" s="1337" t="s">
        <v>117</v>
      </c>
      <c r="I1" s="1337" t="s">
        <v>118</v>
      </c>
      <c r="J1" s="1337" t="s">
        <v>119</v>
      </c>
      <c r="K1" s="1337" t="s">
        <v>120</v>
      </c>
      <c r="L1" s="1337" t="s">
        <v>121</v>
      </c>
      <c r="M1" s="1337" t="s">
        <v>122</v>
      </c>
      <c r="N1" s="1337" t="s">
        <v>37</v>
      </c>
    </row>
    <row r="2" spans="1:16" ht="21" customHeight="1" thickBot="1">
      <c r="A2" s="1665" t="s">
        <v>375</v>
      </c>
      <c r="B2" s="1338" t="s">
        <v>376</v>
      </c>
      <c r="C2" s="1338" t="s">
        <v>376</v>
      </c>
      <c r="D2" s="1338" t="s">
        <v>376</v>
      </c>
      <c r="E2" s="1338" t="s">
        <v>376</v>
      </c>
      <c r="F2" s="1338" t="s">
        <v>376</v>
      </c>
      <c r="G2" s="1338" t="s">
        <v>376</v>
      </c>
      <c r="H2" s="1338" t="s">
        <v>376</v>
      </c>
      <c r="I2" s="1338" t="s">
        <v>376</v>
      </c>
      <c r="J2" s="1338" t="s">
        <v>376</v>
      </c>
      <c r="K2" s="1338" t="s">
        <v>376</v>
      </c>
      <c r="L2" s="1338" t="s">
        <v>376</v>
      </c>
      <c r="M2" s="1338" t="s">
        <v>376</v>
      </c>
      <c r="N2" s="1338"/>
    </row>
    <row r="3" spans="1:16" s="1341" customFormat="1" ht="16.2" thickBot="1">
      <c r="A3" s="1339" t="s">
        <v>377</v>
      </c>
      <c r="B3" s="1340">
        <v>2948967.74</v>
      </c>
      <c r="C3" s="1340">
        <f>+B51</f>
        <v>30868043.633028693</v>
      </c>
      <c r="D3" s="1340">
        <f>+C51</f>
        <v>31432350.923028693</v>
      </c>
      <c r="E3" s="1340">
        <f>+D51</f>
        <v>31921881.923028693</v>
      </c>
      <c r="F3" s="1340">
        <f t="shared" ref="F3:L3" si="0">+E51</f>
        <v>32487190.213028692</v>
      </c>
      <c r="G3" s="1340">
        <f t="shared" si="0"/>
        <v>33130612.353028692</v>
      </c>
      <c r="H3" s="1340">
        <f t="shared" si="0"/>
        <v>33729680.643028691</v>
      </c>
      <c r="I3" s="1340">
        <f t="shared" si="0"/>
        <v>34029186.783028692</v>
      </c>
      <c r="J3" s="1340">
        <f t="shared" si="0"/>
        <v>34320579.073028691</v>
      </c>
      <c r="K3" s="1340">
        <f t="shared" si="0"/>
        <v>34540085.213028692</v>
      </c>
      <c r="L3" s="1340">
        <f t="shared" si="0"/>
        <v>34773976.843028694</v>
      </c>
      <c r="M3" s="1340">
        <f>+L51</f>
        <v>34913982.983028695</v>
      </c>
      <c r="N3" s="1340">
        <f>+B3</f>
        <v>2948967.74</v>
      </c>
      <c r="P3" s="1341">
        <f>+P4/12</f>
        <v>350239.01865690137</v>
      </c>
    </row>
    <row r="4" spans="1:16" s="1343" customFormat="1" ht="16.2" thickBot="1">
      <c r="A4" s="1339" t="s">
        <v>378</v>
      </c>
      <c r="B4" s="1340">
        <f>SUM(B11,B13)</f>
        <v>78470462.913028702</v>
      </c>
      <c r="C4" s="1340">
        <f>SUM(C11,C13)</f>
        <v>564307.29</v>
      </c>
      <c r="D4" s="1340">
        <f>SUM(D11,D13)</f>
        <v>489531</v>
      </c>
      <c r="E4" s="1340">
        <f t="shared" ref="E4:L4" si="1">SUM(E11,E13)</f>
        <v>565308.29</v>
      </c>
      <c r="F4" s="1340">
        <f t="shared" si="1"/>
        <v>643422.14</v>
      </c>
      <c r="G4" s="1340">
        <f t="shared" si="1"/>
        <v>599068.29</v>
      </c>
      <c r="H4" s="1340">
        <f t="shared" si="1"/>
        <v>299506.14</v>
      </c>
      <c r="I4" s="1340">
        <f t="shared" si="1"/>
        <v>291392.28999999998</v>
      </c>
      <c r="J4" s="1340">
        <f t="shared" si="1"/>
        <v>219506.14</v>
      </c>
      <c r="K4" s="1340">
        <f t="shared" si="1"/>
        <v>233891.63</v>
      </c>
      <c r="L4" s="1340">
        <f t="shared" si="1"/>
        <v>140006.14000000001</v>
      </c>
      <c r="M4" s="1340">
        <f>SUM(M11,M13)</f>
        <v>140006.14000000001</v>
      </c>
      <c r="N4" s="1340">
        <f>SUM(B4:M4)</f>
        <v>82656408.403028727</v>
      </c>
      <c r="O4" s="1342">
        <f>+N4/1.18</f>
        <v>70047803.731380284</v>
      </c>
      <c r="P4" s="1658">
        <f>+O4*6/100</f>
        <v>4202868.2238828167</v>
      </c>
    </row>
    <row r="5" spans="1:16" ht="15.6">
      <c r="A5" s="1344" t="s">
        <v>476</v>
      </c>
      <c r="B5" s="1345">
        <f>+('BPET Konsolide'!D100*1000)*1.18</f>
        <v>0</v>
      </c>
      <c r="C5" s="1345">
        <f>+('BPET Konsolide'!E100*1000)*1.18</f>
        <v>0</v>
      </c>
      <c r="D5" s="1345">
        <f>+('BPET Konsolide'!F100*1000)*1.18</f>
        <v>0</v>
      </c>
      <c r="E5" s="1345">
        <f>+('BPET Konsolide'!G100*1000)*1.18</f>
        <v>0</v>
      </c>
      <c r="F5" s="1345">
        <f>+('BPET Konsolide'!H100*1000)*1.18</f>
        <v>0</v>
      </c>
      <c r="G5" s="1345">
        <f>+('BPET Konsolide'!I100*1000)*1.18</f>
        <v>0</v>
      </c>
      <c r="H5" s="1345">
        <f>+('BPET Konsolide'!J100*1000)*1.18</f>
        <v>0</v>
      </c>
      <c r="I5" s="1345">
        <f>+('BPET Konsolide'!K100*1000)*1.18</f>
        <v>0</v>
      </c>
      <c r="J5" s="1345">
        <f>+('BPET Konsolide'!L100*1000)*1.18</f>
        <v>0</v>
      </c>
      <c r="K5" s="1345">
        <f>+('BPET Konsolide'!M100*1000)*1.18</f>
        <v>0</v>
      </c>
      <c r="L5" s="1345">
        <f>+('BPET Konsolide'!N100*1000)*1.18</f>
        <v>0</v>
      </c>
      <c r="M5" s="1345">
        <f>+('BPET Konsolide'!O100*1000)*1.18</f>
        <v>0</v>
      </c>
      <c r="N5" s="1345">
        <f>SUM(B5:M5)</f>
        <v>0</v>
      </c>
      <c r="P5" s="1590">
        <f>+N5/1.18</f>
        <v>0</v>
      </c>
    </row>
    <row r="6" spans="1:16">
      <c r="A6" s="1344" t="s">
        <v>379</v>
      </c>
      <c r="B6" s="1348">
        <f>+B5*0.38</f>
        <v>0</v>
      </c>
      <c r="C6" s="1348">
        <f>+C5*0.38</f>
        <v>0</v>
      </c>
      <c r="D6" s="1348">
        <f t="shared" ref="D6:H6" si="2">+D5*0.38</f>
        <v>0</v>
      </c>
      <c r="E6" s="1348">
        <f t="shared" si="2"/>
        <v>0</v>
      </c>
      <c r="F6" s="1348">
        <f t="shared" si="2"/>
        <v>0</v>
      </c>
      <c r="G6" s="1348">
        <f t="shared" si="2"/>
        <v>0</v>
      </c>
      <c r="H6" s="1348">
        <f t="shared" si="2"/>
        <v>0</v>
      </c>
      <c r="I6" s="1348">
        <f t="shared" ref="I6:L6" si="3">+I5*0.38</f>
        <v>0</v>
      </c>
      <c r="J6" s="1348">
        <f t="shared" si="3"/>
        <v>0</v>
      </c>
      <c r="K6" s="1348">
        <f t="shared" si="3"/>
        <v>0</v>
      </c>
      <c r="L6" s="1348">
        <f t="shared" si="3"/>
        <v>0</v>
      </c>
      <c r="M6" s="1348">
        <f>+M5*0.38</f>
        <v>0</v>
      </c>
      <c r="N6" s="1348">
        <f>SUM(B6:M6)</f>
        <v>0</v>
      </c>
      <c r="O6" s="1" t="s">
        <v>477</v>
      </c>
    </row>
    <row r="7" spans="1:16" customFormat="1">
      <c r="A7" s="1661" t="s">
        <v>380</v>
      </c>
      <c r="B7" s="1348">
        <v>77896374.773028702</v>
      </c>
      <c r="C7" s="1348">
        <f>+B5*0.62</f>
        <v>0</v>
      </c>
      <c r="D7" s="1348">
        <f>+C5*0.62</f>
        <v>0</v>
      </c>
      <c r="E7" s="1348">
        <f t="shared" ref="E7:H7" si="4">+D5*0.62</f>
        <v>0</v>
      </c>
      <c r="F7" s="1348">
        <f t="shared" si="4"/>
        <v>0</v>
      </c>
      <c r="G7" s="1348">
        <f t="shared" si="4"/>
        <v>0</v>
      </c>
      <c r="H7" s="1348">
        <f t="shared" si="4"/>
        <v>0</v>
      </c>
      <c r="I7" s="1348">
        <f t="shared" ref="I7:L7" si="5">+H5*0.62</f>
        <v>0</v>
      </c>
      <c r="J7" s="1348">
        <f t="shared" si="5"/>
        <v>0</v>
      </c>
      <c r="K7" s="1348">
        <f t="shared" si="5"/>
        <v>0</v>
      </c>
      <c r="L7" s="1348">
        <f t="shared" si="5"/>
        <v>0</v>
      </c>
      <c r="M7" s="1348">
        <f>+L5*0.62</f>
        <v>0</v>
      </c>
      <c r="N7" s="1348">
        <f>+M5*0.65</f>
        <v>0</v>
      </c>
      <c r="O7" t="s">
        <v>478</v>
      </c>
      <c r="P7">
        <f>371/1.18</f>
        <v>314.40677966101697</v>
      </c>
    </row>
    <row r="8" spans="1:16" customFormat="1">
      <c r="A8" s="1661" t="s">
        <v>381</v>
      </c>
      <c r="B8" s="1348">
        <f>+'BPET Konsolide'!D190*1000*1.18</f>
        <v>0</v>
      </c>
      <c r="C8" s="1348">
        <f>+'BPET Konsolide'!E190*1000*1.18</f>
        <v>0</v>
      </c>
      <c r="D8" s="1348">
        <f>+'BPET Konsolide'!F190*1000*1.18</f>
        <v>0</v>
      </c>
      <c r="E8" s="1348">
        <f>+'BPET Konsolide'!G190*1000*1.18</f>
        <v>0</v>
      </c>
      <c r="F8" s="1348">
        <f>+'BPET Konsolide'!H190*1000*1.18</f>
        <v>0</v>
      </c>
      <c r="G8" s="1348">
        <f>+'BPET Konsolide'!I190*1000*1.18</f>
        <v>0</v>
      </c>
      <c r="H8" s="1348">
        <f>+'BPET Konsolide'!J190*1000*1.18</f>
        <v>0</v>
      </c>
      <c r="I8" s="1348">
        <f>+'BPET Konsolide'!K190*1000*1.18</f>
        <v>0</v>
      </c>
      <c r="J8" s="1348">
        <f>+'BPET Konsolide'!L190*1000*1.18</f>
        <v>0</v>
      </c>
      <c r="K8" s="1348">
        <f>+'BPET Konsolide'!M190*1000*1.18</f>
        <v>0</v>
      </c>
      <c r="L8" s="1348">
        <f>+'BPET Konsolide'!N190*1000*1.18</f>
        <v>0</v>
      </c>
      <c r="M8" s="1348">
        <f>+'BPET Konsolide'!O190*1000*1.18</f>
        <v>0</v>
      </c>
      <c r="N8" s="1348">
        <f>SUM(C8:M8)</f>
        <v>0</v>
      </c>
      <c r="P8">
        <f>371-314</f>
        <v>57</v>
      </c>
    </row>
    <row r="9" spans="1:16" customFormat="1">
      <c r="A9" s="1661" t="s">
        <v>382</v>
      </c>
      <c r="B9" s="1348"/>
      <c r="C9" s="1348"/>
      <c r="D9" s="1348"/>
      <c r="E9" s="1348"/>
      <c r="F9" s="1348"/>
      <c r="G9" s="1348"/>
      <c r="H9" s="1348"/>
      <c r="I9" s="1348"/>
      <c r="J9" s="1348"/>
      <c r="K9" s="1348"/>
      <c r="L9" s="1348"/>
      <c r="M9" s="1348"/>
      <c r="N9" s="1348">
        <f t="shared" ref="N9:N14" si="6">SUM(B9:M9)</f>
        <v>0</v>
      </c>
    </row>
    <row r="10" spans="1:16" customFormat="1">
      <c r="A10" s="2012" t="s">
        <v>383</v>
      </c>
      <c r="B10" s="2013">
        <v>574088.14</v>
      </c>
      <c r="C10" s="2013">
        <v>564307.29</v>
      </c>
      <c r="D10" s="2013">
        <v>489531</v>
      </c>
      <c r="E10" s="2013">
        <v>565308.29</v>
      </c>
      <c r="F10" s="2013">
        <v>643422.14</v>
      </c>
      <c r="G10" s="2013">
        <v>599068.29</v>
      </c>
      <c r="H10" s="2013">
        <v>299506.14</v>
      </c>
      <c r="I10" s="2013">
        <v>291392.28999999998</v>
      </c>
      <c r="J10" s="2013">
        <v>219506.14</v>
      </c>
      <c r="K10" s="2013">
        <v>233891.63</v>
      </c>
      <c r="L10" s="2013">
        <v>140006.14000000001</v>
      </c>
      <c r="M10" s="2013">
        <v>140006.14000000001</v>
      </c>
      <c r="N10" s="2013">
        <f t="shared" si="6"/>
        <v>4760033.63</v>
      </c>
      <c r="O10" s="2014"/>
      <c r="P10" s="2014"/>
    </row>
    <row r="11" spans="1:16" s="1341" customFormat="1" ht="15.6">
      <c r="A11" s="1346" t="s">
        <v>384</v>
      </c>
      <c r="B11" s="1356">
        <f>SUM(B6:B10)</f>
        <v>78470462.913028702</v>
      </c>
      <c r="C11" s="1356">
        <f>SUM(C6:C10)</f>
        <v>564307.29</v>
      </c>
      <c r="D11" s="1356">
        <f>SUM(D6:D10)</f>
        <v>489531</v>
      </c>
      <c r="E11" s="1356">
        <f t="shared" ref="E11:M11" si="7">SUM(E6:E10)</f>
        <v>565308.29</v>
      </c>
      <c r="F11" s="1356">
        <f t="shared" si="7"/>
        <v>643422.14</v>
      </c>
      <c r="G11" s="1356">
        <f>SUM(G6:G10)</f>
        <v>599068.29</v>
      </c>
      <c r="H11" s="1356">
        <f t="shared" si="7"/>
        <v>299506.14</v>
      </c>
      <c r="I11" s="1356">
        <f t="shared" si="7"/>
        <v>291392.28999999998</v>
      </c>
      <c r="J11" s="1356">
        <f>SUM(J6:J10)</f>
        <v>219506.14</v>
      </c>
      <c r="K11" s="1356">
        <f t="shared" si="7"/>
        <v>233891.63</v>
      </c>
      <c r="L11" s="1356">
        <f t="shared" si="7"/>
        <v>140006.14000000001</v>
      </c>
      <c r="M11" s="1356">
        <f t="shared" si="7"/>
        <v>140006.14000000001</v>
      </c>
      <c r="N11" s="1345">
        <f t="shared" si="6"/>
        <v>82656408.403028727</v>
      </c>
    </row>
    <row r="12" spans="1:16" s="1659" customFormat="1" ht="15">
      <c r="B12" s="1348"/>
      <c r="C12" s="1348"/>
      <c r="D12" s="1348"/>
      <c r="E12" s="1348"/>
      <c r="F12" s="1348"/>
      <c r="G12" s="1348"/>
      <c r="H12" s="1348"/>
      <c r="I12" s="1348"/>
      <c r="J12" s="1348"/>
      <c r="K12" s="1348"/>
      <c r="L12" s="1348"/>
      <c r="M12" s="1348"/>
      <c r="N12" s="1348">
        <f t="shared" si="6"/>
        <v>0</v>
      </c>
      <c r="O12" s="1660"/>
    </row>
    <row r="13" spans="1:16" s="1341" customFormat="1" ht="15.6">
      <c r="A13" s="1347" t="s">
        <v>385</v>
      </c>
      <c r="B13" s="1356">
        <f>SUM(B14:B14)</f>
        <v>0</v>
      </c>
      <c r="C13" s="1356">
        <f>SUM(C14:C15)</f>
        <v>0</v>
      </c>
      <c r="D13" s="1356">
        <f t="shared" ref="D13:M13" si="8">SUM(D14:D15)</f>
        <v>0</v>
      </c>
      <c r="E13" s="1356">
        <f t="shared" si="8"/>
        <v>0</v>
      </c>
      <c r="F13" s="1356">
        <f t="shared" si="8"/>
        <v>0</v>
      </c>
      <c r="G13" s="1356">
        <f t="shared" si="8"/>
        <v>0</v>
      </c>
      <c r="H13" s="1356">
        <f t="shared" si="8"/>
        <v>0</v>
      </c>
      <c r="I13" s="1356">
        <f t="shared" si="8"/>
        <v>0</v>
      </c>
      <c r="J13" s="1356">
        <f t="shared" si="8"/>
        <v>0</v>
      </c>
      <c r="K13" s="1356">
        <f t="shared" si="8"/>
        <v>0</v>
      </c>
      <c r="L13" s="1356">
        <f t="shared" si="8"/>
        <v>0</v>
      </c>
      <c r="M13" s="1356">
        <f t="shared" si="8"/>
        <v>0</v>
      </c>
      <c r="N13" s="1345">
        <f t="shared" si="6"/>
        <v>0</v>
      </c>
    </row>
    <row r="14" spans="1:16" s="2017" customFormat="1">
      <c r="A14" s="2015" t="s">
        <v>386</v>
      </c>
      <c r="B14" s="2013">
        <f>+'BPET Konsolide'!D11*1.7945*1000</f>
        <v>0</v>
      </c>
      <c r="C14" s="2013">
        <f>+'BPET Konsolide'!E11*1.7945*1000</f>
        <v>0</v>
      </c>
      <c r="D14" s="2013">
        <f>+'BPET Konsolide'!F11*1.7945*1000</f>
        <v>0</v>
      </c>
      <c r="E14" s="2013">
        <f>+'BPET Konsolide'!G11*1.7945*1000</f>
        <v>0</v>
      </c>
      <c r="F14" s="2013">
        <f>+'BPET Konsolide'!H11*1.7945*1000</f>
        <v>0</v>
      </c>
      <c r="G14" s="2013">
        <f>+'BPET Konsolide'!I11*1.7945*1000</f>
        <v>0</v>
      </c>
      <c r="H14" s="2013">
        <f>+'BPET Konsolide'!J11*1.7945*1000</f>
        <v>0</v>
      </c>
      <c r="I14" s="2013">
        <f>+'BPET Konsolide'!K11*1.7945*1000</f>
        <v>0</v>
      </c>
      <c r="J14" s="2013">
        <f>+'BPET Konsolide'!L11*1.7945*1000</f>
        <v>0</v>
      </c>
      <c r="K14" s="2013">
        <f>+'BPET Konsolide'!M11*1.7945*1000</f>
        <v>0</v>
      </c>
      <c r="L14" s="2013">
        <f>+'BPET Konsolide'!N11*1.7945*1000</f>
        <v>0</v>
      </c>
      <c r="M14" s="2013">
        <f>+'BPET Konsolide'!O11*1.7945*1000</f>
        <v>0</v>
      </c>
      <c r="N14" s="2013">
        <f t="shared" si="6"/>
        <v>0</v>
      </c>
      <c r="O14" s="2016" t="s">
        <v>257</v>
      </c>
      <c r="P14" s="2017" t="s">
        <v>458</v>
      </c>
    </row>
    <row r="15" spans="1:16" s="1349" customFormat="1" ht="13.8" thickBot="1">
      <c r="A15" s="1350" t="s">
        <v>387</v>
      </c>
      <c r="B15" s="1664"/>
      <c r="C15" s="1664"/>
      <c r="D15" s="1662"/>
      <c r="E15" s="1662"/>
      <c r="F15" s="1662"/>
      <c r="G15" s="1662"/>
      <c r="H15" s="1662"/>
      <c r="I15" s="1662"/>
      <c r="J15" s="1662"/>
      <c r="K15" s="1662"/>
      <c r="L15" s="1662"/>
      <c r="M15" s="1662"/>
      <c r="N15" s="1663">
        <f>SUM(C15:M15)</f>
        <v>0</v>
      </c>
    </row>
    <row r="16" spans="1:16" s="1341" customFormat="1" ht="16.2" thickBot="1">
      <c r="A16" s="1339" t="s">
        <v>388</v>
      </c>
      <c r="B16" s="1340">
        <f>B18</f>
        <v>50551387.020000003</v>
      </c>
      <c r="C16" s="1340">
        <f>C18</f>
        <v>0</v>
      </c>
      <c r="D16" s="1340">
        <f t="shared" ref="D16:M16" si="9">D18</f>
        <v>0</v>
      </c>
      <c r="E16" s="1340">
        <f t="shared" si="9"/>
        <v>0</v>
      </c>
      <c r="F16" s="1340">
        <f t="shared" si="9"/>
        <v>0</v>
      </c>
      <c r="G16" s="1340">
        <f t="shared" si="9"/>
        <v>0</v>
      </c>
      <c r="H16" s="1340">
        <f t="shared" si="9"/>
        <v>0</v>
      </c>
      <c r="I16" s="1340">
        <f t="shared" si="9"/>
        <v>0</v>
      </c>
      <c r="J16" s="1340">
        <f t="shared" si="9"/>
        <v>0</v>
      </c>
      <c r="K16" s="1340">
        <f t="shared" si="9"/>
        <v>0</v>
      </c>
      <c r="L16" s="1340">
        <f t="shared" si="9"/>
        <v>0</v>
      </c>
      <c r="M16" s="1340">
        <f t="shared" si="9"/>
        <v>0</v>
      </c>
      <c r="N16" s="1340">
        <f>SUM(B16:M16)</f>
        <v>50551387.020000003</v>
      </c>
      <c r="O16" s="1349"/>
    </row>
    <row r="17" spans="1:15" ht="9.75" customHeight="1">
      <c r="A17" s="1344"/>
      <c r="B17" s="1351"/>
      <c r="C17" s="1351"/>
      <c r="D17" s="1351"/>
      <c r="E17" s="1351"/>
      <c r="F17" s="1351"/>
      <c r="G17" s="1351"/>
      <c r="H17" s="1351"/>
      <c r="I17" s="1351"/>
      <c r="J17" s="1351"/>
      <c r="K17" s="1351"/>
      <c r="L17" s="1351"/>
      <c r="M17" s="1351"/>
      <c r="N17" s="1351"/>
      <c r="O17" s="1349"/>
    </row>
    <row r="18" spans="1:15" s="1341" customFormat="1" ht="15.6">
      <c r="A18" s="1346" t="s">
        <v>389</v>
      </c>
      <c r="B18" s="1345">
        <f>SUM(B19:B34)</f>
        <v>50551387.020000003</v>
      </c>
      <c r="C18" s="1345">
        <f>SUM(C19:C34)</f>
        <v>0</v>
      </c>
      <c r="D18" s="1345">
        <f t="shared" ref="D18:M18" si="10">SUM(D19:D34)</f>
        <v>0</v>
      </c>
      <c r="E18" s="1345">
        <f t="shared" si="10"/>
        <v>0</v>
      </c>
      <c r="F18" s="1345">
        <f t="shared" si="10"/>
        <v>0</v>
      </c>
      <c r="G18" s="1345">
        <f t="shared" si="10"/>
        <v>0</v>
      </c>
      <c r="H18" s="1345">
        <f t="shared" si="10"/>
        <v>0</v>
      </c>
      <c r="I18" s="1345">
        <f t="shared" si="10"/>
        <v>0</v>
      </c>
      <c r="J18" s="1345">
        <f t="shared" si="10"/>
        <v>0</v>
      </c>
      <c r="K18" s="1345">
        <f t="shared" si="10"/>
        <v>0</v>
      </c>
      <c r="L18" s="1345">
        <f t="shared" si="10"/>
        <v>0</v>
      </c>
      <c r="M18" s="1345">
        <f t="shared" si="10"/>
        <v>0</v>
      </c>
      <c r="N18" s="1345">
        <f t="shared" ref="N18:N37" si="11">SUM(B18:M18)</f>
        <v>50551387.020000003</v>
      </c>
      <c r="O18" s="1349"/>
    </row>
    <row r="19" spans="1:15" s="1349" customFormat="1">
      <c r="A19" s="1352" t="s">
        <v>482</v>
      </c>
      <c r="B19" s="1348">
        <f>+B67*'Bütçe 2024 Kabuller'!C17</f>
        <v>0</v>
      </c>
      <c r="C19" s="1348">
        <f>+C67*'Bütçe 2024 Kabuller'!D17</f>
        <v>0</v>
      </c>
      <c r="D19" s="1348">
        <f>+D67*'Bütçe 2024 Kabuller'!E17</f>
        <v>0</v>
      </c>
      <c r="E19" s="1348">
        <f>+E67*'Bütçe 2024 Kabuller'!F17</f>
        <v>0</v>
      </c>
      <c r="F19" s="1348">
        <f>+F67*'Bütçe 2024 Kabuller'!G17</f>
        <v>0</v>
      </c>
      <c r="G19" s="1348">
        <f>+G67*'Bütçe 2024 Kabuller'!H17</f>
        <v>0</v>
      </c>
      <c r="H19" s="1348">
        <f>+H67*'Bütçe 2024 Kabuller'!I17</f>
        <v>0</v>
      </c>
      <c r="I19" s="1348">
        <f>+I67*'Bütçe 2024 Kabuller'!J17</f>
        <v>0</v>
      </c>
      <c r="J19" s="1348">
        <f>+J67*'Bütçe 2024 Kabuller'!K17</f>
        <v>0</v>
      </c>
      <c r="K19" s="1348">
        <f>+K67*'Bütçe 2024 Kabuller'!L17</f>
        <v>0</v>
      </c>
      <c r="L19" s="1348">
        <f>+L67*'Bütçe 2024 Kabuller'!M17</f>
        <v>0</v>
      </c>
      <c r="M19" s="1348">
        <f>+M67*'Bütçe 2024 Kabuller'!N17</f>
        <v>0</v>
      </c>
      <c r="N19" s="1348">
        <f t="shared" ref="N19" si="12">SUM(B19:M19)</f>
        <v>0</v>
      </c>
    </row>
    <row r="20" spans="1:15" s="1349" customFormat="1" hidden="1">
      <c r="A20" s="1352" t="s">
        <v>460</v>
      </c>
      <c r="B20" s="1348"/>
      <c r="C20" s="1348"/>
      <c r="D20" s="1348"/>
      <c r="E20" s="1348"/>
      <c r="F20" s="1348"/>
      <c r="G20" s="1348"/>
      <c r="H20" s="1348"/>
      <c r="I20" s="1348"/>
      <c r="J20" s="1348"/>
      <c r="K20" s="1348"/>
      <c r="L20" s="1348"/>
      <c r="M20" s="1348"/>
      <c r="N20" s="1348">
        <f t="shared" si="11"/>
        <v>0</v>
      </c>
    </row>
    <row r="21" spans="1:15" s="1349" customFormat="1">
      <c r="A21" s="1352" t="s">
        <v>390</v>
      </c>
      <c r="B21" s="1348">
        <f>+((('BPET Konsolide'!D105+'BPET Konsolide'!D106+'BPET Konsolide'!D108+'BPET Konsolide'!D109+'BPET Konsolide'!D110+'BPET Konsolide'!D112+'BPET Konsolide'!D114)*1000)*1.18)</f>
        <v>0</v>
      </c>
      <c r="C21" s="1348">
        <f>+((('BPET Konsolide'!E105+'BPET Konsolide'!E106+'BPET Konsolide'!E108+'BPET Konsolide'!E109+'BPET Konsolide'!E110+'BPET Konsolide'!E112+'BPET Konsolide'!E114)*1000)*1.18)</f>
        <v>0</v>
      </c>
      <c r="D21" s="1348">
        <f>+((('BPET Konsolide'!F105+'BPET Konsolide'!F106+'BPET Konsolide'!F108+'BPET Konsolide'!F109+'BPET Konsolide'!F110+'BPET Konsolide'!F112+'BPET Konsolide'!F114)*1000)*1.18)</f>
        <v>0</v>
      </c>
      <c r="E21" s="1348">
        <f>+((('BPET Konsolide'!G105+'BPET Konsolide'!G106+'BPET Konsolide'!G108+'BPET Konsolide'!G109+'BPET Konsolide'!G110+'BPET Konsolide'!G112+'BPET Konsolide'!G114)*1000)*1.18)</f>
        <v>0</v>
      </c>
      <c r="F21" s="1348">
        <f>+((('BPET Konsolide'!H105+'BPET Konsolide'!H106+'BPET Konsolide'!H108+'BPET Konsolide'!H109+'BPET Konsolide'!H110+'BPET Konsolide'!H112+'BPET Konsolide'!H114)*1000)*1.18)</f>
        <v>0</v>
      </c>
      <c r="G21" s="1348">
        <f>+((('BPET Konsolide'!I105+'BPET Konsolide'!I106+'BPET Konsolide'!I108+'BPET Konsolide'!I109+'BPET Konsolide'!I110+'BPET Konsolide'!I112+'BPET Konsolide'!I114)*1000)*1.18)</f>
        <v>0</v>
      </c>
      <c r="H21" s="1348">
        <f>+((('BPET Konsolide'!J105+'BPET Konsolide'!J106+'BPET Konsolide'!J108+'BPET Konsolide'!J109+'BPET Konsolide'!J110+'BPET Konsolide'!J112+'BPET Konsolide'!J114)*1000)*1.18)</f>
        <v>0</v>
      </c>
      <c r="I21" s="1348">
        <f>+((('BPET Konsolide'!K105+'BPET Konsolide'!K106+'BPET Konsolide'!K108+'BPET Konsolide'!K109+'BPET Konsolide'!K110+'BPET Konsolide'!K112+'BPET Konsolide'!K114)*1000)*1.18)</f>
        <v>0</v>
      </c>
      <c r="J21" s="1348">
        <f>+((('BPET Konsolide'!L105+'BPET Konsolide'!L106+'BPET Konsolide'!L108+'BPET Konsolide'!L109+'BPET Konsolide'!L110+'BPET Konsolide'!L112+'BPET Konsolide'!L114)*1000)*1.18)</f>
        <v>0</v>
      </c>
      <c r="K21" s="1348">
        <f>+((('BPET Konsolide'!M105+'BPET Konsolide'!M106+'BPET Konsolide'!M108+'BPET Konsolide'!M109+'BPET Konsolide'!M110+'BPET Konsolide'!M112+'BPET Konsolide'!M114)*1000)*1.18)</f>
        <v>0</v>
      </c>
      <c r="L21" s="1348">
        <f>+((('BPET Konsolide'!N105+'BPET Konsolide'!N106+'BPET Konsolide'!N108+'BPET Konsolide'!N109+'BPET Konsolide'!N110+'BPET Konsolide'!N112+'BPET Konsolide'!N114)*1000)*1.18)</f>
        <v>0</v>
      </c>
      <c r="M21" s="1348">
        <f>+((('BPET Konsolide'!O105+'BPET Konsolide'!O106+'BPET Konsolide'!O108+'BPET Konsolide'!O109+'BPET Konsolide'!O110+'BPET Konsolide'!O112+'BPET Konsolide'!O114)*1000)*1.18)</f>
        <v>0</v>
      </c>
      <c r="N21" s="1348">
        <f>SUM(B21:M21)</f>
        <v>0</v>
      </c>
      <c r="O21" s="1349" t="s">
        <v>257</v>
      </c>
    </row>
    <row r="22" spans="1:15" s="1349" customFormat="1">
      <c r="A22" s="1352" t="s">
        <v>391</v>
      </c>
      <c r="B22" s="1348">
        <f>+'BPET Konsolide'!D117*1000*1.18</f>
        <v>0</v>
      </c>
      <c r="C22" s="1348">
        <f>+'BPET Konsolide'!E117*1000*1.18</f>
        <v>0</v>
      </c>
      <c r="D22" s="1348">
        <f>+'BPET Konsolide'!F117*1000*1.18</f>
        <v>0</v>
      </c>
      <c r="E22" s="1348">
        <f>+'BPET Konsolide'!G117*1000*1.18</f>
        <v>0</v>
      </c>
      <c r="F22" s="1348">
        <f>+'BPET Konsolide'!H117*1000*1.18</f>
        <v>0</v>
      </c>
      <c r="G22" s="1348">
        <f>+'BPET Konsolide'!I117*1000*1.18</f>
        <v>0</v>
      </c>
      <c r="H22" s="1348">
        <f>+'BPET Konsolide'!J117*1000*1.18</f>
        <v>0</v>
      </c>
      <c r="I22" s="1348">
        <f>+'BPET Konsolide'!K117*1000*1.18</f>
        <v>0</v>
      </c>
      <c r="J22" s="1348">
        <f>+'BPET Konsolide'!L117*1000*1.18</f>
        <v>0</v>
      </c>
      <c r="K22" s="1348">
        <f>+'BPET Konsolide'!M117*1000*1.18</f>
        <v>0</v>
      </c>
      <c r="L22" s="1348">
        <f>+'BPET Konsolide'!N117*1000*1.18</f>
        <v>0</v>
      </c>
      <c r="M22" s="1348">
        <f>+'BPET Konsolide'!O117*1000*1.18</f>
        <v>0</v>
      </c>
      <c r="N22" s="1348">
        <f>SUM(B22:M22)</f>
        <v>0</v>
      </c>
      <c r="O22" s="1349" t="s">
        <v>257</v>
      </c>
    </row>
    <row r="23" spans="1:15" s="1349" customFormat="1">
      <c r="A23" s="1352" t="s">
        <v>479</v>
      </c>
      <c r="B23" s="1348">
        <f>+'BPET Konsolide'!D218*1000*1.18</f>
        <v>0</v>
      </c>
      <c r="C23" s="1348">
        <f>+'BPET Konsolide'!E218*1000*1.18</f>
        <v>0</v>
      </c>
      <c r="D23" s="1348">
        <f>+'BPET Konsolide'!F218*1000*1.18</f>
        <v>0</v>
      </c>
      <c r="E23" s="1348">
        <f>+'BPET Konsolide'!G218*1000*1.18</f>
        <v>0</v>
      </c>
      <c r="F23" s="1348">
        <f>+'BPET Konsolide'!H218*1000*1.18</f>
        <v>0</v>
      </c>
      <c r="G23" s="1348">
        <f>+'BPET Konsolide'!I218*1000*1.18</f>
        <v>0</v>
      </c>
      <c r="H23" s="1348">
        <f>+'BPET Konsolide'!J218*1000*1.18</f>
        <v>0</v>
      </c>
      <c r="I23" s="1348">
        <f>+'BPET Konsolide'!K218*1000*1.18</f>
        <v>0</v>
      </c>
      <c r="J23" s="1348">
        <f>+'BPET Konsolide'!L218*1000*1.18</f>
        <v>0</v>
      </c>
      <c r="K23" s="1348">
        <f>+'BPET Konsolide'!M218*1000*1.18</f>
        <v>0</v>
      </c>
      <c r="L23" s="1348">
        <f>+'BPET Konsolide'!N218*1000*1.18</f>
        <v>0</v>
      </c>
      <c r="M23" s="1348">
        <f>+'BPET Konsolide'!O218*1000*1.18</f>
        <v>0</v>
      </c>
      <c r="N23" s="1348">
        <f t="shared" si="11"/>
        <v>0</v>
      </c>
      <c r="O23" s="1349" t="s">
        <v>257</v>
      </c>
    </row>
    <row r="24" spans="1:15" s="1349" customFormat="1">
      <c r="A24" s="1352" t="s">
        <v>392</v>
      </c>
      <c r="B24" s="1348">
        <f>+B61</f>
        <v>0</v>
      </c>
      <c r="C24" s="1348">
        <f t="shared" ref="C24:M24" si="13">+C61</f>
        <v>0</v>
      </c>
      <c r="D24" s="1348">
        <f>+D61</f>
        <v>0</v>
      </c>
      <c r="E24" s="1348">
        <f t="shared" si="13"/>
        <v>0</v>
      </c>
      <c r="F24" s="1348">
        <f t="shared" si="13"/>
        <v>0</v>
      </c>
      <c r="G24" s="1348">
        <f t="shared" si="13"/>
        <v>0</v>
      </c>
      <c r="H24" s="1348">
        <f t="shared" si="13"/>
        <v>0</v>
      </c>
      <c r="I24" s="1348">
        <f t="shared" si="13"/>
        <v>0</v>
      </c>
      <c r="J24" s="1348">
        <f t="shared" si="13"/>
        <v>0</v>
      </c>
      <c r="K24" s="1348">
        <f t="shared" si="13"/>
        <v>0</v>
      </c>
      <c r="L24" s="1348">
        <f t="shared" si="13"/>
        <v>0</v>
      </c>
      <c r="M24" s="1348">
        <f t="shared" si="13"/>
        <v>0</v>
      </c>
      <c r="N24" s="1348">
        <f>SUM(B24:M24)</f>
        <v>0</v>
      </c>
      <c r="O24" s="1349" t="s">
        <v>257</v>
      </c>
    </row>
    <row r="25" spans="1:15" s="1349" customFormat="1">
      <c r="A25" s="1352" t="s">
        <v>393</v>
      </c>
      <c r="B25" s="1348">
        <f>+B63</f>
        <v>0</v>
      </c>
      <c r="C25" s="1348">
        <f t="shared" ref="C25:M25" si="14">+C63</f>
        <v>0</v>
      </c>
      <c r="D25" s="1348">
        <f t="shared" si="14"/>
        <v>0</v>
      </c>
      <c r="E25" s="1348">
        <f t="shared" si="14"/>
        <v>0</v>
      </c>
      <c r="F25" s="1348">
        <f t="shared" si="14"/>
        <v>0</v>
      </c>
      <c r="G25" s="1348">
        <f t="shared" si="14"/>
        <v>0</v>
      </c>
      <c r="H25" s="1348">
        <f t="shared" si="14"/>
        <v>0</v>
      </c>
      <c r="I25" s="1348">
        <f t="shared" si="14"/>
        <v>0</v>
      </c>
      <c r="J25" s="1348">
        <f t="shared" si="14"/>
        <v>0</v>
      </c>
      <c r="K25" s="1348">
        <f t="shared" si="14"/>
        <v>0</v>
      </c>
      <c r="L25" s="1348">
        <f t="shared" si="14"/>
        <v>0</v>
      </c>
      <c r="M25" s="1348">
        <f t="shared" si="14"/>
        <v>0</v>
      </c>
      <c r="N25" s="1348">
        <f t="shared" si="11"/>
        <v>0</v>
      </c>
      <c r="O25" s="1349" t="s">
        <v>257</v>
      </c>
    </row>
    <row r="26" spans="1:15" s="1349" customFormat="1">
      <c r="A26" s="1352" t="s">
        <v>394</v>
      </c>
      <c r="B26" s="1348">
        <v>28578776.32</v>
      </c>
      <c r="C26" s="1348">
        <f>+B58</f>
        <v>0</v>
      </c>
      <c r="D26" s="1348">
        <f t="shared" ref="D26:M26" si="15">+C58</f>
        <v>0</v>
      </c>
      <c r="E26" s="1348">
        <f t="shared" si="15"/>
        <v>0</v>
      </c>
      <c r="F26" s="1348">
        <f t="shared" si="15"/>
        <v>0</v>
      </c>
      <c r="G26" s="1348">
        <f t="shared" si="15"/>
        <v>0</v>
      </c>
      <c r="H26" s="1348">
        <f t="shared" si="15"/>
        <v>0</v>
      </c>
      <c r="I26" s="1348">
        <f t="shared" si="15"/>
        <v>0</v>
      </c>
      <c r="J26" s="1348">
        <f t="shared" si="15"/>
        <v>0</v>
      </c>
      <c r="K26" s="1348">
        <f t="shared" si="15"/>
        <v>0</v>
      </c>
      <c r="L26" s="1348">
        <f t="shared" si="15"/>
        <v>0</v>
      </c>
      <c r="M26" s="1348">
        <f t="shared" si="15"/>
        <v>0</v>
      </c>
      <c r="N26" s="1348">
        <f>SUM(B26:M26)</f>
        <v>28578776.32</v>
      </c>
      <c r="O26" s="1349" t="s">
        <v>257</v>
      </c>
    </row>
    <row r="27" spans="1:15" s="1349" customFormat="1" hidden="1">
      <c r="A27" s="1352" t="s">
        <v>395</v>
      </c>
      <c r="B27" s="1348"/>
      <c r="C27" s="1348"/>
      <c r="D27" s="1348"/>
      <c r="E27" s="1348"/>
      <c r="F27" s="1348"/>
      <c r="G27" s="1348"/>
      <c r="H27" s="1348"/>
      <c r="I27" s="1348"/>
      <c r="J27" s="1348"/>
      <c r="K27" s="1348"/>
      <c r="L27" s="1348"/>
      <c r="M27" s="1348"/>
      <c r="N27" s="1348">
        <f t="shared" si="11"/>
        <v>0</v>
      </c>
      <c r="O27" s="1349" t="s">
        <v>257</v>
      </c>
    </row>
    <row r="28" spans="1:15" s="1349" customFormat="1">
      <c r="A28" s="1352" t="s">
        <v>396</v>
      </c>
      <c r="B28" s="1348">
        <f>+'BPET Konsolide'!D151</f>
        <v>0</v>
      </c>
      <c r="C28" s="1348">
        <f>+'BPET Konsolide'!E151</f>
        <v>0</v>
      </c>
      <c r="D28" s="1348">
        <f>+'BPET Konsolide'!F151</f>
        <v>0</v>
      </c>
      <c r="E28" s="1348">
        <f>+'BPET Konsolide'!G151</f>
        <v>0</v>
      </c>
      <c r="F28" s="1348">
        <f>+'BPET Konsolide'!H151</f>
        <v>0</v>
      </c>
      <c r="G28" s="1348">
        <f>+'BPET Konsolide'!I151</f>
        <v>0</v>
      </c>
      <c r="H28" s="1348">
        <f>+'BPET Konsolide'!J151</f>
        <v>0</v>
      </c>
      <c r="I28" s="1348">
        <f>+'BPET Konsolide'!K151</f>
        <v>0</v>
      </c>
      <c r="J28" s="1348">
        <f>+'BPET Konsolide'!L151</f>
        <v>0</v>
      </c>
      <c r="K28" s="1348">
        <f>+'BPET Konsolide'!M151</f>
        <v>0</v>
      </c>
      <c r="L28" s="1348">
        <f>+'BPET Konsolide'!N151</f>
        <v>0</v>
      </c>
      <c r="M28" s="1348">
        <f>+'BPET Konsolide'!O151</f>
        <v>0</v>
      </c>
      <c r="N28" s="1348">
        <f t="shared" si="11"/>
        <v>0</v>
      </c>
      <c r="O28" s="1349" t="s">
        <v>257</v>
      </c>
    </row>
    <row r="29" spans="1:15" s="1349" customFormat="1">
      <c r="A29" s="1352" t="s">
        <v>397</v>
      </c>
      <c r="B29" s="1348">
        <f>+'BPET Konsolide'!D150-'BPET Konsolide'!D151*1.18</f>
        <v>0</v>
      </c>
      <c r="C29" s="1348">
        <f>+'BPET Konsolide'!E150-'BPET Konsolide'!E151*1.18</f>
        <v>0</v>
      </c>
      <c r="D29" s="1348">
        <f>+'BPET Konsolide'!F150-'BPET Konsolide'!F151*1.18</f>
        <v>0</v>
      </c>
      <c r="E29" s="1348">
        <f>+'BPET Konsolide'!G150-'BPET Konsolide'!G151*1.18</f>
        <v>0</v>
      </c>
      <c r="F29" s="1348">
        <f>+'BPET Konsolide'!H150-'BPET Konsolide'!H151*1.18</f>
        <v>0</v>
      </c>
      <c r="G29" s="1348">
        <f>+'BPET Konsolide'!I150-'BPET Konsolide'!I151*1.18</f>
        <v>0</v>
      </c>
      <c r="H29" s="1348">
        <f>+'BPET Konsolide'!J150-'BPET Konsolide'!J151*1.18</f>
        <v>0</v>
      </c>
      <c r="I29" s="1348">
        <f>+'BPET Konsolide'!K150-'BPET Konsolide'!K151*1.18</f>
        <v>0</v>
      </c>
      <c r="J29" s="1348">
        <f>+'BPET Konsolide'!L150-'BPET Konsolide'!L151*1.18</f>
        <v>0</v>
      </c>
      <c r="K29" s="1348">
        <f>+'BPET Konsolide'!M150-'BPET Konsolide'!M151*1.18</f>
        <v>0</v>
      </c>
      <c r="L29" s="1348">
        <f>+'BPET Konsolide'!N150-'BPET Konsolide'!N151*1.18</f>
        <v>0</v>
      </c>
      <c r="M29" s="1348">
        <f>+'BPET Konsolide'!O150-'BPET Konsolide'!O151*1.18</f>
        <v>0</v>
      </c>
      <c r="N29" s="1348">
        <f t="shared" si="11"/>
        <v>0</v>
      </c>
      <c r="O29" s="1349" t="s">
        <v>257</v>
      </c>
    </row>
    <row r="30" spans="1:15" s="1349" customFormat="1">
      <c r="A30" s="1352" t="s">
        <v>398</v>
      </c>
      <c r="B30" s="1348">
        <f>+'Diğer Gelir Ve Giderler 2024'!B35*1000</f>
        <v>0</v>
      </c>
      <c r="C30" s="1348">
        <f>+'Diğer Gelir Ve Giderler 2024'!C35*1000</f>
        <v>0</v>
      </c>
      <c r="D30" s="1348">
        <f>+'Diğer Gelir Ve Giderler 2024'!D35*1000</f>
        <v>0</v>
      </c>
      <c r="E30" s="1348">
        <f>+'Diğer Gelir Ve Giderler 2024'!E35*1000</f>
        <v>0</v>
      </c>
      <c r="F30" s="1348">
        <f>+'Diğer Gelir Ve Giderler 2024'!F35*1000</f>
        <v>0</v>
      </c>
      <c r="G30" s="1348">
        <f>+'Diğer Gelir Ve Giderler 2024'!G35*1000</f>
        <v>0</v>
      </c>
      <c r="H30" s="1348">
        <f>+'Diğer Gelir Ve Giderler 2024'!H35*1000</f>
        <v>0</v>
      </c>
      <c r="I30" s="1348">
        <f>+'Diğer Gelir Ve Giderler 2024'!I35*1000</f>
        <v>0</v>
      </c>
      <c r="J30" s="1348">
        <f>+'Diğer Gelir Ve Giderler 2024'!J35*1000</f>
        <v>0</v>
      </c>
      <c r="K30" s="1348">
        <f>+'Diğer Gelir Ve Giderler 2024'!K35*1000</f>
        <v>0</v>
      </c>
      <c r="L30" s="1348">
        <f>+'Diğer Gelir Ve Giderler 2024'!L35*1000</f>
        <v>0</v>
      </c>
      <c r="M30" s="1348">
        <f>+'Diğer Gelir Ve Giderler 2024'!M35*1000</f>
        <v>0</v>
      </c>
      <c r="N30" s="1348">
        <f>SUM(B30:M30)</f>
        <v>0</v>
      </c>
      <c r="O30" s="1349" t="s">
        <v>257</v>
      </c>
    </row>
    <row r="31" spans="1:15" s="1349" customFormat="1" hidden="1">
      <c r="A31" s="1353" t="s">
        <v>399</v>
      </c>
      <c r="B31" s="1354"/>
      <c r="C31" s="1354"/>
      <c r="D31" s="1354"/>
      <c r="E31" s="1354"/>
      <c r="F31" s="1354"/>
      <c r="G31" s="1354"/>
      <c r="H31" s="1354"/>
      <c r="I31" s="1354"/>
      <c r="J31" s="1354"/>
      <c r="K31" s="1354"/>
      <c r="L31" s="1354"/>
      <c r="M31" s="1354"/>
      <c r="N31" s="1354"/>
      <c r="O31" s="1582"/>
    </row>
    <row r="32" spans="1:15" s="1349" customFormat="1">
      <c r="A32" s="1352" t="s">
        <v>400</v>
      </c>
      <c r="B32" s="1348">
        <f>+'BPET Konsolide'!D219*1000</f>
        <v>0</v>
      </c>
      <c r="C32" s="1348">
        <f>+'BPET Konsolide'!E219*1000</f>
        <v>0</v>
      </c>
      <c r="D32" s="1348">
        <f>+'BPET Konsolide'!F219*1000</f>
        <v>0</v>
      </c>
      <c r="E32" s="1348">
        <f>+'BPET Konsolide'!G219*1000</f>
        <v>0</v>
      </c>
      <c r="F32" s="1348">
        <f>+'BPET Konsolide'!H219*1000</f>
        <v>0</v>
      </c>
      <c r="G32" s="1348">
        <f>+'BPET Konsolide'!I219*1000</f>
        <v>0</v>
      </c>
      <c r="H32" s="1348">
        <f>+'BPET Konsolide'!J219*1000</f>
        <v>0</v>
      </c>
      <c r="I32" s="1348">
        <f>+'BPET Konsolide'!K219*1000</f>
        <v>0</v>
      </c>
      <c r="J32" s="1348">
        <f>+'BPET Konsolide'!L219*1000</f>
        <v>0</v>
      </c>
      <c r="K32" s="1348">
        <f>+'BPET Konsolide'!M219*1000</f>
        <v>0</v>
      </c>
      <c r="L32" s="1348">
        <f>+'BPET Konsolide'!N219*1000</f>
        <v>0</v>
      </c>
      <c r="M32" s="1348">
        <f>+'BPET Konsolide'!O219*1000</f>
        <v>0</v>
      </c>
      <c r="N32" s="1348">
        <f>SUM(B32:M32)</f>
        <v>0</v>
      </c>
      <c r="O32" s="1349" t="s">
        <v>257</v>
      </c>
    </row>
    <row r="33" spans="1:17" s="1349" customFormat="1" hidden="1">
      <c r="A33" s="1353" t="s">
        <v>401</v>
      </c>
      <c r="B33" s="1355">
        <v>0</v>
      </c>
      <c r="C33" s="1355">
        <v>0</v>
      </c>
      <c r="D33" s="1355">
        <v>0</v>
      </c>
      <c r="E33" s="1355">
        <v>0</v>
      </c>
      <c r="F33" s="1355">
        <v>0</v>
      </c>
      <c r="G33" s="1355">
        <v>0</v>
      </c>
      <c r="H33" s="1355">
        <v>0</v>
      </c>
      <c r="I33" s="1355">
        <v>0</v>
      </c>
      <c r="J33" s="1355">
        <v>0</v>
      </c>
      <c r="K33" s="1355">
        <v>0</v>
      </c>
      <c r="L33" s="1355">
        <v>0</v>
      </c>
      <c r="M33" s="1355">
        <v>0</v>
      </c>
      <c r="N33" s="1355">
        <f>SUM(B33:M33)</f>
        <v>0</v>
      </c>
    </row>
    <row r="34" spans="1:17" s="1341" customFormat="1" ht="15.6">
      <c r="A34" s="1346" t="s">
        <v>402</v>
      </c>
      <c r="B34" s="1356">
        <f>B35+B36+B37</f>
        <v>21972610.700000003</v>
      </c>
      <c r="C34" s="1356">
        <f t="shared" ref="C34:M34" si="16">C35+C36+C37</f>
        <v>0</v>
      </c>
      <c r="D34" s="1356">
        <f>D35+D36+D37</f>
        <v>0</v>
      </c>
      <c r="E34" s="1356">
        <f t="shared" si="16"/>
        <v>0</v>
      </c>
      <c r="F34" s="1356">
        <f t="shared" si="16"/>
        <v>0</v>
      </c>
      <c r="G34" s="1356">
        <f t="shared" si="16"/>
        <v>0</v>
      </c>
      <c r="H34" s="1356">
        <f t="shared" si="16"/>
        <v>0</v>
      </c>
      <c r="I34" s="1356">
        <f t="shared" si="16"/>
        <v>0</v>
      </c>
      <c r="J34" s="1356">
        <f t="shared" si="16"/>
        <v>0</v>
      </c>
      <c r="K34" s="1356">
        <f t="shared" si="16"/>
        <v>0</v>
      </c>
      <c r="L34" s="1356">
        <f t="shared" si="16"/>
        <v>0</v>
      </c>
      <c r="M34" s="1356">
        <f t="shared" si="16"/>
        <v>0</v>
      </c>
      <c r="N34" s="1345">
        <f t="shared" si="11"/>
        <v>21972610.700000003</v>
      </c>
      <c r="O34" s="1349"/>
    </row>
    <row r="35" spans="1:17" s="1349" customFormat="1">
      <c r="A35" s="1352" t="s">
        <v>386</v>
      </c>
      <c r="B35" s="1348">
        <f>+B14</f>
        <v>0</v>
      </c>
      <c r="C35" s="1348">
        <f>+C14</f>
        <v>0</v>
      </c>
      <c r="D35" s="1348">
        <f t="shared" ref="D35:L35" si="17">+D14</f>
        <v>0</v>
      </c>
      <c r="E35" s="1348">
        <f t="shared" si="17"/>
        <v>0</v>
      </c>
      <c r="F35" s="1348">
        <f t="shared" si="17"/>
        <v>0</v>
      </c>
      <c r="G35" s="1348">
        <f t="shared" si="17"/>
        <v>0</v>
      </c>
      <c r="H35" s="1348">
        <f t="shared" si="17"/>
        <v>0</v>
      </c>
      <c r="I35" s="1348">
        <f t="shared" si="17"/>
        <v>0</v>
      </c>
      <c r="J35" s="1348">
        <f t="shared" si="17"/>
        <v>0</v>
      </c>
      <c r="K35" s="1348">
        <f t="shared" si="17"/>
        <v>0</v>
      </c>
      <c r="L35" s="1348">
        <f t="shared" si="17"/>
        <v>0</v>
      </c>
      <c r="M35" s="1348">
        <f>+M14</f>
        <v>0</v>
      </c>
      <c r="N35" s="1348">
        <f>SUM(B35:M35)</f>
        <v>0</v>
      </c>
      <c r="O35" s="1349" t="s">
        <v>257</v>
      </c>
    </row>
    <row r="36" spans="1:17" s="1349" customFormat="1">
      <c r="A36" s="1352" t="s">
        <v>403</v>
      </c>
      <c r="B36" s="1348">
        <f>+P48</f>
        <v>21972610.700000003</v>
      </c>
      <c r="C36" s="1348">
        <f>+B45</f>
        <v>0</v>
      </c>
      <c r="D36" s="1348">
        <f>+C45</f>
        <v>0</v>
      </c>
      <c r="E36" s="1348">
        <f>+D45</f>
        <v>0</v>
      </c>
      <c r="F36" s="1348">
        <f t="shared" ref="F36:M36" si="18">+E45</f>
        <v>0</v>
      </c>
      <c r="G36" s="1348">
        <f t="shared" si="18"/>
        <v>0</v>
      </c>
      <c r="H36" s="1348">
        <f t="shared" si="18"/>
        <v>0</v>
      </c>
      <c r="I36" s="1348">
        <f t="shared" si="18"/>
        <v>0</v>
      </c>
      <c r="J36" s="1348">
        <f t="shared" si="18"/>
        <v>0</v>
      </c>
      <c r="K36" s="1348">
        <f t="shared" si="18"/>
        <v>0</v>
      </c>
      <c r="L36" s="1348">
        <f t="shared" si="18"/>
        <v>0</v>
      </c>
      <c r="M36" s="1348">
        <f t="shared" si="18"/>
        <v>0</v>
      </c>
      <c r="N36" s="1348">
        <f t="shared" si="11"/>
        <v>21972610.700000003</v>
      </c>
      <c r="O36" s="1349" t="s">
        <v>257</v>
      </c>
    </row>
    <row r="37" spans="1:17" s="1349" customFormat="1" hidden="1">
      <c r="A37" s="1352" t="s">
        <v>404</v>
      </c>
      <c r="B37" s="1348"/>
      <c r="C37" s="1348"/>
      <c r="D37" s="1348"/>
      <c r="E37" s="1348"/>
      <c r="F37" s="1348"/>
      <c r="G37" s="1348"/>
      <c r="H37" s="1348"/>
      <c r="I37" s="1348"/>
      <c r="J37" s="1348"/>
      <c r="K37" s="1348"/>
      <c r="L37" s="1348"/>
      <c r="M37" s="1348"/>
      <c r="N37" s="1348">
        <f t="shared" si="11"/>
        <v>0</v>
      </c>
    </row>
    <row r="38" spans="1:17" ht="9" customHeight="1" thickBot="1">
      <c r="A38" s="1344"/>
      <c r="B38" s="1351"/>
      <c r="C38" s="1351"/>
      <c r="D38" s="1351"/>
      <c r="E38" s="1351"/>
      <c r="F38" s="1351"/>
      <c r="G38" s="1351"/>
      <c r="H38" s="1351"/>
      <c r="I38" s="1351"/>
      <c r="J38" s="1351"/>
      <c r="K38" s="1351"/>
      <c r="L38" s="1351"/>
      <c r="M38" s="1351"/>
      <c r="N38" s="1351"/>
      <c r="O38" s="1349"/>
    </row>
    <row r="39" spans="1:17" s="1341" customFormat="1" ht="16.2" thickBot="1">
      <c r="A39" s="1339" t="s">
        <v>455</v>
      </c>
      <c r="B39" s="1340">
        <f>+('BPET Konsolide'!D217+'BPET Konsolide'!D219)*1000</f>
        <v>0</v>
      </c>
      <c r="C39" s="1340">
        <f>+('BPET Konsolide'!E217+'BPET Konsolide'!E219)*1000</f>
        <v>0</v>
      </c>
      <c r="D39" s="1340">
        <f>+('BPET Konsolide'!F217+'BPET Konsolide'!F219)*1000</f>
        <v>0</v>
      </c>
      <c r="E39" s="1340">
        <f>+('BPET Konsolide'!G217+'BPET Konsolide'!G219)*1000</f>
        <v>0</v>
      </c>
      <c r="F39" s="1340">
        <f>+('BPET Konsolide'!H217+'BPET Konsolide'!H219)*1000</f>
        <v>0</v>
      </c>
      <c r="G39" s="1340">
        <f>+('BPET Konsolide'!I217+'BPET Konsolide'!I219)*1000</f>
        <v>0</v>
      </c>
      <c r="H39" s="1340">
        <f>+('BPET Konsolide'!J217+'BPET Konsolide'!J219)*1000</f>
        <v>0</v>
      </c>
      <c r="I39" s="1340">
        <f>+('BPET Konsolide'!K217+'BPET Konsolide'!K219)*1000</f>
        <v>0</v>
      </c>
      <c r="J39" s="1340">
        <f>+('BPET Konsolide'!L217+'BPET Konsolide'!L219)*1000</f>
        <v>0</v>
      </c>
      <c r="K39" s="1340">
        <f>+('BPET Konsolide'!M217+'BPET Konsolide'!M219)*1000</f>
        <v>0</v>
      </c>
      <c r="L39" s="1340">
        <f>+('BPET Konsolide'!N217+'BPET Konsolide'!N219)*1000</f>
        <v>0</v>
      </c>
      <c r="M39" s="1340">
        <f>+('BPET Konsolide'!O217+'BPET Konsolide'!O219)*1000</f>
        <v>0</v>
      </c>
      <c r="N39" s="1340">
        <f>SUM(B39:M39)</f>
        <v>0</v>
      </c>
      <c r="O39" s="1349" t="s">
        <v>257</v>
      </c>
    </row>
    <row r="40" spans="1:17" ht="13.8" thickBot="1">
      <c r="A40" s="1344"/>
      <c r="B40" s="1351"/>
      <c r="C40" s="1351"/>
      <c r="D40" s="1351"/>
      <c r="E40" s="1351"/>
      <c r="F40" s="1351"/>
      <c r="G40" s="1351"/>
      <c r="H40" s="1351"/>
      <c r="I40" s="1351"/>
      <c r="J40" s="1351"/>
      <c r="K40" s="1351"/>
      <c r="L40" s="1351"/>
      <c r="M40" s="1351"/>
      <c r="N40" s="1351"/>
      <c r="O40" s="1349"/>
    </row>
    <row r="41" spans="1:17" ht="16.2" thickBot="1">
      <c r="A41" s="1666" t="s">
        <v>405</v>
      </c>
      <c r="B41" s="1357">
        <f>(B3+B4)-(B16+B39)</f>
        <v>30868043.633028693</v>
      </c>
      <c r="C41" s="1357">
        <f>(C3+C4)-(C16+C39)</f>
        <v>31432350.923028693</v>
      </c>
      <c r="D41" s="1357">
        <f t="shared" ref="D41:M41" si="19">(D3+D4)-(D16+D39)</f>
        <v>31921881.923028693</v>
      </c>
      <c r="E41" s="1357">
        <f>(E3+E4)-(E16+E39)</f>
        <v>32487190.213028692</v>
      </c>
      <c r="F41" s="1357">
        <f t="shared" si="19"/>
        <v>33130612.353028692</v>
      </c>
      <c r="G41" s="1357">
        <f t="shared" si="19"/>
        <v>33729680.643028691</v>
      </c>
      <c r="H41" s="1357">
        <f t="shared" si="19"/>
        <v>34029186.783028692</v>
      </c>
      <c r="I41" s="1357">
        <f t="shared" si="19"/>
        <v>34320579.073028691</v>
      </c>
      <c r="J41" s="1357">
        <f t="shared" si="19"/>
        <v>34540085.213028692</v>
      </c>
      <c r="K41" s="1357">
        <f t="shared" si="19"/>
        <v>34773976.843028694</v>
      </c>
      <c r="L41" s="1357">
        <f t="shared" si="19"/>
        <v>34913982.983028695</v>
      </c>
      <c r="M41" s="1357">
        <f t="shared" si="19"/>
        <v>35053989.123028696</v>
      </c>
      <c r="N41" s="1357"/>
      <c r="O41" s="1349" t="s">
        <v>257</v>
      </c>
    </row>
    <row r="42" spans="1:17" ht="17.399999999999999">
      <c r="A42" s="1358"/>
      <c r="B42" s="1351"/>
      <c r="C42" s="1351"/>
      <c r="D42" s="1351"/>
      <c r="E42" s="1351"/>
      <c r="F42" s="1351"/>
      <c r="G42" s="1351"/>
      <c r="H42" s="1351"/>
      <c r="I42" s="1351"/>
      <c r="J42" s="1351"/>
      <c r="K42" s="1351"/>
      <c r="L42" s="1351"/>
      <c r="M42" s="1351"/>
      <c r="N42" s="1351"/>
      <c r="O42" s="1349" t="s">
        <v>257</v>
      </c>
    </row>
    <row r="43" spans="1:17" ht="15.75" customHeight="1">
      <c r="A43" s="1344" t="s">
        <v>406</v>
      </c>
      <c r="B43" s="1351">
        <f>+B4-B16-B39</f>
        <v>27919075.893028699</v>
      </c>
      <c r="C43" s="1351">
        <f>+C4-C16-C39</f>
        <v>564307.29</v>
      </c>
      <c r="D43" s="1351">
        <f t="shared" ref="D43:M43" si="20">+D4-D16-D39</f>
        <v>489531</v>
      </c>
      <c r="E43" s="1351">
        <f t="shared" si="20"/>
        <v>565308.29</v>
      </c>
      <c r="F43" s="1351">
        <f>+F4-F16-F39</f>
        <v>643422.14</v>
      </c>
      <c r="G43" s="1351">
        <f t="shared" si="20"/>
        <v>599068.29</v>
      </c>
      <c r="H43" s="1351">
        <f t="shared" si="20"/>
        <v>299506.14</v>
      </c>
      <c r="I43" s="1351">
        <f t="shared" si="20"/>
        <v>291392.28999999998</v>
      </c>
      <c r="J43" s="1351">
        <f t="shared" si="20"/>
        <v>219506.14</v>
      </c>
      <c r="K43" s="1351">
        <f t="shared" si="20"/>
        <v>233891.63</v>
      </c>
      <c r="L43" s="1351">
        <f t="shared" si="20"/>
        <v>140006.14000000001</v>
      </c>
      <c r="M43" s="1351">
        <f t="shared" si="20"/>
        <v>140006.14000000001</v>
      </c>
      <c r="N43" s="1351"/>
      <c r="O43" s="1349" t="s">
        <v>257</v>
      </c>
    </row>
    <row r="44" spans="1:17">
      <c r="A44" s="1344" t="s">
        <v>407</v>
      </c>
      <c r="B44" s="1351">
        <f>B3+B43</f>
        <v>30868043.633028701</v>
      </c>
      <c r="C44" s="1351">
        <f t="shared" ref="C44:M44" si="21">C3+C43</f>
        <v>31432350.923028693</v>
      </c>
      <c r="D44" s="1351">
        <f t="shared" si="21"/>
        <v>31921881.923028693</v>
      </c>
      <c r="E44" s="1351">
        <f t="shared" si="21"/>
        <v>32487190.213028692</v>
      </c>
      <c r="F44" s="1351">
        <f t="shared" si="21"/>
        <v>33130612.353028692</v>
      </c>
      <c r="G44" s="1351">
        <f t="shared" si="21"/>
        <v>33729680.643028691</v>
      </c>
      <c r="H44" s="1351">
        <f t="shared" si="21"/>
        <v>34029186.783028692</v>
      </c>
      <c r="I44" s="1351">
        <f t="shared" si="21"/>
        <v>34320579.073028691</v>
      </c>
      <c r="J44" s="1351">
        <f t="shared" si="21"/>
        <v>34540085.213028692</v>
      </c>
      <c r="K44" s="1351">
        <f t="shared" si="21"/>
        <v>34773976.843028694</v>
      </c>
      <c r="L44" s="1351">
        <f t="shared" si="21"/>
        <v>34913982.983028695</v>
      </c>
      <c r="M44" s="1351">
        <f t="shared" si="21"/>
        <v>35053989.123028696</v>
      </c>
      <c r="N44" s="1351"/>
      <c r="O44" s="1349" t="s">
        <v>257</v>
      </c>
      <c r="P44" s="1589"/>
      <c r="Q44" s="1589"/>
    </row>
    <row r="45" spans="1:17" s="1360" customFormat="1" ht="17.399999999999999">
      <c r="A45" s="1667" t="s">
        <v>408</v>
      </c>
      <c r="B45" s="1359">
        <f t="shared" ref="B45:G45" si="22">IF(B44&lt;0,B44*-1+1000000,0)</f>
        <v>0</v>
      </c>
      <c r="C45" s="1359">
        <f t="shared" si="22"/>
        <v>0</v>
      </c>
      <c r="D45" s="1359">
        <f t="shared" si="22"/>
        <v>0</v>
      </c>
      <c r="E45" s="1359">
        <f t="shared" si="22"/>
        <v>0</v>
      </c>
      <c r="F45" s="1359">
        <f t="shared" si="22"/>
        <v>0</v>
      </c>
      <c r="G45" s="1359">
        <f t="shared" si="22"/>
        <v>0</v>
      </c>
      <c r="H45" s="1359">
        <f t="shared" ref="H45:M45" si="23">IF(H44&lt;0,H44*-1+1000000,0)</f>
        <v>0</v>
      </c>
      <c r="I45" s="1359">
        <f t="shared" si="23"/>
        <v>0</v>
      </c>
      <c r="J45" s="1359">
        <f t="shared" si="23"/>
        <v>0</v>
      </c>
      <c r="K45" s="1359">
        <f t="shared" si="23"/>
        <v>0</v>
      </c>
      <c r="L45" s="1359">
        <f t="shared" si="23"/>
        <v>0</v>
      </c>
      <c r="M45" s="1359">
        <f t="shared" si="23"/>
        <v>0</v>
      </c>
      <c r="N45" s="1359">
        <f>SUM(B45:M45)</f>
        <v>0</v>
      </c>
      <c r="O45" s="1349" t="s">
        <v>257</v>
      </c>
      <c r="P45" s="2291" t="s">
        <v>416</v>
      </c>
      <c r="Q45" s="2291"/>
    </row>
    <row r="46" spans="1:17">
      <c r="A46" s="1344"/>
      <c r="B46" s="1351"/>
      <c r="C46" s="1351"/>
      <c r="D46" s="1351"/>
      <c r="E46" s="1351"/>
      <c r="F46" s="1351"/>
      <c r="G46" s="1351"/>
      <c r="H46" s="1351"/>
      <c r="I46" s="1351"/>
      <c r="J46" s="1351"/>
      <c r="K46" s="1351"/>
      <c r="L46" s="1351"/>
      <c r="M46" s="1351"/>
      <c r="N46" s="1351"/>
      <c r="O46" s="1349"/>
      <c r="P46" s="1587">
        <v>18286295.890000001</v>
      </c>
      <c r="Q46" s="1588" t="s">
        <v>432</v>
      </c>
    </row>
    <row r="47" spans="1:17">
      <c r="A47" s="1344" t="s">
        <v>409</v>
      </c>
      <c r="B47" s="1351">
        <f>+B41</f>
        <v>30868043.633028693</v>
      </c>
      <c r="C47" s="1351">
        <f>C41</f>
        <v>31432350.923028693</v>
      </c>
      <c r="D47" s="1351">
        <f>D41</f>
        <v>31921881.923028693</v>
      </c>
      <c r="E47" s="1351">
        <f>E41</f>
        <v>32487190.213028692</v>
      </c>
      <c r="F47" s="1351">
        <f t="shared" ref="F47:M47" si="24">F41</f>
        <v>33130612.353028692</v>
      </c>
      <c r="G47" s="1351">
        <f t="shared" si="24"/>
        <v>33729680.643028691</v>
      </c>
      <c r="H47" s="1351">
        <f t="shared" si="24"/>
        <v>34029186.783028692</v>
      </c>
      <c r="I47" s="1351">
        <f t="shared" si="24"/>
        <v>34320579.073028691</v>
      </c>
      <c r="J47" s="1351">
        <f t="shared" si="24"/>
        <v>34540085.213028692</v>
      </c>
      <c r="K47" s="1351">
        <f t="shared" si="24"/>
        <v>34773976.843028694</v>
      </c>
      <c r="L47" s="1351">
        <f t="shared" si="24"/>
        <v>34913982.983028695</v>
      </c>
      <c r="M47" s="1351">
        <f t="shared" si="24"/>
        <v>35053989.123028696</v>
      </c>
      <c r="N47" s="1351"/>
      <c r="O47" s="1349" t="s">
        <v>257</v>
      </c>
      <c r="P47" s="1583">
        <v>59731160.259999998</v>
      </c>
      <c r="Q47" s="1584" t="s">
        <v>457</v>
      </c>
    </row>
    <row r="48" spans="1:17" ht="13.8" thickBot="1">
      <c r="A48" s="1344" t="s">
        <v>385</v>
      </c>
      <c r="B48" s="1351">
        <f>+B45</f>
        <v>0</v>
      </c>
      <c r="C48" s="1351">
        <f>+C45</f>
        <v>0</v>
      </c>
      <c r="D48" s="1351">
        <f>+D45</f>
        <v>0</v>
      </c>
      <c r="E48" s="1351">
        <f>+E45</f>
        <v>0</v>
      </c>
      <c r="F48" s="1351">
        <f t="shared" ref="F48:M48" si="25">+F45</f>
        <v>0</v>
      </c>
      <c r="G48" s="1351">
        <f t="shared" si="25"/>
        <v>0</v>
      </c>
      <c r="H48" s="1351">
        <f t="shared" si="25"/>
        <v>0</v>
      </c>
      <c r="I48" s="1351">
        <f t="shared" si="25"/>
        <v>0</v>
      </c>
      <c r="J48" s="1351">
        <f t="shared" si="25"/>
        <v>0</v>
      </c>
      <c r="K48" s="1351">
        <f t="shared" si="25"/>
        <v>0</v>
      </c>
      <c r="L48" s="1351">
        <f t="shared" si="25"/>
        <v>0</v>
      </c>
      <c r="M48" s="1351">
        <f t="shared" si="25"/>
        <v>0</v>
      </c>
      <c r="N48" s="1351"/>
      <c r="O48" s="1349" t="s">
        <v>257</v>
      </c>
      <c r="P48" s="1585">
        <f>+P46+P47-P49</f>
        <v>21972610.700000003</v>
      </c>
      <c r="Q48" s="1586" t="s">
        <v>456</v>
      </c>
    </row>
    <row r="49" spans="1:17">
      <c r="A49" s="1344" t="s">
        <v>403</v>
      </c>
      <c r="B49" s="1351"/>
      <c r="C49" s="1351"/>
      <c r="D49" s="1351"/>
      <c r="E49" s="1351"/>
      <c r="F49" s="1351"/>
      <c r="G49" s="1351"/>
      <c r="H49" s="1351"/>
      <c r="I49" s="1351"/>
      <c r="J49" s="1351"/>
      <c r="K49" s="1351"/>
      <c r="L49" s="1351"/>
      <c r="M49" s="1351"/>
      <c r="N49" s="1351"/>
      <c r="O49" s="1349"/>
      <c r="P49" s="1590">
        <v>56044845.450000003</v>
      </c>
      <c r="Q49" s="1" t="s">
        <v>461</v>
      </c>
    </row>
    <row r="50" spans="1:17" ht="13.8" thickBot="1">
      <c r="A50" s="1344"/>
      <c r="B50" s="1351"/>
      <c r="C50" s="1351"/>
      <c r="D50" s="1351"/>
      <c r="E50" s="1351"/>
      <c r="F50" s="1351"/>
      <c r="G50" s="1351"/>
      <c r="H50" s="1351"/>
      <c r="I50" s="1351"/>
      <c r="J50" s="1351"/>
      <c r="K50" s="1351"/>
      <c r="L50" s="1351"/>
      <c r="M50" s="1351"/>
      <c r="N50" s="1351"/>
      <c r="O50" s="1349"/>
    </row>
    <row r="51" spans="1:17" s="1341" customFormat="1" ht="16.2" thickBot="1">
      <c r="A51" s="1339" t="s">
        <v>410</v>
      </c>
      <c r="B51" s="1340">
        <f>+B47+B48</f>
        <v>30868043.633028693</v>
      </c>
      <c r="C51" s="1340">
        <f>+C47+C48</f>
        <v>31432350.923028693</v>
      </c>
      <c r="D51" s="1340">
        <f>+D47+D48</f>
        <v>31921881.923028693</v>
      </c>
      <c r="E51" s="1340">
        <f>+E47+E48</f>
        <v>32487190.213028692</v>
      </c>
      <c r="F51" s="1340">
        <f>+F47+F48</f>
        <v>33130612.353028692</v>
      </c>
      <c r="G51" s="1340">
        <f t="shared" ref="G51:L51" si="26">+G47+G48</f>
        <v>33729680.643028691</v>
      </c>
      <c r="H51" s="1340">
        <f t="shared" si="26"/>
        <v>34029186.783028692</v>
      </c>
      <c r="I51" s="1340">
        <f t="shared" si="26"/>
        <v>34320579.073028691</v>
      </c>
      <c r="J51" s="1340">
        <f t="shared" si="26"/>
        <v>34540085.213028692</v>
      </c>
      <c r="K51" s="1340">
        <f t="shared" si="26"/>
        <v>34773976.843028694</v>
      </c>
      <c r="L51" s="1340">
        <f t="shared" si="26"/>
        <v>34913982.983028695</v>
      </c>
      <c r="M51" s="1340">
        <f>+M47+M48</f>
        <v>35053989.123028696</v>
      </c>
      <c r="N51" s="1340">
        <f>SUM(B51:M51)</f>
        <v>401201559.70634437</v>
      </c>
      <c r="O51" s="1349" t="s">
        <v>257</v>
      </c>
    </row>
    <row r="52" spans="1:17" ht="13.8" thickBot="1">
      <c r="B52" s="1361"/>
      <c r="N52" s="1363"/>
    </row>
    <row r="53" spans="1:17" ht="13.8" hidden="1" thickBot="1">
      <c r="B53" s="1361"/>
      <c r="N53" s="1363"/>
    </row>
    <row r="54" spans="1:17">
      <c r="B54" s="1364" t="s">
        <v>442</v>
      </c>
      <c r="C54" s="1365" t="s">
        <v>443</v>
      </c>
      <c r="D54" s="1365" t="s">
        <v>444</v>
      </c>
      <c r="E54" s="1365" t="s">
        <v>445</v>
      </c>
      <c r="F54" s="1365" t="s">
        <v>446</v>
      </c>
      <c r="G54" s="1365" t="s">
        <v>447</v>
      </c>
      <c r="H54" s="1365" t="s">
        <v>448</v>
      </c>
      <c r="I54" s="1365" t="s">
        <v>449</v>
      </c>
      <c r="J54" s="1365" t="s">
        <v>450</v>
      </c>
      <c r="K54" s="1365" t="s">
        <v>451</v>
      </c>
      <c r="L54" s="1365" t="s">
        <v>452</v>
      </c>
      <c r="M54" s="1365" t="s">
        <v>453</v>
      </c>
      <c r="N54" s="1366" t="s">
        <v>454</v>
      </c>
    </row>
    <row r="55" spans="1:17" ht="16.5" customHeight="1" thickBot="1">
      <c r="A55" s="1367" t="s">
        <v>484</v>
      </c>
      <c r="B55" s="1375">
        <v>2540520</v>
      </c>
      <c r="C55" s="1375">
        <v>3722630</v>
      </c>
      <c r="D55" s="1375">
        <v>10121375.91</v>
      </c>
      <c r="E55" s="1375">
        <v>4838329.7</v>
      </c>
      <c r="F55" s="1375">
        <v>5466842.54</v>
      </c>
      <c r="G55" s="1368">
        <v>5300514.1399999997</v>
      </c>
      <c r="H55" s="1368">
        <v>3280424.53</v>
      </c>
      <c r="I55" s="1368">
        <v>4645275.97</v>
      </c>
      <c r="J55" s="1368">
        <v>4776422.4400000004</v>
      </c>
      <c r="K55" s="1368">
        <v>4054342.43</v>
      </c>
      <c r="L55" s="1368">
        <v>8947640.2899999991</v>
      </c>
      <c r="M55" s="1368">
        <v>5070116.7</v>
      </c>
      <c r="N55" s="1369">
        <f>SUM(B55:M55)</f>
        <v>62764434.649999999</v>
      </c>
      <c r="O55" s="1" t="s">
        <v>257</v>
      </c>
    </row>
    <row r="58" spans="1:17">
      <c r="A58" s="1" t="s">
        <v>411</v>
      </c>
      <c r="B58" s="1370">
        <f>+'BPET Konsolide'!D11*1794.5</f>
        <v>0</v>
      </c>
      <c r="C58" s="1370">
        <f>+'BPET Konsolide'!E11*1794.5</f>
        <v>0</v>
      </c>
      <c r="D58" s="1370">
        <f>+'BPET Konsolide'!F11*1794.5</f>
        <v>0</v>
      </c>
      <c r="E58" s="1370">
        <f>+'BPET Konsolide'!G11*1794.5</f>
        <v>0</v>
      </c>
      <c r="F58" s="1370">
        <f>+'BPET Konsolide'!H11*1794.5</f>
        <v>0</v>
      </c>
      <c r="G58" s="1370">
        <f>+'BPET Konsolide'!I11*1794.5</f>
        <v>0</v>
      </c>
      <c r="H58" s="1370">
        <f>+'BPET Konsolide'!J11*1794.5</f>
        <v>0</v>
      </c>
      <c r="I58" s="1370">
        <f>+'BPET Konsolide'!K11*1794.5</f>
        <v>0</v>
      </c>
      <c r="J58" s="1370">
        <f>+'BPET Konsolide'!L11*1794.5</f>
        <v>0</v>
      </c>
      <c r="K58" s="1370">
        <f>+'BPET Konsolide'!M11*1794.5</f>
        <v>0</v>
      </c>
      <c r="L58" s="1370">
        <f>+'BPET Konsolide'!N11*1794.5</f>
        <v>0</v>
      </c>
      <c r="M58" s="1370">
        <f>+'BPET Konsolide'!O11*1794.5</f>
        <v>0</v>
      </c>
      <c r="N58" s="1370">
        <f>+'BPET Konsolide'!P11*594.5</f>
        <v>0</v>
      </c>
      <c r="O58" s="1" t="s">
        <v>257</v>
      </c>
    </row>
    <row r="59" spans="1:17">
      <c r="A59" s="1" t="s">
        <v>412</v>
      </c>
      <c r="B59" s="1362">
        <f>+B5*0.18</f>
        <v>0</v>
      </c>
      <c r="C59" s="1362">
        <f t="shared" ref="C59:M59" si="27">+C5*0.18</f>
        <v>0</v>
      </c>
      <c r="D59" s="1362">
        <f t="shared" si="27"/>
        <v>0</v>
      </c>
      <c r="E59" s="1362">
        <f t="shared" si="27"/>
        <v>0</v>
      </c>
      <c r="F59" s="1362">
        <f t="shared" si="27"/>
        <v>0</v>
      </c>
      <c r="G59" s="1362">
        <f t="shared" si="27"/>
        <v>0</v>
      </c>
      <c r="H59" s="1362">
        <f t="shared" si="27"/>
        <v>0</v>
      </c>
      <c r="I59" s="1362">
        <f t="shared" si="27"/>
        <v>0</v>
      </c>
      <c r="J59" s="1362">
        <f t="shared" si="27"/>
        <v>0</v>
      </c>
      <c r="K59" s="1362">
        <f t="shared" si="27"/>
        <v>0</v>
      </c>
      <c r="L59" s="1362">
        <f t="shared" si="27"/>
        <v>0</v>
      </c>
      <c r="M59" s="1362">
        <f t="shared" si="27"/>
        <v>0</v>
      </c>
      <c r="N59" s="1362">
        <f>SUM(B59:M59)</f>
        <v>0</v>
      </c>
      <c r="O59" s="1" t="s">
        <v>257</v>
      </c>
    </row>
    <row r="60" spans="1:17">
      <c r="A60" s="1" t="s">
        <v>413</v>
      </c>
      <c r="B60" s="1362">
        <f>+B29*0.018</f>
        <v>0</v>
      </c>
      <c r="C60" s="1362">
        <f t="shared" ref="C60:M60" si="28">+C29*0.018</f>
        <v>0</v>
      </c>
      <c r="D60" s="1362">
        <f t="shared" si="28"/>
        <v>0</v>
      </c>
      <c r="E60" s="1362">
        <f t="shared" si="28"/>
        <v>0</v>
      </c>
      <c r="F60" s="1362">
        <f t="shared" si="28"/>
        <v>0</v>
      </c>
      <c r="G60" s="1362">
        <f t="shared" si="28"/>
        <v>0</v>
      </c>
      <c r="H60" s="1362">
        <f t="shared" si="28"/>
        <v>0</v>
      </c>
      <c r="I60" s="1362">
        <f t="shared" si="28"/>
        <v>0</v>
      </c>
      <c r="J60" s="1362">
        <f t="shared" si="28"/>
        <v>0</v>
      </c>
      <c r="K60" s="1362">
        <f t="shared" si="28"/>
        <v>0</v>
      </c>
      <c r="L60" s="1362">
        <f t="shared" si="28"/>
        <v>0</v>
      </c>
      <c r="M60" s="1362">
        <f t="shared" si="28"/>
        <v>0</v>
      </c>
      <c r="N60" s="1362">
        <f>SUM(B60:M60)</f>
        <v>0</v>
      </c>
      <c r="O60" s="1" t="s">
        <v>257</v>
      </c>
    </row>
    <row r="61" spans="1:17">
      <c r="A61" s="1" t="s">
        <v>414</v>
      </c>
      <c r="B61" s="1362">
        <f>+(('BPET Konsolide'!D42*1000)-('BPET Konsolide'!D11*1794.5))*0.18</f>
        <v>0</v>
      </c>
      <c r="C61" s="1362">
        <f>+(('BPET Konsolide'!E42*1000)-('BPET Konsolide'!E11*1794.5))*0.18</f>
        <v>0</v>
      </c>
      <c r="D61" s="1362">
        <f>+(('BPET Konsolide'!F42*1000)-('BPET Konsolide'!F11*1794.5))*0.18</f>
        <v>0</v>
      </c>
      <c r="E61" s="1362">
        <f>+(('BPET Konsolide'!G42*1000)-('BPET Konsolide'!G11*1794.5))*0.18</f>
        <v>0</v>
      </c>
      <c r="F61" s="1362">
        <f>+(('BPET Konsolide'!H42*1000)-('BPET Konsolide'!H11*1794.5))*0.18</f>
        <v>0</v>
      </c>
      <c r="G61" s="1362">
        <f>+(('BPET Konsolide'!I42*1000)-('BPET Konsolide'!I11*1794.5))*0.18</f>
        <v>0</v>
      </c>
      <c r="H61" s="1362">
        <f>+(('BPET Konsolide'!J42*1000)-('BPET Konsolide'!J11*1794.5))*0.18</f>
        <v>0</v>
      </c>
      <c r="I61" s="1362">
        <f>+(('BPET Konsolide'!K42*1000)-('BPET Konsolide'!K11*1794.5))*0.18</f>
        <v>0</v>
      </c>
      <c r="J61" s="1362">
        <f>+(('BPET Konsolide'!L42*1000)-('BPET Konsolide'!L11*1794.5))*0.18</f>
        <v>0</v>
      </c>
      <c r="K61" s="1362">
        <f>+(('BPET Konsolide'!M42*1000)-('BPET Konsolide'!M11*1794.5))*0.18</f>
        <v>0</v>
      </c>
      <c r="L61" s="1362">
        <f>+(('BPET Konsolide'!N42*1000)-('BPET Konsolide'!N11*1794.5))*0.18</f>
        <v>0</v>
      </c>
      <c r="M61" s="1362">
        <f>+(('BPET Konsolide'!O42*1000)-('BPET Konsolide'!O11*1794.5))*0.18</f>
        <v>0</v>
      </c>
      <c r="N61" s="1362">
        <f>SUM(B61:M61)</f>
        <v>0</v>
      </c>
      <c r="O61" s="1" t="s">
        <v>257</v>
      </c>
    </row>
    <row r="62" spans="1:17">
      <c r="A62" s="1" t="s">
        <v>415</v>
      </c>
      <c r="B62" s="1362">
        <f>+(B21+B22)*0.18</f>
        <v>0</v>
      </c>
      <c r="C62" s="1362">
        <f t="shared" ref="C62:M62" si="29">+(C21+C22)*0.18</f>
        <v>0</v>
      </c>
      <c r="D62" s="1362">
        <f t="shared" si="29"/>
        <v>0</v>
      </c>
      <c r="E62" s="1362">
        <f t="shared" si="29"/>
        <v>0</v>
      </c>
      <c r="F62" s="1362">
        <f t="shared" si="29"/>
        <v>0</v>
      </c>
      <c r="G62" s="1362">
        <f t="shared" si="29"/>
        <v>0</v>
      </c>
      <c r="H62" s="1362">
        <f t="shared" si="29"/>
        <v>0</v>
      </c>
      <c r="I62" s="1362">
        <f t="shared" si="29"/>
        <v>0</v>
      </c>
      <c r="J62" s="1362">
        <f t="shared" si="29"/>
        <v>0</v>
      </c>
      <c r="K62" s="1362">
        <f t="shared" si="29"/>
        <v>0</v>
      </c>
      <c r="L62" s="1362">
        <f t="shared" si="29"/>
        <v>0</v>
      </c>
      <c r="M62" s="1362">
        <f t="shared" si="29"/>
        <v>0</v>
      </c>
      <c r="N62" s="1362">
        <f t="shared" ref="N62:N63" si="30">SUM(B62:M62)</f>
        <v>0</v>
      </c>
      <c r="O62" s="1" t="s">
        <v>257</v>
      </c>
    </row>
    <row r="63" spans="1:17">
      <c r="A63" s="1" t="s">
        <v>459</v>
      </c>
      <c r="B63" s="1362">
        <f>+B59-(B62+B61+B60)</f>
        <v>0</v>
      </c>
      <c r="C63" s="1362">
        <f t="shared" ref="C63:M63" si="31">+C59-(C62+C61+C60)</f>
        <v>0</v>
      </c>
      <c r="D63" s="1362">
        <f t="shared" si="31"/>
        <v>0</v>
      </c>
      <c r="E63" s="1362">
        <f t="shared" si="31"/>
        <v>0</v>
      </c>
      <c r="F63" s="1362">
        <f t="shared" si="31"/>
        <v>0</v>
      </c>
      <c r="G63" s="1362">
        <f t="shared" si="31"/>
        <v>0</v>
      </c>
      <c r="H63" s="1362">
        <f t="shared" si="31"/>
        <v>0</v>
      </c>
      <c r="I63" s="1362">
        <f t="shared" si="31"/>
        <v>0</v>
      </c>
      <c r="J63" s="1362">
        <f t="shared" si="31"/>
        <v>0</v>
      </c>
      <c r="K63" s="1362">
        <f t="shared" si="31"/>
        <v>0</v>
      </c>
      <c r="L63" s="1362">
        <f t="shared" si="31"/>
        <v>0</v>
      </c>
      <c r="M63" s="1362">
        <f t="shared" si="31"/>
        <v>0</v>
      </c>
      <c r="N63" s="1362">
        <f t="shared" si="30"/>
        <v>0</v>
      </c>
      <c r="O63" s="1" t="s">
        <v>257</v>
      </c>
    </row>
    <row r="65" spans="1:15" ht="13.8" thickBot="1"/>
    <row r="66" spans="1:15">
      <c r="A66" s="342"/>
      <c r="B66" s="1371" t="s">
        <v>539</v>
      </c>
      <c r="C66" s="1372" t="s">
        <v>540</v>
      </c>
      <c r="D66" s="1372" t="s">
        <v>541</v>
      </c>
      <c r="E66" s="1372" t="s">
        <v>542</v>
      </c>
      <c r="F66" s="1372" t="s">
        <v>543</v>
      </c>
      <c r="G66" s="1372" t="s">
        <v>544</v>
      </c>
      <c r="H66" s="1372" t="s">
        <v>545</v>
      </c>
      <c r="I66" s="1372" t="s">
        <v>546</v>
      </c>
      <c r="J66" s="1372" t="s">
        <v>547</v>
      </c>
      <c r="K66" s="1372" t="s">
        <v>548</v>
      </c>
      <c r="L66" s="1372" t="s">
        <v>549</v>
      </c>
      <c r="M66" s="1372" t="s">
        <v>550</v>
      </c>
      <c r="N66" s="1373" t="s">
        <v>551</v>
      </c>
    </row>
    <row r="67" spans="1:15" ht="24.75" customHeight="1" thickBot="1">
      <c r="A67" s="1374" t="s">
        <v>483</v>
      </c>
      <c r="B67" s="1375">
        <v>3926136.84</v>
      </c>
      <c r="C67" s="1375">
        <v>1458540</v>
      </c>
      <c r="D67" s="1375">
        <v>7508945</v>
      </c>
      <c r="E67" s="1375">
        <v>3679019.37</v>
      </c>
      <c r="F67" s="1375">
        <v>2329697.3199999998</v>
      </c>
      <c r="G67" s="1376">
        <f>+G55</f>
        <v>5300514.1399999997</v>
      </c>
      <c r="H67" s="1376">
        <f t="shared" ref="H67:M67" si="32">+H55</f>
        <v>3280424.53</v>
      </c>
      <c r="I67" s="1376">
        <f t="shared" si="32"/>
        <v>4645275.97</v>
      </c>
      <c r="J67" s="1376">
        <f t="shared" si="32"/>
        <v>4776422.4400000004</v>
      </c>
      <c r="K67" s="1376">
        <f t="shared" si="32"/>
        <v>4054342.43</v>
      </c>
      <c r="L67" s="1376">
        <f t="shared" si="32"/>
        <v>8947640.2899999991</v>
      </c>
      <c r="M67" s="1376">
        <f t="shared" si="32"/>
        <v>5070116.7</v>
      </c>
      <c r="N67" s="1377">
        <f>SUM(B67:M67)</f>
        <v>54977075.030000001</v>
      </c>
      <c r="O67" s="1" t="s">
        <v>257</v>
      </c>
    </row>
  </sheetData>
  <mergeCells count="1">
    <mergeCell ref="P45:Q45"/>
  </mergeCells>
  <conditionalFormatting sqref="B48">
    <cfRule type="cellIs" dxfId="2" priority="12" operator="lessThan">
      <formula>0</formula>
    </cfRule>
  </conditionalFormatting>
  <conditionalFormatting sqref="B19:M20">
    <cfRule type="cellIs" dxfId="1" priority="11" operator="lessThan">
      <formula>0</formula>
    </cfRule>
  </conditionalFormatting>
  <conditionalFormatting sqref="B3:N51">
    <cfRule type="cellIs" dxfId="0" priority="1" operator="lessThan">
      <formula>0</formula>
    </cfRule>
  </conditionalFormatting>
  <pageMargins left="0.75" right="0.75" top="1" bottom="1" header="0.5" footer="0.5"/>
  <pageSetup paperSize="9" scale="64" orientation="landscape" r:id="rId1"/>
  <headerFooter alignWithMargins="0"/>
  <colBreaks count="1" manualBreakCount="1">
    <brk id="14" max="10485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AC83"/>
  <sheetViews>
    <sheetView zoomScale="70" zoomScaleNormal="70" workbookViewId="0">
      <selection activeCell="O5" sqref="O5"/>
    </sheetView>
  </sheetViews>
  <sheetFormatPr defaultColWidth="9.109375" defaultRowHeight="14.4"/>
  <cols>
    <col min="1" max="1" width="30.44140625" style="1718" customWidth="1"/>
    <col min="2" max="6" width="9.33203125" style="1718" customWidth="1"/>
    <col min="7" max="7" width="10.5546875" style="1718" customWidth="1"/>
    <col min="8" max="13" width="9.33203125" style="1718" customWidth="1"/>
    <col min="14" max="14" width="13" style="1718" customWidth="1"/>
    <col min="15" max="15" width="8.88671875" style="1715" customWidth="1"/>
    <col min="16" max="20" width="9.33203125" style="1521" customWidth="1"/>
    <col min="21" max="21" width="10.5546875" style="1521" customWidth="1"/>
    <col min="22" max="27" width="9.33203125" style="1521" customWidth="1"/>
    <col min="28" max="28" width="13" style="1521" customWidth="1"/>
    <col min="29" max="29" width="9.109375" style="1609"/>
    <col min="30" max="16384" width="9.109375" style="1521"/>
  </cols>
  <sheetData>
    <row r="1" spans="1:29" ht="29.4" thickBot="1">
      <c r="B1" s="1719" t="s">
        <v>504</v>
      </c>
      <c r="G1" s="2113"/>
      <c r="H1" s="2113"/>
      <c r="I1" s="2113"/>
      <c r="J1" s="2113"/>
      <c r="K1" s="2113"/>
      <c r="L1" s="2113"/>
      <c r="M1" s="2113"/>
      <c r="O1" s="1714" t="s">
        <v>503</v>
      </c>
      <c r="P1" s="2258" t="s">
        <v>590</v>
      </c>
    </row>
    <row r="2" spans="1:29" ht="33" customHeight="1">
      <c r="A2" s="1720"/>
      <c r="B2" s="2292" t="s">
        <v>622</v>
      </c>
      <c r="C2" s="2293"/>
      <c r="D2" s="2293"/>
      <c r="E2" s="2293"/>
      <c r="F2" s="2293"/>
      <c r="G2" s="2293"/>
      <c r="H2" s="2293"/>
      <c r="I2" s="2293"/>
      <c r="J2" s="2293"/>
      <c r="K2" s="2293"/>
      <c r="L2" s="2293"/>
      <c r="M2" s="2293"/>
      <c r="N2" s="2294"/>
      <c r="O2" s="1714">
        <v>1.1000000000000001</v>
      </c>
      <c r="P2" s="2297" t="s">
        <v>597</v>
      </c>
      <c r="Q2" s="2295"/>
      <c r="R2" s="2295"/>
      <c r="S2" s="2295"/>
      <c r="T2" s="2295"/>
      <c r="U2" s="2295"/>
      <c r="V2" s="2295"/>
      <c r="W2" s="2295"/>
      <c r="X2" s="2295"/>
      <c r="Y2" s="2295"/>
      <c r="Z2" s="2295"/>
      <c r="AA2" s="2295"/>
      <c r="AB2" s="2296"/>
    </row>
    <row r="3" spans="1:29" ht="30.75" customHeight="1" thickBot="1">
      <c r="A3" s="1721"/>
      <c r="B3" s="1722" t="s">
        <v>1</v>
      </c>
      <c r="C3" s="1723" t="s">
        <v>2</v>
      </c>
      <c r="D3" s="1723" t="s">
        <v>3</v>
      </c>
      <c r="E3" s="1723" t="s">
        <v>4</v>
      </c>
      <c r="F3" s="1723" t="s">
        <v>5</v>
      </c>
      <c r="G3" s="1723" t="s">
        <v>6</v>
      </c>
      <c r="H3" s="1723" t="s">
        <v>7</v>
      </c>
      <c r="I3" s="1723" t="s">
        <v>8</v>
      </c>
      <c r="J3" s="1723" t="s">
        <v>9</v>
      </c>
      <c r="K3" s="1723" t="s">
        <v>10</v>
      </c>
      <c r="L3" s="1723" t="s">
        <v>11</v>
      </c>
      <c r="M3" s="1723" t="s">
        <v>12</v>
      </c>
      <c r="N3" s="1724" t="s">
        <v>13</v>
      </c>
      <c r="O3" s="1715">
        <v>0.2</v>
      </c>
      <c r="P3" s="1522" t="s">
        <v>1</v>
      </c>
      <c r="Q3" s="1523" t="s">
        <v>2</v>
      </c>
      <c r="R3" s="1523" t="s">
        <v>3</v>
      </c>
      <c r="S3" s="1523" t="s">
        <v>4</v>
      </c>
      <c r="T3" s="1523" t="s">
        <v>5</v>
      </c>
      <c r="U3" s="1523" t="s">
        <v>6</v>
      </c>
      <c r="V3" s="1523" t="s">
        <v>7</v>
      </c>
      <c r="W3" s="1523" t="s">
        <v>8</v>
      </c>
      <c r="X3" s="1523" t="s">
        <v>9</v>
      </c>
      <c r="Y3" s="1523" t="s">
        <v>10</v>
      </c>
      <c r="Z3" s="1523" t="s">
        <v>11</v>
      </c>
      <c r="AA3" s="1523" t="s">
        <v>12</v>
      </c>
      <c r="AB3" s="1524" t="s">
        <v>13</v>
      </c>
    </row>
    <row r="4" spans="1:29" ht="22.5" customHeight="1" thickBot="1">
      <c r="A4" s="1725" t="s">
        <v>234</v>
      </c>
      <c r="B4" s="16">
        <f>SUM(B5:B14)</f>
        <v>0</v>
      </c>
      <c r="C4" s="17">
        <f>SUM(C5:C14)</f>
        <v>0</v>
      </c>
      <c r="D4" s="17">
        <f>SUM(D5:D14)</f>
        <v>0</v>
      </c>
      <c r="E4" s="17">
        <f t="shared" ref="E4:M4" si="0">SUM(E5:E14)</f>
        <v>0</v>
      </c>
      <c r="F4" s="17">
        <f t="shared" si="0"/>
        <v>0</v>
      </c>
      <c r="G4" s="17">
        <f t="shared" si="0"/>
        <v>0</v>
      </c>
      <c r="H4" s="17">
        <f t="shared" si="0"/>
        <v>0</v>
      </c>
      <c r="I4" s="17">
        <f t="shared" si="0"/>
        <v>0</v>
      </c>
      <c r="J4" s="17">
        <f t="shared" si="0"/>
        <v>0</v>
      </c>
      <c r="K4" s="17">
        <f t="shared" si="0"/>
        <v>0</v>
      </c>
      <c r="L4" s="17">
        <f t="shared" si="0"/>
        <v>0</v>
      </c>
      <c r="M4" s="17">
        <f t="shared" si="0"/>
        <v>0</v>
      </c>
      <c r="N4" s="94">
        <f>SUM(N5:N14)</f>
        <v>0</v>
      </c>
      <c r="O4" s="563"/>
      <c r="P4" s="1525">
        <f t="shared" ref="P4:Z4" si="1">SUM(P5:P14)</f>
        <v>0</v>
      </c>
      <c r="Q4" s="1526">
        <f t="shared" si="1"/>
        <v>0</v>
      </c>
      <c r="R4" s="1526">
        <f t="shared" si="1"/>
        <v>0</v>
      </c>
      <c r="S4" s="1526">
        <f t="shared" si="1"/>
        <v>0</v>
      </c>
      <c r="T4" s="1526">
        <f t="shared" si="1"/>
        <v>0</v>
      </c>
      <c r="U4" s="1526">
        <f t="shared" si="1"/>
        <v>0</v>
      </c>
      <c r="V4" s="1526">
        <f t="shared" si="1"/>
        <v>0</v>
      </c>
      <c r="W4" s="1526">
        <f t="shared" si="1"/>
        <v>0</v>
      </c>
      <c r="X4" s="1526">
        <f t="shared" si="1"/>
        <v>0</v>
      </c>
      <c r="Y4" s="1526">
        <f t="shared" si="1"/>
        <v>0</v>
      </c>
      <c r="Z4" s="1526">
        <f t="shared" si="1"/>
        <v>0</v>
      </c>
      <c r="AA4" s="1527">
        <f>SUM(AA5:AA14)</f>
        <v>0</v>
      </c>
      <c r="AB4" s="1528">
        <f>SUM(AB5:AB14)</f>
        <v>0</v>
      </c>
      <c r="AC4" s="1780" t="e">
        <f>+AB4/N4-1</f>
        <v>#DIV/0!</v>
      </c>
    </row>
    <row r="5" spans="1:29">
      <c r="A5" s="1726" t="s">
        <v>354</v>
      </c>
      <c r="B5" s="1727">
        <f t="shared" ref="B5:B14" si="2">+P5*$O$2</f>
        <v>0</v>
      </c>
      <c r="C5" s="300">
        <f t="shared" ref="C5:L10" si="3">+Q5*$O$2</f>
        <v>0</v>
      </c>
      <c r="D5" s="300">
        <f t="shared" si="3"/>
        <v>0</v>
      </c>
      <c r="E5" s="300">
        <f t="shared" si="3"/>
        <v>0</v>
      </c>
      <c r="F5" s="300">
        <f t="shared" si="3"/>
        <v>0</v>
      </c>
      <c r="G5" s="300">
        <f t="shared" si="3"/>
        <v>0</v>
      </c>
      <c r="H5" s="300">
        <f t="shared" si="3"/>
        <v>0</v>
      </c>
      <c r="I5" s="300">
        <f t="shared" si="3"/>
        <v>0</v>
      </c>
      <c r="J5" s="300">
        <f t="shared" si="3"/>
        <v>0</v>
      </c>
      <c r="K5" s="300">
        <f t="shared" si="3"/>
        <v>0</v>
      </c>
      <c r="L5" s="300">
        <f t="shared" si="3"/>
        <v>0</v>
      </c>
      <c r="M5" s="1728">
        <f t="shared" ref="M5:M14" si="4">+AA5*$O$2</f>
        <v>0</v>
      </c>
      <c r="N5" s="1729">
        <f>SUM(B5:M5)</f>
        <v>0</v>
      </c>
      <c r="P5" s="1592"/>
      <c r="Q5" s="1593"/>
      <c r="R5" s="1593"/>
      <c r="S5" s="1593"/>
      <c r="T5" s="1593"/>
      <c r="U5" s="1593"/>
      <c r="V5" s="1593"/>
      <c r="W5" s="1593"/>
      <c r="X5" s="1593"/>
      <c r="Y5" s="1593"/>
      <c r="Z5" s="1593"/>
      <c r="AA5" s="1594"/>
      <c r="AB5" s="1530">
        <f>SUM(P5:AA5)</f>
        <v>0</v>
      </c>
      <c r="AC5" s="1780"/>
    </row>
    <row r="6" spans="1:29">
      <c r="A6" s="1730" t="s">
        <v>355</v>
      </c>
      <c r="B6" s="1731">
        <f t="shared" si="2"/>
        <v>0</v>
      </c>
      <c r="C6" s="305">
        <f t="shared" si="3"/>
        <v>0</v>
      </c>
      <c r="D6" s="305">
        <f t="shared" ref="D6" si="5">+R6*$O$2</f>
        <v>0</v>
      </c>
      <c r="E6" s="305">
        <f>+S6*$O$2</f>
        <v>0</v>
      </c>
      <c r="F6" s="305">
        <f>+T6*$O$2</f>
        <v>0</v>
      </c>
      <c r="G6" s="305">
        <f t="shared" si="3"/>
        <v>0</v>
      </c>
      <c r="H6" s="305">
        <f t="shared" si="3"/>
        <v>0</v>
      </c>
      <c r="I6" s="305">
        <f t="shared" si="3"/>
        <v>0</v>
      </c>
      <c r="J6" s="305">
        <f t="shared" si="3"/>
        <v>0</v>
      </c>
      <c r="K6" s="305">
        <f t="shared" si="3"/>
        <v>0</v>
      </c>
      <c r="L6" s="305">
        <f t="shared" si="3"/>
        <v>0</v>
      </c>
      <c r="M6" s="305">
        <f t="shared" si="4"/>
        <v>0</v>
      </c>
      <c r="N6" s="1733">
        <f>SUM(B6:M6)</f>
        <v>0</v>
      </c>
      <c r="P6" s="1595"/>
      <c r="Q6" s="1596"/>
      <c r="R6" s="1596"/>
      <c r="S6" s="1596"/>
      <c r="T6" s="1596"/>
      <c r="U6" s="1596"/>
      <c r="V6" s="1596"/>
      <c r="W6" s="1596"/>
      <c r="X6" s="1596"/>
      <c r="Y6" s="1596"/>
      <c r="Z6" s="1596"/>
      <c r="AA6" s="1597"/>
      <c r="AB6" s="1532">
        <f>SUM(P6:AA6)</f>
        <v>0</v>
      </c>
      <c r="AC6" s="1780"/>
    </row>
    <row r="7" spans="1:29">
      <c r="A7" s="1734" t="s">
        <v>356</v>
      </c>
      <c r="B7" s="341">
        <f t="shared" si="2"/>
        <v>0</v>
      </c>
      <c r="C7" s="341">
        <f t="shared" ref="C7" si="6">+Q7*$O$2</f>
        <v>0</v>
      </c>
      <c r="D7" s="341">
        <f t="shared" ref="D7:D14" si="7">+R7*$O$2</f>
        <v>0</v>
      </c>
      <c r="E7" s="341">
        <f>+S7*$O$2</f>
        <v>0</v>
      </c>
      <c r="F7" s="341">
        <f t="shared" ref="F7:F14" si="8">+T7*$O$2</f>
        <v>0</v>
      </c>
      <c r="G7" s="341">
        <f t="shared" ref="G7:G14" si="9">+U7*$O$2</f>
        <v>0</v>
      </c>
      <c r="H7" s="341">
        <f t="shared" ref="H7:H14" si="10">+V7*$O$2</f>
        <v>0</v>
      </c>
      <c r="I7" s="341">
        <f t="shared" ref="I7:I14" si="11">+W7*$O$2</f>
        <v>0</v>
      </c>
      <c r="J7" s="341">
        <f t="shared" ref="J7:J14" si="12">+X7*$O$2</f>
        <v>0</v>
      </c>
      <c r="K7" s="341">
        <f t="shared" ref="K7:K14" si="13">+Y7*$O$2</f>
        <v>0</v>
      </c>
      <c r="L7" s="341">
        <f t="shared" ref="L7:L14" si="14">+Z7*$O$2</f>
        <v>0</v>
      </c>
      <c r="M7" s="341">
        <f t="shared" si="4"/>
        <v>0</v>
      </c>
      <c r="N7" s="1735">
        <f t="shared" ref="N7:N14" si="15">SUM(B7:M7)</f>
        <v>0</v>
      </c>
      <c r="P7" s="1598"/>
      <c r="Q7" s="1598"/>
      <c r="R7" s="1598"/>
      <c r="S7" s="1598"/>
      <c r="T7" s="1598"/>
      <c r="U7" s="1598"/>
      <c r="V7" s="1598"/>
      <c r="W7" s="1598"/>
      <c r="X7" s="1598"/>
      <c r="Y7" s="1598"/>
      <c r="Z7" s="1598"/>
      <c r="AA7" s="1598"/>
      <c r="AB7" s="1533">
        <f>SUM(P7:AA7)</f>
        <v>0</v>
      </c>
      <c r="AC7" s="1780"/>
    </row>
    <row r="8" spans="1:29" s="1535" customFormat="1">
      <c r="A8" s="1736" t="s">
        <v>357</v>
      </c>
      <c r="B8" s="1737">
        <f t="shared" si="2"/>
        <v>0</v>
      </c>
      <c r="C8" s="310">
        <f>+Q8*$O$2</f>
        <v>0</v>
      </c>
      <c r="D8" s="310">
        <f t="shared" si="7"/>
        <v>0</v>
      </c>
      <c r="E8" s="310">
        <f t="shared" ref="E8:E14" si="16">+S8*$O$2</f>
        <v>0</v>
      </c>
      <c r="F8" s="310">
        <f t="shared" si="8"/>
        <v>0</v>
      </c>
      <c r="G8" s="310">
        <f t="shared" si="9"/>
        <v>0</v>
      </c>
      <c r="H8" s="310">
        <f t="shared" si="10"/>
        <v>0</v>
      </c>
      <c r="I8" s="310">
        <f t="shared" si="11"/>
        <v>0</v>
      </c>
      <c r="J8" s="310">
        <f t="shared" si="12"/>
        <v>0</v>
      </c>
      <c r="K8" s="310">
        <f t="shared" si="13"/>
        <v>0</v>
      </c>
      <c r="L8" s="310">
        <f t="shared" si="14"/>
        <v>0</v>
      </c>
      <c r="M8" s="1738">
        <f t="shared" si="4"/>
        <v>0</v>
      </c>
      <c r="N8" s="1739">
        <f t="shared" si="15"/>
        <v>0</v>
      </c>
      <c r="O8" s="1716"/>
      <c r="P8" s="1599"/>
      <c r="Q8" s="1600"/>
      <c r="R8" s="1600"/>
      <c r="S8" s="1600"/>
      <c r="T8" s="1600"/>
      <c r="U8" s="1600"/>
      <c r="V8" s="1600"/>
      <c r="W8" s="1600"/>
      <c r="X8" s="1600"/>
      <c r="Y8" s="1600"/>
      <c r="Z8" s="1600"/>
      <c r="AA8" s="1601"/>
      <c r="AB8" s="1534">
        <f>SUM(P8:AA8)</f>
        <v>0</v>
      </c>
      <c r="AC8" s="1780"/>
    </row>
    <row r="9" spans="1:29" s="1536" customFormat="1">
      <c r="A9" s="1734" t="s">
        <v>358</v>
      </c>
      <c r="B9" s="341">
        <f t="shared" si="2"/>
        <v>0</v>
      </c>
      <c r="C9" s="341">
        <f>+Q9*$O$2</f>
        <v>0</v>
      </c>
      <c r="D9" s="341">
        <f t="shared" si="7"/>
        <v>0</v>
      </c>
      <c r="E9" s="341">
        <f t="shared" si="16"/>
        <v>0</v>
      </c>
      <c r="F9" s="341">
        <f t="shared" si="8"/>
        <v>0</v>
      </c>
      <c r="G9" s="341">
        <f t="shared" si="9"/>
        <v>0</v>
      </c>
      <c r="H9" s="341">
        <f t="shared" si="10"/>
        <v>0</v>
      </c>
      <c r="I9" s="341">
        <f t="shared" si="11"/>
        <v>0</v>
      </c>
      <c r="J9" s="341">
        <f t="shared" si="12"/>
        <v>0</v>
      </c>
      <c r="K9" s="341">
        <f t="shared" si="13"/>
        <v>0</v>
      </c>
      <c r="L9" s="341">
        <f t="shared" si="14"/>
        <v>0</v>
      </c>
      <c r="M9" s="341">
        <f t="shared" si="4"/>
        <v>0</v>
      </c>
      <c r="N9" s="1735">
        <f t="shared" si="15"/>
        <v>0</v>
      </c>
      <c r="O9" s="1717"/>
      <c r="P9" s="1598"/>
      <c r="Q9" s="1598"/>
      <c r="R9" s="1598"/>
      <c r="S9" s="1598"/>
      <c r="T9" s="1598"/>
      <c r="U9" s="1598"/>
      <c r="V9" s="1598"/>
      <c r="W9" s="1598"/>
      <c r="X9" s="1598"/>
      <c r="Y9" s="1598"/>
      <c r="Z9" s="1598"/>
      <c r="AA9" s="1598"/>
      <c r="AB9" s="1533">
        <f t="shared" ref="AB9:AB13" si="17">SUM(P9:AA9)</f>
        <v>0</v>
      </c>
      <c r="AC9" s="1780"/>
    </row>
    <row r="10" spans="1:29">
      <c r="A10" s="1730" t="s">
        <v>359</v>
      </c>
      <c r="B10" s="1731">
        <f t="shared" si="2"/>
        <v>0</v>
      </c>
      <c r="C10" s="305">
        <f t="shared" si="3"/>
        <v>0</v>
      </c>
      <c r="D10" s="305">
        <f t="shared" si="7"/>
        <v>0</v>
      </c>
      <c r="E10" s="305">
        <f t="shared" si="16"/>
        <v>0</v>
      </c>
      <c r="F10" s="305">
        <f t="shared" si="8"/>
        <v>0</v>
      </c>
      <c r="G10" s="305">
        <f t="shared" si="9"/>
        <v>0</v>
      </c>
      <c r="H10" s="305">
        <f t="shared" si="10"/>
        <v>0</v>
      </c>
      <c r="I10" s="305">
        <f t="shared" si="11"/>
        <v>0</v>
      </c>
      <c r="J10" s="305">
        <f t="shared" si="12"/>
        <v>0</v>
      </c>
      <c r="K10" s="305">
        <f t="shared" si="13"/>
        <v>0</v>
      </c>
      <c r="L10" s="305">
        <f t="shared" si="14"/>
        <v>0</v>
      </c>
      <c r="M10" s="1732">
        <f t="shared" si="4"/>
        <v>0</v>
      </c>
      <c r="N10" s="1733">
        <f t="shared" si="15"/>
        <v>0</v>
      </c>
      <c r="P10" s="1595"/>
      <c r="Q10" s="1596"/>
      <c r="R10" s="1596"/>
      <c r="S10" s="1596"/>
      <c r="T10" s="1596"/>
      <c r="U10" s="1596"/>
      <c r="V10" s="1596"/>
      <c r="W10" s="1596"/>
      <c r="X10" s="1596"/>
      <c r="Y10" s="1596"/>
      <c r="Z10" s="1596"/>
      <c r="AA10" s="1597"/>
      <c r="AB10" s="1532">
        <f t="shared" si="17"/>
        <v>0</v>
      </c>
      <c r="AC10" s="1780"/>
    </row>
    <row r="11" spans="1:29" s="1535" customFormat="1">
      <c r="A11" s="1734" t="s">
        <v>360</v>
      </c>
      <c r="B11" s="341">
        <f t="shared" si="2"/>
        <v>0</v>
      </c>
      <c r="C11" s="341">
        <f t="shared" ref="C11:C14" si="18">+Q11*$O$2</f>
        <v>0</v>
      </c>
      <c r="D11" s="341">
        <f t="shared" si="7"/>
        <v>0</v>
      </c>
      <c r="E11" s="341">
        <f t="shared" si="16"/>
        <v>0</v>
      </c>
      <c r="F11" s="341">
        <f t="shared" si="8"/>
        <v>0</v>
      </c>
      <c r="G11" s="341">
        <f t="shared" si="9"/>
        <v>0</v>
      </c>
      <c r="H11" s="341">
        <f t="shared" si="10"/>
        <v>0</v>
      </c>
      <c r="I11" s="341">
        <f t="shared" si="11"/>
        <v>0</v>
      </c>
      <c r="J11" s="341">
        <f t="shared" si="12"/>
        <v>0</v>
      </c>
      <c r="K11" s="341">
        <f t="shared" si="13"/>
        <v>0</v>
      </c>
      <c r="L11" s="341">
        <f t="shared" si="14"/>
        <v>0</v>
      </c>
      <c r="M11" s="341">
        <f t="shared" si="4"/>
        <v>0</v>
      </c>
      <c r="N11" s="1740">
        <f t="shared" si="15"/>
        <v>0</v>
      </c>
      <c r="O11" s="1716"/>
      <c r="P11" s="1598"/>
      <c r="Q11" s="1598"/>
      <c r="R11" s="1598"/>
      <c r="S11" s="1598"/>
      <c r="T11" s="1598"/>
      <c r="U11" s="1598"/>
      <c r="V11" s="1598"/>
      <c r="W11" s="1598"/>
      <c r="X11" s="1598"/>
      <c r="Y11" s="1598"/>
      <c r="Z11" s="1598"/>
      <c r="AA11" s="1598"/>
      <c r="AB11" s="1538">
        <f t="shared" si="17"/>
        <v>0</v>
      </c>
      <c r="AC11" s="1780"/>
    </row>
    <row r="12" spans="1:29">
      <c r="A12" s="1730" t="s">
        <v>361</v>
      </c>
      <c r="B12" s="1731">
        <f t="shared" si="2"/>
        <v>0</v>
      </c>
      <c r="C12" s="305">
        <f t="shared" si="18"/>
        <v>0</v>
      </c>
      <c r="D12" s="305">
        <f t="shared" si="7"/>
        <v>0</v>
      </c>
      <c r="E12" s="305">
        <f t="shared" si="16"/>
        <v>0</v>
      </c>
      <c r="F12" s="305">
        <f t="shared" si="8"/>
        <v>0</v>
      </c>
      <c r="G12" s="305">
        <f t="shared" si="9"/>
        <v>0</v>
      </c>
      <c r="H12" s="305">
        <f t="shared" si="10"/>
        <v>0</v>
      </c>
      <c r="I12" s="305">
        <f t="shared" si="11"/>
        <v>0</v>
      </c>
      <c r="J12" s="305">
        <f t="shared" si="12"/>
        <v>0</v>
      </c>
      <c r="K12" s="305">
        <f t="shared" si="13"/>
        <v>0</v>
      </c>
      <c r="L12" s="305">
        <f t="shared" si="14"/>
        <v>0</v>
      </c>
      <c r="M12" s="1732">
        <f t="shared" si="4"/>
        <v>0</v>
      </c>
      <c r="N12" s="1733">
        <f t="shared" si="15"/>
        <v>0</v>
      </c>
      <c r="O12" s="563"/>
      <c r="P12" s="1595"/>
      <c r="Q12" s="1596"/>
      <c r="R12" s="1596"/>
      <c r="S12" s="1596"/>
      <c r="T12" s="1596"/>
      <c r="U12" s="1596"/>
      <c r="V12" s="1596"/>
      <c r="W12" s="1596"/>
      <c r="X12" s="1596"/>
      <c r="Y12" s="1596"/>
      <c r="Z12" s="1596"/>
      <c r="AA12" s="1597"/>
      <c r="AB12" s="1532">
        <f t="shared" si="17"/>
        <v>0</v>
      </c>
      <c r="AC12" s="1780"/>
    </row>
    <row r="13" spans="1:29">
      <c r="A13" s="1734" t="s">
        <v>362</v>
      </c>
      <c r="B13" s="341">
        <f>'BPET Konsolide'!D35*0.016</f>
        <v>0</v>
      </c>
      <c r="C13" s="341">
        <f>'BPET Konsolide'!E35*0.016</f>
        <v>0</v>
      </c>
      <c r="D13" s="341">
        <f>'BPET Konsolide'!F35*0.016</f>
        <v>0</v>
      </c>
      <c r="E13" s="341">
        <f>'BPET Konsolide'!G35*0.016</f>
        <v>0</v>
      </c>
      <c r="F13" s="341">
        <f>'BPET Konsolide'!H35*0.016</f>
        <v>0</v>
      </c>
      <c r="G13" s="341">
        <f>'BPET Konsolide'!I35*0.016</f>
        <v>0</v>
      </c>
      <c r="H13" s="341">
        <f>'BPET Konsolide'!J35*0.016</f>
        <v>0</v>
      </c>
      <c r="I13" s="341">
        <f>'BPET Konsolide'!K35*0.016</f>
        <v>0</v>
      </c>
      <c r="J13" s="341">
        <f>'BPET Konsolide'!L35*0.016</f>
        <v>0</v>
      </c>
      <c r="K13" s="341">
        <f>'BPET Konsolide'!M35*0.016</f>
        <v>0</v>
      </c>
      <c r="L13" s="341">
        <f>'BPET Konsolide'!N35*0.016</f>
        <v>0</v>
      </c>
      <c r="M13" s="341">
        <f>'BPET Konsolide'!O35*0.016</f>
        <v>0</v>
      </c>
      <c r="N13" s="1735">
        <f t="shared" si="15"/>
        <v>0</v>
      </c>
      <c r="P13" s="1598"/>
      <c r="Q13" s="1598"/>
      <c r="R13" s="1598"/>
      <c r="S13" s="1598"/>
      <c r="T13" s="1598"/>
      <c r="U13" s="1598"/>
      <c r="V13" s="1598"/>
      <c r="W13" s="1598"/>
      <c r="X13" s="1598"/>
      <c r="Y13" s="1598"/>
      <c r="Z13" s="1598"/>
      <c r="AA13" s="1598"/>
      <c r="AB13" s="1533">
        <f t="shared" si="17"/>
        <v>0</v>
      </c>
      <c r="AC13" s="1780"/>
    </row>
    <row r="14" spans="1:29" ht="15" thickBot="1">
      <c r="A14" s="1741" t="s">
        <v>363</v>
      </c>
      <c r="B14" s="1742">
        <f t="shared" si="2"/>
        <v>0</v>
      </c>
      <c r="C14" s="336">
        <f t="shared" si="18"/>
        <v>0</v>
      </c>
      <c r="D14" s="336">
        <f t="shared" si="7"/>
        <v>0</v>
      </c>
      <c r="E14" s="336">
        <f t="shared" si="16"/>
        <v>0</v>
      </c>
      <c r="F14" s="336">
        <f t="shared" si="8"/>
        <v>0</v>
      </c>
      <c r="G14" s="336">
        <f t="shared" si="9"/>
        <v>0</v>
      </c>
      <c r="H14" s="336">
        <f t="shared" si="10"/>
        <v>0</v>
      </c>
      <c r="I14" s="336">
        <f t="shared" si="11"/>
        <v>0</v>
      </c>
      <c r="J14" s="336">
        <f t="shared" si="12"/>
        <v>0</v>
      </c>
      <c r="K14" s="336">
        <f t="shared" si="13"/>
        <v>0</v>
      </c>
      <c r="L14" s="336">
        <f t="shared" si="14"/>
        <v>0</v>
      </c>
      <c r="M14" s="1743">
        <f t="shared" si="4"/>
        <v>0</v>
      </c>
      <c r="N14" s="1744">
        <f t="shared" si="15"/>
        <v>0</v>
      </c>
      <c r="P14" s="1602"/>
      <c r="Q14" s="1603"/>
      <c r="R14" s="1603"/>
      <c r="S14" s="1603"/>
      <c r="T14" s="1603"/>
      <c r="U14" s="1603"/>
      <c r="V14" s="1603"/>
      <c r="W14" s="1603"/>
      <c r="X14" s="1603"/>
      <c r="Y14" s="1603"/>
      <c r="Z14" s="1603"/>
      <c r="AA14" s="1604"/>
      <c r="AB14" s="1540">
        <f>SUM(P14:AA14)</f>
        <v>0</v>
      </c>
      <c r="AC14" s="1780"/>
    </row>
    <row r="15" spans="1:29" ht="15" thickBot="1">
      <c r="A15" s="1745"/>
      <c r="B15" s="1746"/>
      <c r="C15" s="1746"/>
      <c r="D15" s="1746"/>
      <c r="E15" s="1746"/>
      <c r="F15" s="1746"/>
      <c r="G15" s="1746"/>
      <c r="H15" s="1746"/>
      <c r="I15" s="1746"/>
      <c r="J15" s="1746"/>
      <c r="K15" s="1746"/>
      <c r="L15" s="1746"/>
      <c r="M15" s="1746"/>
      <c r="N15" s="1746"/>
      <c r="P15" s="1541"/>
      <c r="Q15" s="1541"/>
      <c r="R15" s="1541"/>
      <c r="S15" s="1541"/>
      <c r="T15" s="1541"/>
      <c r="U15" s="1541"/>
      <c r="V15" s="1541"/>
      <c r="W15" s="1541"/>
      <c r="X15" s="1541"/>
      <c r="Y15" s="1541"/>
      <c r="Z15" s="1541"/>
      <c r="AA15" s="1541"/>
      <c r="AB15" s="1541"/>
      <c r="AC15" s="1780"/>
    </row>
    <row r="16" spans="1:29" s="1536" customFormat="1" ht="33" customHeight="1">
      <c r="A16" s="1720"/>
      <c r="B16" s="2292" t="s">
        <v>623</v>
      </c>
      <c r="C16" s="2293"/>
      <c r="D16" s="2293"/>
      <c r="E16" s="2293"/>
      <c r="F16" s="2293"/>
      <c r="G16" s="2293"/>
      <c r="H16" s="2293"/>
      <c r="I16" s="2293"/>
      <c r="J16" s="2293"/>
      <c r="K16" s="2293"/>
      <c r="L16" s="2293"/>
      <c r="M16" s="2293"/>
      <c r="N16" s="2294"/>
      <c r="O16" s="1717"/>
      <c r="P16" s="2297" t="s">
        <v>598</v>
      </c>
      <c r="Q16" s="2295"/>
      <c r="R16" s="2295"/>
      <c r="S16" s="2295"/>
      <c r="T16" s="2295"/>
      <c r="U16" s="2295"/>
      <c r="V16" s="2295"/>
      <c r="W16" s="2295"/>
      <c r="X16" s="2295"/>
      <c r="Y16" s="2295"/>
      <c r="Z16" s="2295"/>
      <c r="AA16" s="2295"/>
      <c r="AB16" s="2296"/>
      <c r="AC16" s="1780"/>
    </row>
    <row r="17" spans="1:29" ht="30.75" customHeight="1" thickBot="1">
      <c r="A17" s="1721"/>
      <c r="B17" s="1722" t="s">
        <v>1</v>
      </c>
      <c r="C17" s="1723" t="s">
        <v>2</v>
      </c>
      <c r="D17" s="1723" t="s">
        <v>3</v>
      </c>
      <c r="E17" s="1723" t="s">
        <v>4</v>
      </c>
      <c r="F17" s="1723" t="s">
        <v>5</v>
      </c>
      <c r="G17" s="1723" t="s">
        <v>6</v>
      </c>
      <c r="H17" s="1723" t="s">
        <v>7</v>
      </c>
      <c r="I17" s="1723" t="s">
        <v>8</v>
      </c>
      <c r="J17" s="1723" t="s">
        <v>9</v>
      </c>
      <c r="K17" s="1723" t="s">
        <v>10</v>
      </c>
      <c r="L17" s="1723" t="s">
        <v>11</v>
      </c>
      <c r="M17" s="1723" t="s">
        <v>12</v>
      </c>
      <c r="N17" s="1724" t="s">
        <v>13</v>
      </c>
      <c r="P17" s="1522" t="s">
        <v>1</v>
      </c>
      <c r="Q17" s="1523" t="s">
        <v>2</v>
      </c>
      <c r="R17" s="1523" t="s">
        <v>3</v>
      </c>
      <c r="S17" s="1523" t="s">
        <v>4</v>
      </c>
      <c r="T17" s="1523" t="s">
        <v>5</v>
      </c>
      <c r="U17" s="1523" t="s">
        <v>6</v>
      </c>
      <c r="V17" s="1523" t="s">
        <v>7</v>
      </c>
      <c r="W17" s="1523" t="s">
        <v>8</v>
      </c>
      <c r="X17" s="1523" t="s">
        <v>9</v>
      </c>
      <c r="Y17" s="1523" t="s">
        <v>10</v>
      </c>
      <c r="Z17" s="1523" t="s">
        <v>11</v>
      </c>
      <c r="AA17" s="1523" t="s">
        <v>12</v>
      </c>
      <c r="AB17" s="1524" t="s">
        <v>13</v>
      </c>
      <c r="AC17" s="1780"/>
    </row>
    <row r="18" spans="1:29" ht="22.5" customHeight="1" thickBot="1">
      <c r="A18" s="1747" t="s">
        <v>234</v>
      </c>
      <c r="B18" s="1748">
        <f>SUM(B19:B21)</f>
        <v>0</v>
      </c>
      <c r="C18" s="1749">
        <f t="shared" ref="C18:L18" si="19">SUM(C19:C21)</f>
        <v>0</v>
      </c>
      <c r="D18" s="1749">
        <f t="shared" si="19"/>
        <v>0</v>
      </c>
      <c r="E18" s="1749">
        <f t="shared" si="19"/>
        <v>0</v>
      </c>
      <c r="F18" s="1749">
        <f t="shared" si="19"/>
        <v>0</v>
      </c>
      <c r="G18" s="1749">
        <f t="shared" si="19"/>
        <v>0</v>
      </c>
      <c r="H18" s="1749">
        <f t="shared" si="19"/>
        <v>0</v>
      </c>
      <c r="I18" s="1749">
        <f t="shared" si="19"/>
        <v>0</v>
      </c>
      <c r="J18" s="1749">
        <f t="shared" si="19"/>
        <v>0</v>
      </c>
      <c r="K18" s="1749">
        <f t="shared" si="19"/>
        <v>0</v>
      </c>
      <c r="L18" s="1749">
        <f t="shared" si="19"/>
        <v>0</v>
      </c>
      <c r="M18" s="1750">
        <f>SUM(M19:M21)</f>
        <v>0</v>
      </c>
      <c r="N18" s="1751">
        <f>SUM(N19:N21)</f>
        <v>0</v>
      </c>
      <c r="P18" s="1542">
        <f>SUM(P19:P21)</f>
        <v>0</v>
      </c>
      <c r="Q18" s="1526">
        <f t="shared" ref="Q18:Z18" si="20">SUM(Q19:Q21)</f>
        <v>0</v>
      </c>
      <c r="R18" s="1526">
        <f t="shared" si="20"/>
        <v>0</v>
      </c>
      <c r="S18" s="1526">
        <f t="shared" si="20"/>
        <v>0</v>
      </c>
      <c r="T18" s="1526">
        <f t="shared" si="20"/>
        <v>0</v>
      </c>
      <c r="U18" s="1526">
        <f t="shared" si="20"/>
        <v>0</v>
      </c>
      <c r="V18" s="1526">
        <f t="shared" si="20"/>
        <v>0</v>
      </c>
      <c r="W18" s="1526">
        <f t="shared" si="20"/>
        <v>0</v>
      </c>
      <c r="X18" s="1526">
        <f t="shared" si="20"/>
        <v>0</v>
      </c>
      <c r="Y18" s="1526">
        <f t="shared" si="20"/>
        <v>0</v>
      </c>
      <c r="Z18" s="1526">
        <f t="shared" si="20"/>
        <v>0</v>
      </c>
      <c r="AA18" s="1543">
        <f>SUM(AA19:AA21)</f>
        <v>0</v>
      </c>
      <c r="AB18" s="1544">
        <f>SUM(AB19:AB21)</f>
        <v>0</v>
      </c>
      <c r="AC18" s="1780"/>
    </row>
    <row r="19" spans="1:29">
      <c r="A19" s="1752"/>
      <c r="B19" s="1753">
        <f>+P19*$O$2</f>
        <v>0</v>
      </c>
      <c r="C19" s="1753">
        <f t="shared" ref="C19:M21" si="21">+Q19*$O$2</f>
        <v>0</v>
      </c>
      <c r="D19" s="1753">
        <f t="shared" si="21"/>
        <v>0</v>
      </c>
      <c r="E19" s="1753">
        <f t="shared" si="21"/>
        <v>0</v>
      </c>
      <c r="F19" s="1753">
        <f t="shared" si="21"/>
        <v>0</v>
      </c>
      <c r="G19" s="1753">
        <f t="shared" si="21"/>
        <v>0</v>
      </c>
      <c r="H19" s="1753">
        <f t="shared" si="21"/>
        <v>0</v>
      </c>
      <c r="I19" s="1753">
        <f t="shared" si="21"/>
        <v>0</v>
      </c>
      <c r="J19" s="1753">
        <f t="shared" si="21"/>
        <v>0</v>
      </c>
      <c r="K19" s="1753">
        <f t="shared" si="21"/>
        <v>0</v>
      </c>
      <c r="L19" s="1753">
        <f t="shared" si="21"/>
        <v>0</v>
      </c>
      <c r="M19" s="1753">
        <f t="shared" si="21"/>
        <v>0</v>
      </c>
      <c r="N19" s="1754">
        <f t="shared" ref="N19:N21" si="22">SUM(B19:M19)</f>
        <v>0</v>
      </c>
      <c r="O19" s="563"/>
      <c r="P19" s="1529"/>
      <c r="Q19" s="1529"/>
      <c r="R19" s="1529"/>
      <c r="S19" s="1529"/>
      <c r="T19" s="1529"/>
      <c r="U19" s="1529"/>
      <c r="V19" s="1529"/>
      <c r="W19" s="1529"/>
      <c r="X19" s="1529"/>
      <c r="Y19" s="1529"/>
      <c r="Z19" s="1529"/>
      <c r="AA19" s="1529"/>
      <c r="AB19" s="1545">
        <f t="shared" ref="AB19:AB21" si="23">SUM(P19:AA19)</f>
        <v>0</v>
      </c>
      <c r="AC19" s="1780"/>
    </row>
    <row r="20" spans="1:29">
      <c r="A20" s="1755"/>
      <c r="B20" s="1756">
        <f t="shared" ref="B20:B21" si="24">+P20*$O$2</f>
        <v>0</v>
      </c>
      <c r="C20" s="1756">
        <f t="shared" si="21"/>
        <v>0</v>
      </c>
      <c r="D20" s="1756">
        <f t="shared" si="21"/>
        <v>0</v>
      </c>
      <c r="E20" s="1756">
        <f t="shared" si="21"/>
        <v>0</v>
      </c>
      <c r="F20" s="1756">
        <f t="shared" si="21"/>
        <v>0</v>
      </c>
      <c r="G20" s="1756">
        <f t="shared" si="21"/>
        <v>0</v>
      </c>
      <c r="H20" s="1756">
        <f t="shared" si="21"/>
        <v>0</v>
      </c>
      <c r="I20" s="1756">
        <f t="shared" si="21"/>
        <v>0</v>
      </c>
      <c r="J20" s="1756">
        <f t="shared" si="21"/>
        <v>0</v>
      </c>
      <c r="K20" s="1756">
        <f t="shared" si="21"/>
        <v>0</v>
      </c>
      <c r="L20" s="1756">
        <f t="shared" si="21"/>
        <v>0</v>
      </c>
      <c r="M20" s="1756">
        <f t="shared" si="21"/>
        <v>0</v>
      </c>
      <c r="N20" s="1757">
        <f t="shared" si="22"/>
        <v>0</v>
      </c>
      <c r="P20" s="1531"/>
      <c r="Q20" s="1531"/>
      <c r="R20" s="1531"/>
      <c r="S20" s="1531"/>
      <c r="T20" s="1531"/>
      <c r="U20" s="1531"/>
      <c r="V20" s="1531"/>
      <c r="W20" s="1531"/>
      <c r="X20" s="1531"/>
      <c r="Y20" s="1531"/>
      <c r="Z20" s="1531"/>
      <c r="AA20" s="1531"/>
      <c r="AB20" s="1546">
        <f t="shared" si="23"/>
        <v>0</v>
      </c>
      <c r="AC20" s="1780"/>
    </row>
    <row r="21" spans="1:29" ht="15" thickBot="1">
      <c r="A21" s="1758"/>
      <c r="B21" s="1759">
        <f t="shared" si="24"/>
        <v>0</v>
      </c>
      <c r="C21" s="1759">
        <f t="shared" si="21"/>
        <v>0</v>
      </c>
      <c r="D21" s="1759">
        <f t="shared" si="21"/>
        <v>0</v>
      </c>
      <c r="E21" s="1759">
        <f t="shared" si="21"/>
        <v>0</v>
      </c>
      <c r="F21" s="1759">
        <f t="shared" si="21"/>
        <v>0</v>
      </c>
      <c r="G21" s="1759">
        <f t="shared" si="21"/>
        <v>0</v>
      </c>
      <c r="H21" s="1759">
        <f t="shared" si="21"/>
        <v>0</v>
      </c>
      <c r="I21" s="1759">
        <f t="shared" si="21"/>
        <v>0</v>
      </c>
      <c r="J21" s="1759">
        <f t="shared" si="21"/>
        <v>0</v>
      </c>
      <c r="K21" s="1759">
        <f t="shared" si="21"/>
        <v>0</v>
      </c>
      <c r="L21" s="1759">
        <f t="shared" si="21"/>
        <v>0</v>
      </c>
      <c r="M21" s="1759">
        <f t="shared" si="21"/>
        <v>0</v>
      </c>
      <c r="N21" s="1760">
        <f t="shared" si="22"/>
        <v>0</v>
      </c>
      <c r="P21" s="1547"/>
      <c r="Q21" s="1547"/>
      <c r="R21" s="1547"/>
      <c r="S21" s="1547"/>
      <c r="T21" s="1547"/>
      <c r="U21" s="1547"/>
      <c r="V21" s="1547"/>
      <c r="W21" s="1547"/>
      <c r="X21" s="1547"/>
      <c r="Y21" s="1547"/>
      <c r="Z21" s="1547"/>
      <c r="AA21" s="1547"/>
      <c r="AB21" s="1548">
        <f t="shared" si="23"/>
        <v>0</v>
      </c>
      <c r="AC21" s="1780"/>
    </row>
    <row r="22" spans="1:29" ht="15" thickBot="1">
      <c r="A22" s="1745"/>
      <c r="B22" s="1746"/>
      <c r="C22" s="1746"/>
      <c r="D22" s="1746"/>
      <c r="E22" s="1746"/>
      <c r="F22" s="1746"/>
      <c r="G22" s="1746"/>
      <c r="H22" s="1746"/>
      <c r="I22" s="1746"/>
      <c r="J22" s="1746"/>
      <c r="K22" s="1746"/>
      <c r="L22" s="1746"/>
      <c r="M22" s="1746"/>
      <c r="N22" s="1746"/>
      <c r="P22" s="1541"/>
      <c r="Q22" s="1541"/>
      <c r="R22" s="1541"/>
      <c r="S22" s="1541"/>
      <c r="T22" s="1541"/>
      <c r="U22" s="1541"/>
      <c r="V22" s="1541"/>
      <c r="W22" s="1541"/>
      <c r="X22" s="1541"/>
      <c r="Y22" s="1541"/>
      <c r="Z22" s="1541"/>
      <c r="AA22" s="1541"/>
      <c r="AB22" s="1541"/>
      <c r="AC22" s="1780"/>
    </row>
    <row r="23" spans="1:29" ht="33" customHeight="1">
      <c r="A23" s="1720"/>
      <c r="B23" s="2292" t="s">
        <v>624</v>
      </c>
      <c r="C23" s="2293"/>
      <c r="D23" s="2293"/>
      <c r="E23" s="2293"/>
      <c r="F23" s="2293"/>
      <c r="G23" s="2293"/>
      <c r="H23" s="2293"/>
      <c r="I23" s="2293"/>
      <c r="J23" s="2293"/>
      <c r="K23" s="2293"/>
      <c r="L23" s="2293"/>
      <c r="M23" s="2293"/>
      <c r="N23" s="2294"/>
      <c r="P23" s="2297" t="s">
        <v>599</v>
      </c>
      <c r="Q23" s="2295"/>
      <c r="R23" s="2295"/>
      <c r="S23" s="2295"/>
      <c r="T23" s="2295"/>
      <c r="U23" s="2295"/>
      <c r="V23" s="2295"/>
      <c r="W23" s="2295"/>
      <c r="X23" s="2295"/>
      <c r="Y23" s="2295"/>
      <c r="Z23" s="2295"/>
      <c r="AA23" s="2295"/>
      <c r="AB23" s="2296"/>
      <c r="AC23" s="1780"/>
    </row>
    <row r="24" spans="1:29" ht="30.75" customHeight="1" thickBot="1">
      <c r="A24" s="1721"/>
      <c r="B24" s="1722" t="s">
        <v>1</v>
      </c>
      <c r="C24" s="1723" t="s">
        <v>2</v>
      </c>
      <c r="D24" s="1723" t="s">
        <v>3</v>
      </c>
      <c r="E24" s="1723" t="s">
        <v>4</v>
      </c>
      <c r="F24" s="1723" t="s">
        <v>5</v>
      </c>
      <c r="G24" s="1723" t="s">
        <v>6</v>
      </c>
      <c r="H24" s="1723" t="s">
        <v>7</v>
      </c>
      <c r="I24" s="1723" t="s">
        <v>8</v>
      </c>
      <c r="J24" s="1723" t="s">
        <v>9</v>
      </c>
      <c r="K24" s="1723" t="s">
        <v>10</v>
      </c>
      <c r="L24" s="1723" t="s">
        <v>11</v>
      </c>
      <c r="M24" s="1723" t="s">
        <v>12</v>
      </c>
      <c r="N24" s="1724" t="s">
        <v>13</v>
      </c>
      <c r="P24" s="1522" t="s">
        <v>1</v>
      </c>
      <c r="Q24" s="1523" t="s">
        <v>2</v>
      </c>
      <c r="R24" s="1523" t="s">
        <v>3</v>
      </c>
      <c r="S24" s="1523" t="s">
        <v>4</v>
      </c>
      <c r="T24" s="1523" t="s">
        <v>5</v>
      </c>
      <c r="U24" s="1523" t="s">
        <v>6</v>
      </c>
      <c r="V24" s="1523" t="s">
        <v>7</v>
      </c>
      <c r="W24" s="1523" t="s">
        <v>8</v>
      </c>
      <c r="X24" s="1523" t="s">
        <v>9</v>
      </c>
      <c r="Y24" s="1523" t="s">
        <v>10</v>
      </c>
      <c r="Z24" s="1523" t="s">
        <v>11</v>
      </c>
      <c r="AA24" s="1523" t="s">
        <v>12</v>
      </c>
      <c r="AB24" s="1524" t="s">
        <v>13</v>
      </c>
      <c r="AC24" s="1780"/>
    </row>
    <row r="25" spans="1:29" ht="22.5" customHeight="1" thickBot="1">
      <c r="A25" s="1747" t="s">
        <v>234</v>
      </c>
      <c r="B25" s="1748">
        <f>SUM(B26:B30)</f>
        <v>0</v>
      </c>
      <c r="C25" s="1749">
        <f t="shared" ref="C25:M25" si="25">SUM(C26:C30)</f>
        <v>0</v>
      </c>
      <c r="D25" s="1749">
        <f t="shared" si="25"/>
        <v>0</v>
      </c>
      <c r="E25" s="1749">
        <f t="shared" si="25"/>
        <v>0</v>
      </c>
      <c r="F25" s="1749">
        <f t="shared" si="25"/>
        <v>0</v>
      </c>
      <c r="G25" s="1749">
        <f t="shared" si="25"/>
        <v>0</v>
      </c>
      <c r="H25" s="1749">
        <f t="shared" si="25"/>
        <v>0</v>
      </c>
      <c r="I25" s="1749">
        <f t="shared" si="25"/>
        <v>0</v>
      </c>
      <c r="J25" s="1749">
        <f t="shared" si="25"/>
        <v>0</v>
      </c>
      <c r="K25" s="1749">
        <f t="shared" si="25"/>
        <v>0</v>
      </c>
      <c r="L25" s="1749">
        <f t="shared" si="25"/>
        <v>0</v>
      </c>
      <c r="M25" s="1749">
        <f t="shared" si="25"/>
        <v>0</v>
      </c>
      <c r="N25" s="1751">
        <f>SUM(N26:N30)</f>
        <v>0</v>
      </c>
      <c r="P25" s="1542">
        <f>SUM(P26:P30)</f>
        <v>0</v>
      </c>
      <c r="Q25" s="1526">
        <f t="shared" ref="Q25:AA25" si="26">SUM(Q26:Q30)</f>
        <v>0</v>
      </c>
      <c r="R25" s="1526">
        <f t="shared" si="26"/>
        <v>0</v>
      </c>
      <c r="S25" s="1526">
        <f t="shared" si="26"/>
        <v>0</v>
      </c>
      <c r="T25" s="1526">
        <f t="shared" si="26"/>
        <v>0</v>
      </c>
      <c r="U25" s="1526">
        <f t="shared" si="26"/>
        <v>0</v>
      </c>
      <c r="V25" s="1526">
        <f t="shared" si="26"/>
        <v>0</v>
      </c>
      <c r="W25" s="1526">
        <f t="shared" si="26"/>
        <v>0</v>
      </c>
      <c r="X25" s="1526">
        <f t="shared" si="26"/>
        <v>0</v>
      </c>
      <c r="Y25" s="1526">
        <f t="shared" si="26"/>
        <v>0</v>
      </c>
      <c r="Z25" s="1526">
        <f t="shared" si="26"/>
        <v>0</v>
      </c>
      <c r="AA25" s="1526">
        <f t="shared" si="26"/>
        <v>0</v>
      </c>
      <c r="AB25" s="1544">
        <f>SUM(AB26:AB30)</f>
        <v>0</v>
      </c>
      <c r="AC25" s="1780" t="e">
        <f t="shared" ref="AC25:AC65" si="27">+AB25/N25-1</f>
        <v>#DIV/0!</v>
      </c>
    </row>
    <row r="26" spans="1:29">
      <c r="A26" s="1761" t="s">
        <v>440</v>
      </c>
      <c r="B26" s="1762">
        <f>+P26*2</f>
        <v>0</v>
      </c>
      <c r="C26" s="1762">
        <f t="shared" ref="C26:M26" si="28">+Q26*2</f>
        <v>0</v>
      </c>
      <c r="D26" s="1762">
        <f t="shared" si="28"/>
        <v>0</v>
      </c>
      <c r="E26" s="1762">
        <f t="shared" si="28"/>
        <v>0</v>
      </c>
      <c r="F26" s="1762">
        <f t="shared" si="28"/>
        <v>0</v>
      </c>
      <c r="G26" s="1762">
        <f t="shared" si="28"/>
        <v>0</v>
      </c>
      <c r="H26" s="1762">
        <f t="shared" si="28"/>
        <v>0</v>
      </c>
      <c r="I26" s="1762">
        <f t="shared" si="28"/>
        <v>0</v>
      </c>
      <c r="J26" s="1762">
        <f t="shared" si="28"/>
        <v>0</v>
      </c>
      <c r="K26" s="1762">
        <f t="shared" si="28"/>
        <v>0</v>
      </c>
      <c r="L26" s="1762">
        <f t="shared" si="28"/>
        <v>0</v>
      </c>
      <c r="M26" s="1762">
        <f t="shared" si="28"/>
        <v>0</v>
      </c>
      <c r="N26" s="1754">
        <f>SUM(B26:M26)</f>
        <v>0</v>
      </c>
      <c r="P26" s="1605"/>
      <c r="Q26" s="1605"/>
      <c r="R26" s="1605"/>
      <c r="S26" s="1605"/>
      <c r="T26" s="1605"/>
      <c r="U26" s="1605"/>
      <c r="V26" s="1605"/>
      <c r="W26" s="1605"/>
      <c r="X26" s="1605"/>
      <c r="Y26" s="1605"/>
      <c r="Z26" s="1605"/>
      <c r="AA26" s="1605"/>
      <c r="AB26" s="1545">
        <f>SUM(P26:AA26)</f>
        <v>0</v>
      </c>
      <c r="AC26" s="1780"/>
    </row>
    <row r="27" spans="1:29">
      <c r="A27" s="1755" t="s">
        <v>364</v>
      </c>
      <c r="B27" s="1756">
        <f t="shared" ref="B27:J30" si="29">+P27*$O$2</f>
        <v>0</v>
      </c>
      <c r="C27" s="1756">
        <f t="shared" si="29"/>
        <v>0</v>
      </c>
      <c r="D27" s="1756">
        <f t="shared" si="29"/>
        <v>0</v>
      </c>
      <c r="E27" s="1756">
        <f t="shared" si="29"/>
        <v>0</v>
      </c>
      <c r="F27" s="1756">
        <f t="shared" si="29"/>
        <v>0</v>
      </c>
      <c r="G27" s="1756">
        <f t="shared" si="29"/>
        <v>0</v>
      </c>
      <c r="H27" s="1756">
        <f t="shared" si="29"/>
        <v>0</v>
      </c>
      <c r="I27" s="1756">
        <f t="shared" si="29"/>
        <v>0</v>
      </c>
      <c r="J27" s="1756">
        <f t="shared" si="29"/>
        <v>0</v>
      </c>
      <c r="K27" s="1756">
        <f t="shared" ref="K27:M30" si="30">+Y27*$O$2</f>
        <v>0</v>
      </c>
      <c r="L27" s="1756">
        <f t="shared" si="30"/>
        <v>0</v>
      </c>
      <c r="M27" s="1756">
        <f t="shared" si="30"/>
        <v>0</v>
      </c>
      <c r="N27" s="1757">
        <f>SUM(B27:M27)</f>
        <v>0</v>
      </c>
      <c r="P27" s="1596"/>
      <c r="Q27" s="1596"/>
      <c r="R27" s="1596"/>
      <c r="S27" s="1596"/>
      <c r="T27" s="1596"/>
      <c r="U27" s="1596"/>
      <c r="V27" s="1596"/>
      <c r="W27" s="1596"/>
      <c r="X27" s="1596"/>
      <c r="Y27" s="1596"/>
      <c r="Z27" s="1596"/>
      <c r="AA27" s="1596"/>
      <c r="AB27" s="1546">
        <f>SUM(P27:AA27)</f>
        <v>0</v>
      </c>
      <c r="AC27" s="1780"/>
    </row>
    <row r="28" spans="1:29">
      <c r="A28" s="1763" t="s">
        <v>365</v>
      </c>
      <c r="B28" s="1764">
        <f t="shared" si="29"/>
        <v>0</v>
      </c>
      <c r="C28" s="1764">
        <f t="shared" si="29"/>
        <v>0</v>
      </c>
      <c r="D28" s="1764">
        <f t="shared" si="29"/>
        <v>0</v>
      </c>
      <c r="E28" s="1764">
        <f t="shared" si="29"/>
        <v>0</v>
      </c>
      <c r="F28" s="1764">
        <f t="shared" si="29"/>
        <v>0</v>
      </c>
      <c r="G28" s="1764">
        <f t="shared" si="29"/>
        <v>0</v>
      </c>
      <c r="H28" s="1764">
        <f t="shared" si="29"/>
        <v>0</v>
      </c>
      <c r="I28" s="1764">
        <f t="shared" si="29"/>
        <v>0</v>
      </c>
      <c r="J28" s="1764">
        <f t="shared" si="29"/>
        <v>0</v>
      </c>
      <c r="K28" s="1764">
        <f t="shared" si="30"/>
        <v>0</v>
      </c>
      <c r="L28" s="1764">
        <f t="shared" si="30"/>
        <v>0</v>
      </c>
      <c r="M28" s="1764">
        <f t="shared" si="30"/>
        <v>0</v>
      </c>
      <c r="N28" s="1765">
        <f>SUM(B28:M28)</f>
        <v>0</v>
      </c>
      <c r="P28" s="1606"/>
      <c r="Q28" s="1606"/>
      <c r="R28" s="1606"/>
      <c r="S28" s="1606"/>
      <c r="T28" s="1606"/>
      <c r="U28" s="1606"/>
      <c r="V28" s="1606"/>
      <c r="W28" s="1606"/>
      <c r="X28" s="1606"/>
      <c r="Y28" s="1606"/>
      <c r="Z28" s="1606"/>
      <c r="AA28" s="1606"/>
      <c r="AB28" s="1550">
        <f>SUM(P28:AA28)</f>
        <v>0</v>
      </c>
      <c r="AC28" s="1780"/>
    </row>
    <row r="29" spans="1:29">
      <c r="A29" s="1755" t="s">
        <v>366</v>
      </c>
      <c r="B29" s="1756">
        <f t="shared" si="29"/>
        <v>0</v>
      </c>
      <c r="C29" s="1756">
        <f t="shared" si="29"/>
        <v>0</v>
      </c>
      <c r="D29" s="1756">
        <f t="shared" si="29"/>
        <v>0</v>
      </c>
      <c r="E29" s="1756">
        <f t="shared" si="29"/>
        <v>0</v>
      </c>
      <c r="F29" s="1756">
        <f t="shared" si="29"/>
        <v>0</v>
      </c>
      <c r="G29" s="1756">
        <f t="shared" si="29"/>
        <v>0</v>
      </c>
      <c r="H29" s="1756">
        <f t="shared" si="29"/>
        <v>0</v>
      </c>
      <c r="I29" s="1756">
        <f t="shared" si="29"/>
        <v>0</v>
      </c>
      <c r="J29" s="1756">
        <f t="shared" si="29"/>
        <v>0</v>
      </c>
      <c r="K29" s="1756">
        <f t="shared" si="30"/>
        <v>0</v>
      </c>
      <c r="L29" s="1756">
        <f t="shared" si="30"/>
        <v>0</v>
      </c>
      <c r="M29" s="1756">
        <f t="shared" si="30"/>
        <v>0</v>
      </c>
      <c r="N29" s="1757">
        <f>SUM(B29:M29)</f>
        <v>0</v>
      </c>
      <c r="O29" s="563"/>
      <c r="P29" s="1596"/>
      <c r="Q29" s="1596"/>
      <c r="R29" s="1596"/>
      <c r="S29" s="1596"/>
      <c r="T29" s="1596"/>
      <c r="U29" s="1596"/>
      <c r="V29" s="1596"/>
      <c r="W29" s="1596"/>
      <c r="X29" s="1596"/>
      <c r="Y29" s="1596"/>
      <c r="Z29" s="1596"/>
      <c r="AA29" s="1596"/>
      <c r="AB29" s="1546">
        <f>SUM(P29:AA29)</f>
        <v>0</v>
      </c>
      <c r="AC29" s="1780"/>
    </row>
    <row r="30" spans="1:29" ht="15" thickBot="1">
      <c r="A30" s="1766" t="s">
        <v>371</v>
      </c>
      <c r="B30" s="1767">
        <f t="shared" si="29"/>
        <v>0</v>
      </c>
      <c r="C30" s="1767">
        <f t="shared" si="29"/>
        <v>0</v>
      </c>
      <c r="D30" s="1767">
        <f t="shared" si="29"/>
        <v>0</v>
      </c>
      <c r="E30" s="1767">
        <f t="shared" si="29"/>
        <v>0</v>
      </c>
      <c r="F30" s="1767">
        <f t="shared" si="29"/>
        <v>0</v>
      </c>
      <c r="G30" s="1767">
        <f t="shared" si="29"/>
        <v>0</v>
      </c>
      <c r="H30" s="1767">
        <f t="shared" si="29"/>
        <v>0</v>
      </c>
      <c r="I30" s="1767">
        <f t="shared" si="29"/>
        <v>0</v>
      </c>
      <c r="J30" s="1767">
        <f t="shared" si="29"/>
        <v>0</v>
      </c>
      <c r="K30" s="1767">
        <f t="shared" si="30"/>
        <v>0</v>
      </c>
      <c r="L30" s="1767">
        <f t="shared" si="30"/>
        <v>0</v>
      </c>
      <c r="M30" s="1767">
        <f t="shared" si="30"/>
        <v>0</v>
      </c>
      <c r="N30" s="1768">
        <f>SUM(B30:M30)</f>
        <v>0</v>
      </c>
      <c r="P30" s="1607"/>
      <c r="Q30" s="1607"/>
      <c r="R30" s="1607"/>
      <c r="S30" s="1607"/>
      <c r="T30" s="1607"/>
      <c r="U30" s="1607"/>
      <c r="V30" s="1607"/>
      <c r="W30" s="1607"/>
      <c r="X30" s="1607"/>
      <c r="Y30" s="1607"/>
      <c r="Z30" s="1607"/>
      <c r="AA30" s="1607"/>
      <c r="AB30" s="1551">
        <f>SUM(P30:AA30)</f>
        <v>0</v>
      </c>
      <c r="AC30" s="1780"/>
    </row>
    <row r="31" spans="1:29" ht="18.75" customHeight="1" thickBot="1">
      <c r="A31" s="1769"/>
      <c r="B31" s="1770"/>
      <c r="C31" s="1770"/>
      <c r="D31" s="1770"/>
      <c r="E31" s="1770"/>
      <c r="F31" s="1770"/>
      <c r="G31" s="1770"/>
      <c r="H31" s="1770"/>
      <c r="I31" s="1770"/>
      <c r="J31" s="1770"/>
      <c r="K31" s="1770"/>
      <c r="L31" s="1770"/>
      <c r="M31" s="1770"/>
      <c r="N31" s="1770"/>
      <c r="P31" s="1537"/>
      <c r="Q31" s="1537"/>
      <c r="R31" s="1537"/>
      <c r="S31" s="1537"/>
      <c r="T31" s="1537"/>
      <c r="U31" s="1537"/>
      <c r="V31" s="1537"/>
      <c r="W31" s="1537"/>
      <c r="X31" s="1537"/>
      <c r="Y31" s="1537"/>
      <c r="Z31" s="1537"/>
      <c r="AA31" s="1537"/>
      <c r="AB31" s="1537"/>
      <c r="AC31" s="1780"/>
    </row>
    <row r="32" spans="1:29" ht="33" customHeight="1">
      <c r="A32" s="1720"/>
      <c r="B32" s="2292" t="s">
        <v>625</v>
      </c>
      <c r="C32" s="2293"/>
      <c r="D32" s="2293"/>
      <c r="E32" s="2293"/>
      <c r="F32" s="2293"/>
      <c r="G32" s="2293"/>
      <c r="H32" s="2293"/>
      <c r="I32" s="2293"/>
      <c r="J32" s="2293"/>
      <c r="K32" s="2293"/>
      <c r="L32" s="2293"/>
      <c r="M32" s="2293"/>
      <c r="N32" s="2294"/>
      <c r="P32" s="2297" t="s">
        <v>600</v>
      </c>
      <c r="Q32" s="2295"/>
      <c r="R32" s="2295"/>
      <c r="S32" s="2295"/>
      <c r="T32" s="2295"/>
      <c r="U32" s="2295"/>
      <c r="V32" s="2295"/>
      <c r="W32" s="2295"/>
      <c r="X32" s="2295"/>
      <c r="Y32" s="2295"/>
      <c r="Z32" s="2295"/>
      <c r="AA32" s="2295"/>
      <c r="AB32" s="2296"/>
      <c r="AC32" s="1780"/>
    </row>
    <row r="33" spans="1:29" ht="30.75" customHeight="1" thickBot="1">
      <c r="A33" s="1721"/>
      <c r="B33" s="1722" t="s">
        <v>1</v>
      </c>
      <c r="C33" s="1723" t="s">
        <v>2</v>
      </c>
      <c r="D33" s="1723" t="s">
        <v>3</v>
      </c>
      <c r="E33" s="1723" t="s">
        <v>4</v>
      </c>
      <c r="F33" s="1723" t="s">
        <v>5</v>
      </c>
      <c r="G33" s="1723" t="s">
        <v>6</v>
      </c>
      <c r="H33" s="1723" t="s">
        <v>7</v>
      </c>
      <c r="I33" s="1723" t="s">
        <v>8</v>
      </c>
      <c r="J33" s="1723" t="s">
        <v>9</v>
      </c>
      <c r="K33" s="1723" t="s">
        <v>10</v>
      </c>
      <c r="L33" s="1723" t="s">
        <v>11</v>
      </c>
      <c r="M33" s="1723" t="s">
        <v>12</v>
      </c>
      <c r="N33" s="1724" t="s">
        <v>13</v>
      </c>
      <c r="P33" s="1522" t="s">
        <v>1</v>
      </c>
      <c r="Q33" s="1523" t="s">
        <v>2</v>
      </c>
      <c r="R33" s="1523" t="s">
        <v>3</v>
      </c>
      <c r="S33" s="1523" t="s">
        <v>4</v>
      </c>
      <c r="T33" s="1523" t="s">
        <v>5</v>
      </c>
      <c r="U33" s="1523" t="s">
        <v>6</v>
      </c>
      <c r="V33" s="1523" t="s">
        <v>7</v>
      </c>
      <c r="W33" s="1523" t="s">
        <v>8</v>
      </c>
      <c r="X33" s="1523" t="s">
        <v>9</v>
      </c>
      <c r="Y33" s="1523" t="s">
        <v>10</v>
      </c>
      <c r="Z33" s="1523" t="s">
        <v>11</v>
      </c>
      <c r="AA33" s="1523" t="s">
        <v>12</v>
      </c>
      <c r="AB33" s="1524" t="s">
        <v>13</v>
      </c>
      <c r="AC33" s="1780"/>
    </row>
    <row r="34" spans="1:29" ht="22.5" customHeight="1" thickBot="1">
      <c r="A34" s="1747" t="s">
        <v>234</v>
      </c>
      <c r="B34" s="1748">
        <f t="shared" ref="B34:N34" si="31">SUM(B35:B38)</f>
        <v>0</v>
      </c>
      <c r="C34" s="1749">
        <f t="shared" si="31"/>
        <v>0</v>
      </c>
      <c r="D34" s="1749">
        <f t="shared" si="31"/>
        <v>0</v>
      </c>
      <c r="E34" s="1749">
        <f t="shared" si="31"/>
        <v>0</v>
      </c>
      <c r="F34" s="1749">
        <f t="shared" si="31"/>
        <v>0</v>
      </c>
      <c r="G34" s="1749">
        <f t="shared" si="31"/>
        <v>0</v>
      </c>
      <c r="H34" s="1749">
        <f t="shared" si="31"/>
        <v>0</v>
      </c>
      <c r="I34" s="1749">
        <f t="shared" si="31"/>
        <v>0</v>
      </c>
      <c r="J34" s="1749">
        <f t="shared" si="31"/>
        <v>0</v>
      </c>
      <c r="K34" s="1749">
        <f t="shared" si="31"/>
        <v>0</v>
      </c>
      <c r="L34" s="1749">
        <f t="shared" si="31"/>
        <v>0</v>
      </c>
      <c r="M34" s="1749">
        <f t="shared" si="31"/>
        <v>0</v>
      </c>
      <c r="N34" s="1751">
        <f t="shared" si="31"/>
        <v>0</v>
      </c>
      <c r="P34" s="1542">
        <f t="shared" ref="P34:AB34" si="32">SUM(P35:P38)</f>
        <v>0</v>
      </c>
      <c r="Q34" s="1526">
        <f t="shared" si="32"/>
        <v>0</v>
      </c>
      <c r="R34" s="1526">
        <f t="shared" si="32"/>
        <v>0</v>
      </c>
      <c r="S34" s="1526">
        <f t="shared" si="32"/>
        <v>0</v>
      </c>
      <c r="T34" s="1526">
        <f t="shared" si="32"/>
        <v>0</v>
      </c>
      <c r="U34" s="1526">
        <f t="shared" si="32"/>
        <v>0</v>
      </c>
      <c r="V34" s="1526">
        <f t="shared" si="32"/>
        <v>0</v>
      </c>
      <c r="W34" s="1526">
        <f t="shared" si="32"/>
        <v>0</v>
      </c>
      <c r="X34" s="1526">
        <f t="shared" si="32"/>
        <v>0</v>
      </c>
      <c r="Y34" s="1526">
        <f t="shared" si="32"/>
        <v>0</v>
      </c>
      <c r="Z34" s="1526">
        <f t="shared" si="32"/>
        <v>0</v>
      </c>
      <c r="AA34" s="1526">
        <f t="shared" si="32"/>
        <v>0</v>
      </c>
      <c r="AB34" s="1544">
        <f t="shared" si="32"/>
        <v>0</v>
      </c>
      <c r="AC34" s="1780" t="e">
        <f t="shared" si="27"/>
        <v>#DIV/0!</v>
      </c>
    </row>
    <row r="35" spans="1:29" s="1535" customFormat="1">
      <c r="A35" s="1761" t="s">
        <v>235</v>
      </c>
      <c r="B35" s="1772">
        <f>+P35*1.08</f>
        <v>0</v>
      </c>
      <c r="C35" s="1772">
        <f t="shared" ref="C35" si="33">+Q35*1.08</f>
        <v>0</v>
      </c>
      <c r="D35" s="1772">
        <f t="shared" ref="D35" si="34">+R35*1.08</f>
        <v>0</v>
      </c>
      <c r="E35" s="1772">
        <f t="shared" ref="E35" si="35">+S35*1.08</f>
        <v>0</v>
      </c>
      <c r="F35" s="1772">
        <f t="shared" ref="F35" si="36">+T35*1.08</f>
        <v>0</v>
      </c>
      <c r="G35" s="1772">
        <f t="shared" ref="G35" si="37">+U35*1.08</f>
        <v>0</v>
      </c>
      <c r="H35" s="1772">
        <f t="shared" ref="H35" si="38">+V35*1.08</f>
        <v>0</v>
      </c>
      <c r="I35" s="1772">
        <f t="shared" ref="I35" si="39">+W35*1.08</f>
        <v>0</v>
      </c>
      <c r="J35" s="1772">
        <f t="shared" ref="J35" si="40">+X35*1.08</f>
        <v>0</v>
      </c>
      <c r="K35" s="1772">
        <f t="shared" ref="K35" si="41">+Y35*1.08</f>
        <v>0</v>
      </c>
      <c r="L35" s="1772">
        <f t="shared" ref="L35" si="42">+Z35*1.08</f>
        <v>0</v>
      </c>
      <c r="M35" s="1772">
        <f t="shared" ref="M35" si="43">+AA35*1.08</f>
        <v>0</v>
      </c>
      <c r="N35" s="1754">
        <f>SUM(B35:M35)</f>
        <v>0</v>
      </c>
      <c r="O35" s="1715"/>
      <c r="P35" s="1593"/>
      <c r="Q35" s="1593"/>
      <c r="R35" s="1593"/>
      <c r="S35" s="1593"/>
      <c r="T35" s="1593"/>
      <c r="U35" s="1593"/>
      <c r="V35" s="1593"/>
      <c r="W35" s="1593"/>
      <c r="X35" s="1593"/>
      <c r="Y35" s="1593"/>
      <c r="Z35" s="1593"/>
      <c r="AA35" s="1593"/>
      <c r="AB35" s="1552">
        <f>SUM(P35:AA35)</f>
        <v>0</v>
      </c>
      <c r="AC35" s="1780"/>
    </row>
    <row r="36" spans="1:29" s="1535" customFormat="1">
      <c r="A36" s="1755" t="s">
        <v>367</v>
      </c>
      <c r="B36" s="1756">
        <f>+P36*1.08</f>
        <v>0</v>
      </c>
      <c r="C36" s="1756">
        <f t="shared" ref="C36:M36" si="44">+Q36*1.08</f>
        <v>0</v>
      </c>
      <c r="D36" s="1756">
        <f t="shared" si="44"/>
        <v>0</v>
      </c>
      <c r="E36" s="1756">
        <f t="shared" si="44"/>
        <v>0</v>
      </c>
      <c r="F36" s="1756">
        <f t="shared" si="44"/>
        <v>0</v>
      </c>
      <c r="G36" s="1756">
        <f t="shared" si="44"/>
        <v>0</v>
      </c>
      <c r="H36" s="1756">
        <f t="shared" si="44"/>
        <v>0</v>
      </c>
      <c r="I36" s="1756">
        <f t="shared" si="44"/>
        <v>0</v>
      </c>
      <c r="J36" s="1756">
        <f t="shared" si="44"/>
        <v>0</v>
      </c>
      <c r="K36" s="1756">
        <f t="shared" si="44"/>
        <v>0</v>
      </c>
      <c r="L36" s="1756">
        <f t="shared" si="44"/>
        <v>0</v>
      </c>
      <c r="M36" s="1756">
        <f t="shared" si="44"/>
        <v>0</v>
      </c>
      <c r="N36" s="1757">
        <f>SUM(B36:M36)</f>
        <v>0</v>
      </c>
      <c r="O36" s="1715"/>
      <c r="P36" s="1600"/>
      <c r="Q36" s="1600"/>
      <c r="R36" s="1600"/>
      <c r="S36" s="1600"/>
      <c r="T36" s="1600"/>
      <c r="U36" s="1600"/>
      <c r="V36" s="1600"/>
      <c r="W36" s="1600"/>
      <c r="X36" s="1600"/>
      <c r="Y36" s="1600"/>
      <c r="Z36" s="1600"/>
      <c r="AA36" s="1600"/>
      <c r="AB36" s="1553">
        <f>SUM(P36:AA36)</f>
        <v>0</v>
      </c>
      <c r="AC36" s="1780"/>
    </row>
    <row r="37" spans="1:29" s="1535" customFormat="1">
      <c r="A37" s="1771" t="s">
        <v>368</v>
      </c>
      <c r="B37" s="1772">
        <f t="shared" ref="B37:M38" si="45">+P37*$O$2</f>
        <v>0</v>
      </c>
      <c r="C37" s="1772">
        <f t="shared" si="45"/>
        <v>0</v>
      </c>
      <c r="D37" s="1772">
        <f t="shared" si="45"/>
        <v>0</v>
      </c>
      <c r="E37" s="1772">
        <f t="shared" ref="E37" si="46">+S37*$O$2</f>
        <v>0</v>
      </c>
      <c r="F37" s="1772">
        <f t="shared" ref="F37" si="47">+T37*$O$2</f>
        <v>0</v>
      </c>
      <c r="G37" s="1772">
        <f t="shared" ref="G37" si="48">+U37*$O$2</f>
        <v>0</v>
      </c>
      <c r="H37" s="1772">
        <f t="shared" ref="H37" si="49">+V37*$O$2</f>
        <v>0</v>
      </c>
      <c r="I37" s="1772">
        <f t="shared" ref="I37" si="50">+W37*$O$2</f>
        <v>0</v>
      </c>
      <c r="J37" s="1772">
        <f t="shared" ref="J37" si="51">+X37*$O$2</f>
        <v>0</v>
      </c>
      <c r="K37" s="1772">
        <f t="shared" ref="K37" si="52">+Y37*$O$2</f>
        <v>0</v>
      </c>
      <c r="L37" s="1772">
        <f t="shared" ref="L37" si="53">+Z37*$O$2</f>
        <v>0</v>
      </c>
      <c r="M37" s="1772">
        <f t="shared" ref="M37" si="54">+AA37*$O$2</f>
        <v>0</v>
      </c>
      <c r="N37" s="1773">
        <f>SUM(B37:M37)</f>
        <v>0</v>
      </c>
      <c r="O37" s="1715"/>
      <c r="P37" s="1600"/>
      <c r="Q37" s="1600"/>
      <c r="R37" s="1600"/>
      <c r="S37" s="1600"/>
      <c r="T37" s="1600"/>
      <c r="U37" s="1600"/>
      <c r="V37" s="1600"/>
      <c r="W37" s="1600"/>
      <c r="X37" s="1600"/>
      <c r="Y37" s="1600"/>
      <c r="Z37" s="1600"/>
      <c r="AA37" s="1600"/>
      <c r="AB37" s="1553">
        <f>SUM(P37:AA37)</f>
        <v>0</v>
      </c>
      <c r="AC37" s="1780"/>
    </row>
    <row r="38" spans="1:29" s="1535" customFormat="1" ht="15" thickBot="1">
      <c r="A38" s="1774" t="s">
        <v>369</v>
      </c>
      <c r="B38" s="1775">
        <f t="shared" si="45"/>
        <v>0</v>
      </c>
      <c r="C38" s="1775">
        <f t="shared" si="45"/>
        <v>0</v>
      </c>
      <c r="D38" s="1775">
        <f t="shared" si="45"/>
        <v>0</v>
      </c>
      <c r="E38" s="1775">
        <f t="shared" si="45"/>
        <v>0</v>
      </c>
      <c r="F38" s="1775">
        <f t="shared" si="45"/>
        <v>0</v>
      </c>
      <c r="G38" s="1775">
        <f t="shared" si="45"/>
        <v>0</v>
      </c>
      <c r="H38" s="1775">
        <f t="shared" si="45"/>
        <v>0</v>
      </c>
      <c r="I38" s="1775">
        <f t="shared" si="45"/>
        <v>0</v>
      </c>
      <c r="J38" s="1775">
        <f t="shared" si="45"/>
        <v>0</v>
      </c>
      <c r="K38" s="1775">
        <f t="shared" si="45"/>
        <v>0</v>
      </c>
      <c r="L38" s="1775">
        <f t="shared" si="45"/>
        <v>0</v>
      </c>
      <c r="M38" s="1775">
        <f t="shared" si="45"/>
        <v>0</v>
      </c>
      <c r="N38" s="1776">
        <f>SUM(B38:M38)</f>
        <v>0</v>
      </c>
      <c r="O38" s="1715"/>
      <c r="P38" s="1608"/>
      <c r="Q38" s="1608"/>
      <c r="R38" s="1608"/>
      <c r="S38" s="1608"/>
      <c r="T38" s="1608"/>
      <c r="U38" s="1608"/>
      <c r="V38" s="1608"/>
      <c r="W38" s="1608"/>
      <c r="X38" s="1608"/>
      <c r="Y38" s="1608"/>
      <c r="Z38" s="1608"/>
      <c r="AA38" s="1608"/>
      <c r="AB38" s="1554">
        <f>SUM(P38:AA38)</f>
        <v>0</v>
      </c>
      <c r="AC38" s="1780"/>
    </row>
    <row r="39" spans="1:29" ht="15" thickBot="1">
      <c r="A39" s="1769"/>
      <c r="B39" s="1770"/>
      <c r="C39" s="1770"/>
      <c r="D39" s="1770"/>
      <c r="E39" s="1770"/>
      <c r="F39" s="1770"/>
      <c r="G39" s="1770"/>
      <c r="H39" s="1770"/>
      <c r="I39" s="1770"/>
      <c r="J39" s="1770"/>
      <c r="K39" s="1770"/>
      <c r="L39" s="1770"/>
      <c r="M39" s="1770"/>
      <c r="N39" s="1770"/>
      <c r="P39" s="1537"/>
      <c r="Q39" s="1537"/>
      <c r="R39" s="1537"/>
      <c r="S39" s="1537"/>
      <c r="T39" s="1537"/>
      <c r="U39" s="1537"/>
      <c r="V39" s="1537"/>
      <c r="W39" s="1537"/>
      <c r="X39" s="1537"/>
      <c r="Y39" s="1537"/>
      <c r="Z39" s="1537"/>
      <c r="AA39" s="1537"/>
      <c r="AB39" s="1537"/>
      <c r="AC39" s="1780"/>
    </row>
    <row r="40" spans="1:29" ht="18">
      <c r="A40" s="1720"/>
      <c r="B40" s="2292" t="s">
        <v>626</v>
      </c>
      <c r="C40" s="2293"/>
      <c r="D40" s="2293"/>
      <c r="E40" s="2293"/>
      <c r="F40" s="2293"/>
      <c r="G40" s="2293"/>
      <c r="H40" s="2293"/>
      <c r="I40" s="2293"/>
      <c r="J40" s="2293"/>
      <c r="K40" s="2293"/>
      <c r="L40" s="2293"/>
      <c r="M40" s="2293"/>
      <c r="N40" s="2294"/>
      <c r="P40" s="2297" t="s">
        <v>601</v>
      </c>
      <c r="Q40" s="2295"/>
      <c r="R40" s="2295"/>
      <c r="S40" s="2295"/>
      <c r="T40" s="2295"/>
      <c r="U40" s="2295"/>
      <c r="V40" s="2295"/>
      <c r="W40" s="2295"/>
      <c r="X40" s="2295"/>
      <c r="Y40" s="2295"/>
      <c r="Z40" s="2295"/>
      <c r="AA40" s="2295"/>
      <c r="AB40" s="2296"/>
      <c r="AC40" s="1780"/>
    </row>
    <row r="41" spans="1:29" ht="15" thickBot="1">
      <c r="A41" s="1721"/>
      <c r="B41" s="1722" t="s">
        <v>1</v>
      </c>
      <c r="C41" s="1723" t="s">
        <v>2</v>
      </c>
      <c r="D41" s="1723" t="s">
        <v>3</v>
      </c>
      <c r="E41" s="1723" t="s">
        <v>4</v>
      </c>
      <c r="F41" s="1723" t="s">
        <v>5</v>
      </c>
      <c r="G41" s="1723" t="s">
        <v>6</v>
      </c>
      <c r="H41" s="1723" t="s">
        <v>7</v>
      </c>
      <c r="I41" s="1723" t="s">
        <v>8</v>
      </c>
      <c r="J41" s="1723" t="s">
        <v>9</v>
      </c>
      <c r="K41" s="1723" t="s">
        <v>10</v>
      </c>
      <c r="L41" s="1723" t="s">
        <v>11</v>
      </c>
      <c r="M41" s="1723" t="s">
        <v>12</v>
      </c>
      <c r="N41" s="1724" t="s">
        <v>13</v>
      </c>
      <c r="P41" s="1522" t="s">
        <v>1</v>
      </c>
      <c r="Q41" s="1523" t="s">
        <v>2</v>
      </c>
      <c r="R41" s="1523" t="s">
        <v>3</v>
      </c>
      <c r="S41" s="1523" t="s">
        <v>4</v>
      </c>
      <c r="T41" s="1523" t="s">
        <v>5</v>
      </c>
      <c r="U41" s="1523" t="s">
        <v>6</v>
      </c>
      <c r="V41" s="1523" t="s">
        <v>7</v>
      </c>
      <c r="W41" s="1523" t="s">
        <v>8</v>
      </c>
      <c r="X41" s="1523" t="s">
        <v>9</v>
      </c>
      <c r="Y41" s="1523" t="s">
        <v>10</v>
      </c>
      <c r="Z41" s="1523" t="s">
        <v>11</v>
      </c>
      <c r="AA41" s="1523" t="s">
        <v>12</v>
      </c>
      <c r="AB41" s="1524" t="s">
        <v>13</v>
      </c>
      <c r="AC41" s="1780"/>
    </row>
    <row r="42" spans="1:29" ht="15" thickBot="1">
      <c r="A42" s="1747" t="s">
        <v>234</v>
      </c>
      <c r="B42" s="1748">
        <f>SUM(B43:B47)</f>
        <v>0</v>
      </c>
      <c r="C42" s="1749">
        <f t="shared" ref="C42:M42" si="55">SUM(C43:C47)</f>
        <v>0</v>
      </c>
      <c r="D42" s="1749">
        <f t="shared" si="55"/>
        <v>0</v>
      </c>
      <c r="E42" s="1749">
        <f t="shared" si="55"/>
        <v>0</v>
      </c>
      <c r="F42" s="1749">
        <f t="shared" si="55"/>
        <v>0</v>
      </c>
      <c r="G42" s="1749">
        <f t="shared" si="55"/>
        <v>0</v>
      </c>
      <c r="H42" s="1749">
        <f t="shared" si="55"/>
        <v>0</v>
      </c>
      <c r="I42" s="1749">
        <f t="shared" si="55"/>
        <v>0</v>
      </c>
      <c r="J42" s="1749">
        <f t="shared" si="55"/>
        <v>0</v>
      </c>
      <c r="K42" s="1749">
        <f t="shared" si="55"/>
        <v>0</v>
      </c>
      <c r="L42" s="1749">
        <f t="shared" si="55"/>
        <v>0</v>
      </c>
      <c r="M42" s="1749">
        <f t="shared" si="55"/>
        <v>0</v>
      </c>
      <c r="N42" s="1751">
        <f>SUM(N43:N47)</f>
        <v>0</v>
      </c>
      <c r="P42" s="1542">
        <f>SUM(P43:P47)</f>
        <v>0</v>
      </c>
      <c r="Q42" s="1526">
        <f t="shared" ref="Q42:AA42" si="56">SUM(Q43:Q47)</f>
        <v>0</v>
      </c>
      <c r="R42" s="1526">
        <f t="shared" si="56"/>
        <v>0</v>
      </c>
      <c r="S42" s="1526">
        <f t="shared" si="56"/>
        <v>0</v>
      </c>
      <c r="T42" s="1526">
        <f t="shared" si="56"/>
        <v>0</v>
      </c>
      <c r="U42" s="1526">
        <f t="shared" si="56"/>
        <v>0</v>
      </c>
      <c r="V42" s="1526">
        <f t="shared" si="56"/>
        <v>0</v>
      </c>
      <c r="W42" s="1526">
        <f t="shared" si="56"/>
        <v>0</v>
      </c>
      <c r="X42" s="1526">
        <f t="shared" si="56"/>
        <v>0</v>
      </c>
      <c r="Y42" s="1526">
        <f t="shared" si="56"/>
        <v>0</v>
      </c>
      <c r="Z42" s="1526">
        <f t="shared" si="56"/>
        <v>0</v>
      </c>
      <c r="AA42" s="1526">
        <f t="shared" si="56"/>
        <v>0</v>
      </c>
      <c r="AB42" s="1544">
        <f>SUM(AB43:AB47)</f>
        <v>0</v>
      </c>
      <c r="AC42" s="1780" t="e">
        <f t="shared" si="27"/>
        <v>#DIV/0!</v>
      </c>
    </row>
    <row r="43" spans="1:29">
      <c r="A43" s="1777" t="s">
        <v>259</v>
      </c>
      <c r="B43" s="1778">
        <f>+B26-B35</f>
        <v>0</v>
      </c>
      <c r="C43" s="1778">
        <f t="shared" ref="C43:L43" si="57">+C26-C35</f>
        <v>0</v>
      </c>
      <c r="D43" s="1778">
        <f t="shared" si="57"/>
        <v>0</v>
      </c>
      <c r="E43" s="1778">
        <f t="shared" si="57"/>
        <v>0</v>
      </c>
      <c r="F43" s="1778">
        <f t="shared" si="57"/>
        <v>0</v>
      </c>
      <c r="G43" s="1778">
        <f t="shared" si="57"/>
        <v>0</v>
      </c>
      <c r="H43" s="1778">
        <f t="shared" si="57"/>
        <v>0</v>
      </c>
      <c r="I43" s="1778">
        <f t="shared" si="57"/>
        <v>0</v>
      </c>
      <c r="J43" s="1778">
        <f t="shared" si="57"/>
        <v>0</v>
      </c>
      <c r="K43" s="1778">
        <f t="shared" si="57"/>
        <v>0</v>
      </c>
      <c r="L43" s="1778">
        <f t="shared" si="57"/>
        <v>0</v>
      </c>
      <c r="M43" s="1778">
        <f>+M26-M35</f>
        <v>0</v>
      </c>
      <c r="N43" s="1778">
        <f>SUM(B43:M43)</f>
        <v>0</v>
      </c>
      <c r="P43" s="1555"/>
      <c r="Q43" s="1555"/>
      <c r="R43" s="1555"/>
      <c r="S43" s="1555"/>
      <c r="T43" s="1555"/>
      <c r="U43" s="1555"/>
      <c r="V43" s="1555"/>
      <c r="W43" s="1555"/>
      <c r="X43" s="1555"/>
      <c r="Y43" s="1555"/>
      <c r="Z43" s="1555"/>
      <c r="AA43" s="1555"/>
      <c r="AB43" s="1555">
        <f>SUM(P43:AA43)</f>
        <v>0</v>
      </c>
      <c r="AC43" s="1780"/>
    </row>
    <row r="44" spans="1:29">
      <c r="A44" s="1777" t="s">
        <v>261</v>
      </c>
      <c r="B44" s="1778">
        <f t="shared" ref="B44:M47" si="58">+B27-B36</f>
        <v>0</v>
      </c>
      <c r="C44" s="1778">
        <f t="shared" si="58"/>
        <v>0</v>
      </c>
      <c r="D44" s="1778">
        <f t="shared" si="58"/>
        <v>0</v>
      </c>
      <c r="E44" s="1778">
        <f t="shared" si="58"/>
        <v>0</v>
      </c>
      <c r="F44" s="1778">
        <f t="shared" si="58"/>
        <v>0</v>
      </c>
      <c r="G44" s="1778">
        <f t="shared" si="58"/>
        <v>0</v>
      </c>
      <c r="H44" s="1778">
        <f t="shared" si="58"/>
        <v>0</v>
      </c>
      <c r="I44" s="1778">
        <f t="shared" si="58"/>
        <v>0</v>
      </c>
      <c r="J44" s="1778">
        <f t="shared" si="58"/>
        <v>0</v>
      </c>
      <c r="K44" s="1778">
        <f t="shared" si="58"/>
        <v>0</v>
      </c>
      <c r="L44" s="1778">
        <f t="shared" si="58"/>
        <v>0</v>
      </c>
      <c r="M44" s="1778">
        <f t="shared" si="58"/>
        <v>0</v>
      </c>
      <c r="N44" s="1778">
        <f>SUM(B44:M44)</f>
        <v>0</v>
      </c>
      <c r="P44" s="1555"/>
      <c r="Q44" s="1555"/>
      <c r="R44" s="1555"/>
      <c r="S44" s="1555"/>
      <c r="T44" s="1555"/>
      <c r="U44" s="1555"/>
      <c r="V44" s="1555"/>
      <c r="W44" s="1555"/>
      <c r="X44" s="1555"/>
      <c r="Y44" s="1555"/>
      <c r="Z44" s="1555"/>
      <c r="AA44" s="1555"/>
      <c r="AB44" s="1555">
        <f>SUM(P44:AA44)</f>
        <v>0</v>
      </c>
      <c r="AC44" s="1780"/>
    </row>
    <row r="45" spans="1:29">
      <c r="A45" s="1777" t="s">
        <v>260</v>
      </c>
      <c r="B45" s="1778">
        <f t="shared" si="58"/>
        <v>0</v>
      </c>
      <c r="C45" s="1778">
        <f t="shared" si="58"/>
        <v>0</v>
      </c>
      <c r="D45" s="1778">
        <f t="shared" si="58"/>
        <v>0</v>
      </c>
      <c r="E45" s="1778">
        <f t="shared" si="58"/>
        <v>0</v>
      </c>
      <c r="F45" s="1778">
        <f t="shared" si="58"/>
        <v>0</v>
      </c>
      <c r="G45" s="1778">
        <f t="shared" si="58"/>
        <v>0</v>
      </c>
      <c r="H45" s="1778">
        <f t="shared" si="58"/>
        <v>0</v>
      </c>
      <c r="I45" s="1778">
        <f t="shared" si="58"/>
        <v>0</v>
      </c>
      <c r="J45" s="1778">
        <f t="shared" si="58"/>
        <v>0</v>
      </c>
      <c r="K45" s="1778">
        <f t="shared" si="58"/>
        <v>0</v>
      </c>
      <c r="L45" s="1778">
        <f t="shared" si="58"/>
        <v>0</v>
      </c>
      <c r="M45" s="1778">
        <f t="shared" si="58"/>
        <v>0</v>
      </c>
      <c r="N45" s="1778">
        <f>SUM(B45:M45)</f>
        <v>0</v>
      </c>
      <c r="P45" s="1555"/>
      <c r="Q45" s="1555"/>
      <c r="R45" s="1555"/>
      <c r="S45" s="1555"/>
      <c r="T45" s="1555"/>
      <c r="U45" s="1555"/>
      <c r="V45" s="1555"/>
      <c r="W45" s="1555"/>
      <c r="X45" s="1555"/>
      <c r="Y45" s="1555"/>
      <c r="Z45" s="1555"/>
      <c r="AA45" s="1555"/>
      <c r="AB45" s="1555">
        <f>SUM(P45:AA45)</f>
        <v>0</v>
      </c>
      <c r="AC45" s="1780"/>
    </row>
    <row r="46" spans="1:29">
      <c r="A46" s="1777"/>
      <c r="B46" s="1778">
        <f t="shared" si="58"/>
        <v>0</v>
      </c>
      <c r="C46" s="1778">
        <f t="shared" si="58"/>
        <v>0</v>
      </c>
      <c r="D46" s="1778">
        <f t="shared" si="58"/>
        <v>0</v>
      </c>
      <c r="E46" s="1778">
        <f t="shared" si="58"/>
        <v>0</v>
      </c>
      <c r="F46" s="1778">
        <f t="shared" si="58"/>
        <v>0</v>
      </c>
      <c r="G46" s="1778">
        <f t="shared" si="58"/>
        <v>0</v>
      </c>
      <c r="H46" s="1778">
        <f t="shared" si="58"/>
        <v>0</v>
      </c>
      <c r="I46" s="1778">
        <f t="shared" si="58"/>
        <v>0</v>
      </c>
      <c r="J46" s="1778">
        <f t="shared" si="58"/>
        <v>0</v>
      </c>
      <c r="K46" s="1778">
        <f t="shared" si="58"/>
        <v>0</v>
      </c>
      <c r="L46" s="1778">
        <f t="shared" si="58"/>
        <v>0</v>
      </c>
      <c r="M46" s="1778">
        <f t="shared" si="58"/>
        <v>0</v>
      </c>
      <c r="N46" s="1778">
        <f>SUM(B46:M46)</f>
        <v>0</v>
      </c>
      <c r="P46" s="1555"/>
      <c r="Q46" s="1555"/>
      <c r="R46" s="1555"/>
      <c r="S46" s="1555"/>
      <c r="T46" s="1555"/>
      <c r="U46" s="1555"/>
      <c r="V46" s="1555"/>
      <c r="W46" s="1555"/>
      <c r="X46" s="1555"/>
      <c r="Y46" s="1555"/>
      <c r="Z46" s="1555"/>
      <c r="AA46" s="1555"/>
      <c r="AB46" s="1555">
        <f>SUM(P46:AA46)</f>
        <v>0</v>
      </c>
      <c r="AC46" s="1780"/>
    </row>
    <row r="47" spans="1:29">
      <c r="A47" s="1777" t="s">
        <v>370</v>
      </c>
      <c r="B47" s="1778">
        <f t="shared" si="58"/>
        <v>0</v>
      </c>
      <c r="C47" s="1778">
        <f t="shared" si="58"/>
        <v>0</v>
      </c>
      <c r="D47" s="1778">
        <f t="shared" si="58"/>
        <v>0</v>
      </c>
      <c r="E47" s="1778">
        <f t="shared" si="58"/>
        <v>0</v>
      </c>
      <c r="F47" s="1778">
        <f t="shared" si="58"/>
        <v>0</v>
      </c>
      <c r="G47" s="1778">
        <f t="shared" si="58"/>
        <v>0</v>
      </c>
      <c r="H47" s="1778">
        <f t="shared" si="58"/>
        <v>0</v>
      </c>
      <c r="I47" s="1778">
        <f t="shared" si="58"/>
        <v>0</v>
      </c>
      <c r="J47" s="1778">
        <f t="shared" si="58"/>
        <v>0</v>
      </c>
      <c r="K47" s="1778">
        <f t="shared" si="58"/>
        <v>0</v>
      </c>
      <c r="L47" s="1778">
        <f t="shared" si="58"/>
        <v>0</v>
      </c>
      <c r="M47" s="1778">
        <f t="shared" si="58"/>
        <v>0</v>
      </c>
      <c r="N47" s="1778">
        <f>SUM(B47:M47)</f>
        <v>0</v>
      </c>
      <c r="P47" s="1555"/>
      <c r="Q47" s="1555"/>
      <c r="R47" s="1555"/>
      <c r="S47" s="1555"/>
      <c r="T47" s="1555"/>
      <c r="U47" s="1555"/>
      <c r="V47" s="1555"/>
      <c r="W47" s="1555"/>
      <c r="X47" s="1555"/>
      <c r="Y47" s="1555"/>
      <c r="Z47" s="1555"/>
      <c r="AA47" s="1555"/>
      <c r="AB47" s="1555">
        <f>SUM(P47:AA47)</f>
        <v>0</v>
      </c>
      <c r="AC47" s="1780"/>
    </row>
    <row r="48" spans="1:29" ht="15" thickBot="1">
      <c r="AC48" s="1780"/>
    </row>
    <row r="49" spans="1:29" ht="18">
      <c r="A49" s="1720"/>
      <c r="B49" s="2292" t="s">
        <v>627</v>
      </c>
      <c r="C49" s="2293"/>
      <c r="D49" s="2293"/>
      <c r="E49" s="2293"/>
      <c r="F49" s="2293"/>
      <c r="G49" s="2293"/>
      <c r="H49" s="2293"/>
      <c r="I49" s="2293"/>
      <c r="J49" s="2293"/>
      <c r="K49" s="2293"/>
      <c r="L49" s="2293"/>
      <c r="M49" s="2293"/>
      <c r="N49" s="2294"/>
      <c r="P49" s="2295" t="s">
        <v>602</v>
      </c>
      <c r="Q49" s="2295"/>
      <c r="R49" s="2295"/>
      <c r="S49" s="2295"/>
      <c r="T49" s="2295"/>
      <c r="U49" s="2295"/>
      <c r="V49" s="2295"/>
      <c r="W49" s="2295"/>
      <c r="X49" s="2295"/>
      <c r="Y49" s="2295"/>
      <c r="Z49" s="2295"/>
      <c r="AA49" s="2295"/>
      <c r="AB49" s="2296"/>
      <c r="AC49" s="1780"/>
    </row>
    <row r="50" spans="1:29" ht="15" thickBot="1">
      <c r="A50" s="1721"/>
      <c r="B50" s="1722" t="s">
        <v>1</v>
      </c>
      <c r="C50" s="1723" t="s">
        <v>2</v>
      </c>
      <c r="D50" s="1723" t="s">
        <v>3</v>
      </c>
      <c r="E50" s="1723" t="s">
        <v>4</v>
      </c>
      <c r="F50" s="1723" t="s">
        <v>5</v>
      </c>
      <c r="G50" s="1723" t="s">
        <v>6</v>
      </c>
      <c r="H50" s="1723" t="s">
        <v>7</v>
      </c>
      <c r="I50" s="1723" t="s">
        <v>8</v>
      </c>
      <c r="J50" s="1723" t="s">
        <v>9</v>
      </c>
      <c r="K50" s="1723" t="s">
        <v>10</v>
      </c>
      <c r="L50" s="1723" t="s">
        <v>11</v>
      </c>
      <c r="M50" s="1723" t="s">
        <v>12</v>
      </c>
      <c r="N50" s="1724" t="s">
        <v>13</v>
      </c>
      <c r="P50" s="1711" t="s">
        <v>1</v>
      </c>
      <c r="Q50" s="1523" t="s">
        <v>2</v>
      </c>
      <c r="R50" s="1523" t="s">
        <v>3</v>
      </c>
      <c r="S50" s="1523" t="s">
        <v>4</v>
      </c>
      <c r="T50" s="1523" t="s">
        <v>5</v>
      </c>
      <c r="U50" s="1523" t="s">
        <v>6</v>
      </c>
      <c r="V50" s="1523" t="s">
        <v>7</v>
      </c>
      <c r="W50" s="1523" t="s">
        <v>8</v>
      </c>
      <c r="X50" s="1523" t="s">
        <v>9</v>
      </c>
      <c r="Y50" s="1523" t="s">
        <v>10</v>
      </c>
      <c r="Z50" s="1523" t="s">
        <v>11</v>
      </c>
      <c r="AA50" s="1523" t="s">
        <v>12</v>
      </c>
      <c r="AB50" s="1524" t="s">
        <v>13</v>
      </c>
      <c r="AC50" s="1780"/>
    </row>
    <row r="51" spans="1:29" ht="15" thickBot="1">
      <c r="A51" s="1747" t="s">
        <v>234</v>
      </c>
      <c r="B51" s="1748">
        <f t="shared" ref="B51:N51" si="59">SUM(B52:B53)</f>
        <v>0</v>
      </c>
      <c r="C51" s="1749">
        <f t="shared" si="59"/>
        <v>0</v>
      </c>
      <c r="D51" s="1749">
        <f t="shared" si="59"/>
        <v>0</v>
      </c>
      <c r="E51" s="1749">
        <f t="shared" si="59"/>
        <v>0</v>
      </c>
      <c r="F51" s="1749">
        <f t="shared" si="59"/>
        <v>0</v>
      </c>
      <c r="G51" s="1749">
        <f t="shared" si="59"/>
        <v>0</v>
      </c>
      <c r="H51" s="1749">
        <f t="shared" si="59"/>
        <v>0</v>
      </c>
      <c r="I51" s="1749">
        <f t="shared" si="59"/>
        <v>0</v>
      </c>
      <c r="J51" s="1749">
        <f t="shared" si="59"/>
        <v>0</v>
      </c>
      <c r="K51" s="1749">
        <f t="shared" si="59"/>
        <v>50</v>
      </c>
      <c r="L51" s="1749">
        <f t="shared" si="59"/>
        <v>0</v>
      </c>
      <c r="M51" s="1749">
        <f t="shared" si="59"/>
        <v>0</v>
      </c>
      <c r="N51" s="1751">
        <f t="shared" si="59"/>
        <v>50</v>
      </c>
      <c r="P51" s="1525">
        <f t="shared" ref="P51:AB51" si="60">SUM(P52:P53)</f>
        <v>0</v>
      </c>
      <c r="Q51" s="1526">
        <f t="shared" si="60"/>
        <v>0</v>
      </c>
      <c r="R51" s="1526">
        <f t="shared" si="60"/>
        <v>0</v>
      </c>
      <c r="S51" s="1526">
        <f t="shared" si="60"/>
        <v>0</v>
      </c>
      <c r="T51" s="1526">
        <f t="shared" si="60"/>
        <v>0</v>
      </c>
      <c r="U51" s="1526">
        <f t="shared" si="60"/>
        <v>0</v>
      </c>
      <c r="V51" s="1526">
        <f t="shared" si="60"/>
        <v>0</v>
      </c>
      <c r="W51" s="1526">
        <f t="shared" si="60"/>
        <v>0</v>
      </c>
      <c r="X51" s="1526">
        <f t="shared" si="60"/>
        <v>0</v>
      </c>
      <c r="Y51" s="1526">
        <f t="shared" si="60"/>
        <v>0</v>
      </c>
      <c r="Z51" s="1526">
        <f t="shared" si="60"/>
        <v>0</v>
      </c>
      <c r="AA51" s="1526">
        <f t="shared" si="60"/>
        <v>0</v>
      </c>
      <c r="AB51" s="1544">
        <f t="shared" si="60"/>
        <v>0</v>
      </c>
      <c r="AC51" s="1780">
        <f t="shared" si="27"/>
        <v>-1</v>
      </c>
    </row>
    <row r="52" spans="1:29">
      <c r="A52" s="1761" t="s">
        <v>373</v>
      </c>
      <c r="B52" s="1762">
        <f t="shared" ref="B52:M53" si="61">+P52*$O$2</f>
        <v>0</v>
      </c>
      <c r="C52" s="1762">
        <f t="shared" si="61"/>
        <v>0</v>
      </c>
      <c r="D52" s="1762">
        <f t="shared" si="61"/>
        <v>0</v>
      </c>
      <c r="E52" s="1762">
        <f t="shared" si="61"/>
        <v>0</v>
      </c>
      <c r="F52" s="1762">
        <f t="shared" si="61"/>
        <v>0</v>
      </c>
      <c r="G52" s="1762">
        <f t="shared" si="61"/>
        <v>0</v>
      </c>
      <c r="H52" s="1762">
        <f t="shared" si="61"/>
        <v>0</v>
      </c>
      <c r="I52" s="1762">
        <f t="shared" si="61"/>
        <v>0</v>
      </c>
      <c r="J52" s="1762">
        <f t="shared" si="61"/>
        <v>0</v>
      </c>
      <c r="K52" s="1762">
        <v>50</v>
      </c>
      <c r="L52" s="1762">
        <f t="shared" si="61"/>
        <v>0</v>
      </c>
      <c r="M52" s="1762">
        <f t="shared" si="61"/>
        <v>0</v>
      </c>
      <c r="N52" s="1754">
        <f>SUM(B52:M52)</f>
        <v>50</v>
      </c>
      <c r="P52" s="1712"/>
      <c r="Q52" s="1549"/>
      <c r="R52" s="1549"/>
      <c r="S52" s="1549"/>
      <c r="T52" s="1549"/>
      <c r="U52" s="1549"/>
      <c r="V52" s="1549"/>
      <c r="W52" s="1549"/>
      <c r="X52" s="1549"/>
      <c r="Y52" s="1549"/>
      <c r="Z52" s="1549"/>
      <c r="AA52" s="1549"/>
      <c r="AB52" s="1545">
        <f>SUM(P52:AA52)</f>
        <v>0</v>
      </c>
      <c r="AC52" s="1780"/>
    </row>
    <row r="53" spans="1:29" ht="15" thickBot="1">
      <c r="A53" s="1774"/>
      <c r="B53" s="1775">
        <f t="shared" si="61"/>
        <v>0</v>
      </c>
      <c r="C53" s="1775">
        <f t="shared" si="61"/>
        <v>0</v>
      </c>
      <c r="D53" s="1775">
        <f t="shared" si="61"/>
        <v>0</v>
      </c>
      <c r="E53" s="1775">
        <f t="shared" si="61"/>
        <v>0</v>
      </c>
      <c r="F53" s="1775">
        <f t="shared" si="61"/>
        <v>0</v>
      </c>
      <c r="G53" s="1775">
        <f t="shared" si="61"/>
        <v>0</v>
      </c>
      <c r="H53" s="1775">
        <f t="shared" si="61"/>
        <v>0</v>
      </c>
      <c r="I53" s="1775">
        <f t="shared" si="61"/>
        <v>0</v>
      </c>
      <c r="J53" s="1775">
        <f t="shared" si="61"/>
        <v>0</v>
      </c>
      <c r="K53" s="1775">
        <f t="shared" si="61"/>
        <v>0</v>
      </c>
      <c r="L53" s="1775">
        <f t="shared" si="61"/>
        <v>0</v>
      </c>
      <c r="M53" s="1775">
        <f t="shared" si="61"/>
        <v>0</v>
      </c>
      <c r="N53" s="1776">
        <f t="shared" ref="N53" si="62">SUM(B53:M53)</f>
        <v>0</v>
      </c>
      <c r="P53" s="1713"/>
      <c r="Q53" s="1539"/>
      <c r="R53" s="1539"/>
      <c r="S53" s="1539"/>
      <c r="T53" s="1539"/>
      <c r="U53" s="1539"/>
      <c r="V53" s="1539"/>
      <c r="W53" s="1539"/>
      <c r="X53" s="1539"/>
      <c r="Y53" s="1539"/>
      <c r="Z53" s="1539"/>
      <c r="AA53" s="1539"/>
      <c r="AB53" s="1556">
        <f t="shared" ref="AB53" si="63">SUM(P53:AA53)</f>
        <v>0</v>
      </c>
      <c r="AC53" s="1780"/>
    </row>
    <row r="54" spans="1:29" ht="15" thickBot="1">
      <c r="A54" s="1769"/>
      <c r="B54" s="1770"/>
      <c r="C54" s="1770"/>
      <c r="D54" s="1770"/>
      <c r="E54" s="1770"/>
      <c r="F54" s="1770"/>
      <c r="G54" s="1770"/>
      <c r="H54" s="1770"/>
      <c r="I54" s="1770"/>
      <c r="J54" s="1770"/>
      <c r="K54" s="1770"/>
      <c r="L54" s="1770"/>
      <c r="M54" s="1770"/>
      <c r="N54" s="1770"/>
      <c r="P54" s="1537"/>
      <c r="Q54" s="1537"/>
      <c r="R54" s="1537"/>
      <c r="S54" s="1537"/>
      <c r="T54" s="1537"/>
      <c r="U54" s="1537"/>
      <c r="V54" s="1537"/>
      <c r="W54" s="1537"/>
      <c r="X54" s="1537"/>
      <c r="Y54" s="1537"/>
      <c r="Z54" s="1537"/>
      <c r="AA54" s="1537"/>
      <c r="AB54" s="1537"/>
      <c r="AC54" s="1780"/>
    </row>
    <row r="55" spans="1:29" ht="18">
      <c r="A55" s="1720"/>
      <c r="B55" s="2292" t="s">
        <v>628</v>
      </c>
      <c r="C55" s="2293"/>
      <c r="D55" s="2293"/>
      <c r="E55" s="2293"/>
      <c r="F55" s="2293"/>
      <c r="G55" s="2293"/>
      <c r="H55" s="2293"/>
      <c r="I55" s="2293"/>
      <c r="J55" s="2293"/>
      <c r="K55" s="2293"/>
      <c r="L55" s="2293"/>
      <c r="M55" s="2293"/>
      <c r="N55" s="2294"/>
      <c r="P55" s="2295" t="s">
        <v>603</v>
      </c>
      <c r="Q55" s="2295"/>
      <c r="R55" s="2295"/>
      <c r="S55" s="2295"/>
      <c r="T55" s="2295"/>
      <c r="U55" s="2295"/>
      <c r="V55" s="2295"/>
      <c r="W55" s="2295"/>
      <c r="X55" s="2295"/>
      <c r="Y55" s="2295"/>
      <c r="Z55" s="2295"/>
      <c r="AA55" s="2295"/>
      <c r="AB55" s="2296"/>
      <c r="AC55" s="1780"/>
    </row>
    <row r="56" spans="1:29" ht="15" thickBot="1">
      <c r="A56" s="1721"/>
      <c r="B56" s="1722" t="s">
        <v>1</v>
      </c>
      <c r="C56" s="1723" t="s">
        <v>2</v>
      </c>
      <c r="D56" s="1723" t="s">
        <v>3</v>
      </c>
      <c r="E56" s="1723" t="s">
        <v>4</v>
      </c>
      <c r="F56" s="1723" t="s">
        <v>5</v>
      </c>
      <c r="G56" s="1723" t="s">
        <v>6</v>
      </c>
      <c r="H56" s="1723" t="s">
        <v>7</v>
      </c>
      <c r="I56" s="1723" t="s">
        <v>8</v>
      </c>
      <c r="J56" s="1723" t="s">
        <v>9</v>
      </c>
      <c r="K56" s="1723" t="s">
        <v>10</v>
      </c>
      <c r="L56" s="1723" t="s">
        <v>11</v>
      </c>
      <c r="M56" s="1723" t="s">
        <v>12</v>
      </c>
      <c r="N56" s="1724" t="s">
        <v>13</v>
      </c>
      <c r="P56" s="1711" t="s">
        <v>1</v>
      </c>
      <c r="Q56" s="1523" t="s">
        <v>2</v>
      </c>
      <c r="R56" s="1523" t="s">
        <v>3</v>
      </c>
      <c r="S56" s="1523" t="s">
        <v>4</v>
      </c>
      <c r="T56" s="1523" t="s">
        <v>5</v>
      </c>
      <c r="U56" s="1523" t="s">
        <v>6</v>
      </c>
      <c r="V56" s="1523" t="s">
        <v>7</v>
      </c>
      <c r="W56" s="1523" t="s">
        <v>8</v>
      </c>
      <c r="X56" s="1523" t="s">
        <v>9</v>
      </c>
      <c r="Y56" s="1523" t="s">
        <v>10</v>
      </c>
      <c r="Z56" s="1523" t="s">
        <v>11</v>
      </c>
      <c r="AA56" s="1523" t="s">
        <v>12</v>
      </c>
      <c r="AB56" s="1524" t="s">
        <v>13</v>
      </c>
      <c r="AC56" s="1780"/>
    </row>
    <row r="57" spans="1:29" ht="15" thickBot="1">
      <c r="A57" s="1747" t="s">
        <v>234</v>
      </c>
      <c r="B57" s="1748">
        <f t="shared" ref="B57:N57" si="64">SUM(B58:B59)</f>
        <v>0</v>
      </c>
      <c r="C57" s="1748">
        <f t="shared" si="64"/>
        <v>0</v>
      </c>
      <c r="D57" s="1748">
        <f t="shared" si="64"/>
        <v>0</v>
      </c>
      <c r="E57" s="1748">
        <f t="shared" si="64"/>
        <v>0</v>
      </c>
      <c r="F57" s="1748">
        <f t="shared" si="64"/>
        <v>0</v>
      </c>
      <c r="G57" s="1748">
        <f t="shared" si="64"/>
        <v>0</v>
      </c>
      <c r="H57" s="1748">
        <f t="shared" si="64"/>
        <v>0</v>
      </c>
      <c r="I57" s="1748">
        <f t="shared" si="64"/>
        <v>0</v>
      </c>
      <c r="J57" s="1748">
        <f t="shared" si="64"/>
        <v>0</v>
      </c>
      <c r="K57" s="1748">
        <f t="shared" si="64"/>
        <v>0</v>
      </c>
      <c r="L57" s="1748">
        <f t="shared" si="64"/>
        <v>0</v>
      </c>
      <c r="M57" s="1748">
        <f t="shared" si="64"/>
        <v>0</v>
      </c>
      <c r="N57" s="1751">
        <f t="shared" si="64"/>
        <v>0</v>
      </c>
      <c r="P57" s="1525">
        <f t="shared" ref="P57:AB57" si="65">SUM(P58:P59)</f>
        <v>0</v>
      </c>
      <c r="Q57" s="1542">
        <f t="shared" si="65"/>
        <v>0</v>
      </c>
      <c r="R57" s="1542">
        <f t="shared" si="65"/>
        <v>0</v>
      </c>
      <c r="S57" s="1542">
        <f t="shared" si="65"/>
        <v>0</v>
      </c>
      <c r="T57" s="1542">
        <f t="shared" si="65"/>
        <v>0</v>
      </c>
      <c r="U57" s="1542">
        <f t="shared" si="65"/>
        <v>0</v>
      </c>
      <c r="V57" s="1542">
        <f t="shared" si="65"/>
        <v>0</v>
      </c>
      <c r="W57" s="1542">
        <f t="shared" si="65"/>
        <v>0</v>
      </c>
      <c r="X57" s="1542">
        <f t="shared" si="65"/>
        <v>0</v>
      </c>
      <c r="Y57" s="1542">
        <f t="shared" si="65"/>
        <v>0</v>
      </c>
      <c r="Z57" s="1542">
        <f t="shared" si="65"/>
        <v>0</v>
      </c>
      <c r="AA57" s="1542">
        <f t="shared" si="65"/>
        <v>0</v>
      </c>
      <c r="AB57" s="1544">
        <f t="shared" si="65"/>
        <v>0</v>
      </c>
      <c r="AC57" s="1780" t="e">
        <f t="shared" si="27"/>
        <v>#DIV/0!</v>
      </c>
    </row>
    <row r="58" spans="1:29">
      <c r="A58" s="1761" t="s">
        <v>372</v>
      </c>
      <c r="B58" s="1762">
        <f t="shared" ref="B58:M58" si="66">+P58*$O$2</f>
        <v>0</v>
      </c>
      <c r="C58" s="1762">
        <f t="shared" si="66"/>
        <v>0</v>
      </c>
      <c r="D58" s="1762">
        <f t="shared" si="66"/>
        <v>0</v>
      </c>
      <c r="E58" s="1762">
        <f t="shared" si="66"/>
        <v>0</v>
      </c>
      <c r="F58" s="1762">
        <f t="shared" si="66"/>
        <v>0</v>
      </c>
      <c r="G58" s="1762">
        <f t="shared" si="66"/>
        <v>0</v>
      </c>
      <c r="H58" s="1762">
        <f t="shared" si="66"/>
        <v>0</v>
      </c>
      <c r="I58" s="1762">
        <f t="shared" si="66"/>
        <v>0</v>
      </c>
      <c r="J58" s="1762">
        <f t="shared" si="66"/>
        <v>0</v>
      </c>
      <c r="K58" s="1762">
        <f t="shared" si="66"/>
        <v>0</v>
      </c>
      <c r="L58" s="1762">
        <f t="shared" si="66"/>
        <v>0</v>
      </c>
      <c r="M58" s="1762">
        <f t="shared" si="66"/>
        <v>0</v>
      </c>
      <c r="N58" s="1754">
        <f>SUM(B58:M58)</f>
        <v>0</v>
      </c>
      <c r="P58" s="1712"/>
      <c r="Q58" s="1549"/>
      <c r="R58" s="1549"/>
      <c r="S58" s="1549"/>
      <c r="T58" s="1549"/>
      <c r="U58" s="1549"/>
      <c r="V58" s="1549"/>
      <c r="W58" s="1549"/>
      <c r="X58" s="1549"/>
      <c r="Y58" s="1549"/>
      <c r="Z58" s="1549"/>
      <c r="AA58" s="1549"/>
      <c r="AB58" s="1545">
        <f>SUM(P58:AA58)</f>
        <v>0</v>
      </c>
      <c r="AC58" s="1780"/>
    </row>
    <row r="59" spans="1:29" ht="15" thickBot="1">
      <c r="A59" s="1774"/>
      <c r="B59" s="1775"/>
      <c r="C59" s="1775"/>
      <c r="D59" s="1775"/>
      <c r="E59" s="1775"/>
      <c r="F59" s="1775"/>
      <c r="G59" s="1775"/>
      <c r="H59" s="1775"/>
      <c r="I59" s="1775"/>
      <c r="J59" s="1775"/>
      <c r="K59" s="1775"/>
      <c r="L59" s="1775"/>
      <c r="M59" s="1775"/>
      <c r="N59" s="1776">
        <f t="shared" ref="N59" si="67">SUM(B59:M59)</f>
        <v>0</v>
      </c>
      <c r="P59" s="1713"/>
      <c r="Q59" s="1539"/>
      <c r="R59" s="1539"/>
      <c r="S59" s="1539"/>
      <c r="T59" s="1539"/>
      <c r="U59" s="1539"/>
      <c r="V59" s="1539"/>
      <c r="W59" s="1539"/>
      <c r="X59" s="1539"/>
      <c r="Y59" s="1539"/>
      <c r="Z59" s="1539"/>
      <c r="AA59" s="1539"/>
      <c r="AB59" s="1556">
        <f t="shared" ref="AB59" si="68">SUM(P59:AA59)</f>
        <v>0</v>
      </c>
      <c r="AC59" s="1780"/>
    </row>
    <row r="60" spans="1:29">
      <c r="A60" s="1769"/>
      <c r="B60" s="1770"/>
      <c r="C60" s="1770"/>
      <c r="D60" s="1770"/>
      <c r="E60" s="1770"/>
      <c r="F60" s="1770"/>
      <c r="G60" s="1770"/>
      <c r="H60" s="1770"/>
      <c r="I60" s="1770"/>
      <c r="J60" s="1770"/>
      <c r="K60" s="1770"/>
      <c r="L60" s="1770"/>
      <c r="M60" s="1770"/>
      <c r="N60" s="1770"/>
      <c r="P60" s="1537"/>
      <c r="Q60" s="1537"/>
      <c r="R60" s="1537"/>
      <c r="S60" s="1537"/>
      <c r="T60" s="1537"/>
      <c r="U60" s="1537"/>
      <c r="V60" s="1537"/>
      <c r="W60" s="1537"/>
      <c r="X60" s="1537"/>
      <c r="Y60" s="1537"/>
      <c r="Z60" s="1537"/>
      <c r="AA60" s="1537"/>
      <c r="AB60" s="1537"/>
      <c r="AC60" s="1780"/>
    </row>
    <row r="61" spans="1:29">
      <c r="A61" s="1769"/>
      <c r="B61" s="1770"/>
      <c r="C61" s="1770"/>
      <c r="D61" s="1770"/>
      <c r="E61" s="1770"/>
      <c r="F61" s="1770"/>
      <c r="G61" s="1770"/>
      <c r="H61" s="1770"/>
      <c r="I61" s="1770"/>
      <c r="J61" s="1770"/>
      <c r="K61" s="1770"/>
      <c r="L61" s="1770"/>
      <c r="M61" s="1770"/>
      <c r="N61" s="1770"/>
      <c r="P61" s="1537"/>
      <c r="Q61" s="1537"/>
      <c r="R61" s="1537"/>
      <c r="S61" s="1537"/>
      <c r="T61" s="1537"/>
      <c r="U61" s="1537"/>
      <c r="V61" s="1537"/>
      <c r="W61" s="1537"/>
      <c r="X61" s="1537"/>
      <c r="Y61" s="1537"/>
      <c r="Z61" s="1537"/>
      <c r="AA61" s="1537"/>
      <c r="AB61" s="1537"/>
      <c r="AC61" s="1780"/>
    </row>
    <row r="62" spans="1:29" ht="15" thickBot="1">
      <c r="AC62" s="1780"/>
    </row>
    <row r="63" spans="1:29" ht="18">
      <c r="A63" s="1720"/>
      <c r="B63" s="2292" t="s">
        <v>629</v>
      </c>
      <c r="C63" s="2293"/>
      <c r="D63" s="2293"/>
      <c r="E63" s="2293"/>
      <c r="F63" s="2293"/>
      <c r="G63" s="2293"/>
      <c r="H63" s="2293"/>
      <c r="I63" s="2293"/>
      <c r="J63" s="2293"/>
      <c r="K63" s="2293"/>
      <c r="L63" s="2293"/>
      <c r="M63" s="2293"/>
      <c r="N63" s="2294"/>
      <c r="P63" s="2295" t="s">
        <v>604</v>
      </c>
      <c r="Q63" s="2295"/>
      <c r="R63" s="2295"/>
      <c r="S63" s="2295"/>
      <c r="T63" s="2295"/>
      <c r="U63" s="2295"/>
      <c r="V63" s="2295"/>
      <c r="W63" s="2295"/>
      <c r="X63" s="2295"/>
      <c r="Y63" s="2295"/>
      <c r="Z63" s="2295"/>
      <c r="AA63" s="2295"/>
      <c r="AB63" s="2296"/>
      <c r="AC63" s="1780"/>
    </row>
    <row r="64" spans="1:29" ht="15" thickBot="1">
      <c r="A64" s="1721"/>
      <c r="B64" s="1722" t="s">
        <v>1</v>
      </c>
      <c r="C64" s="1723" t="s">
        <v>2</v>
      </c>
      <c r="D64" s="1723" t="s">
        <v>3</v>
      </c>
      <c r="E64" s="1723" t="s">
        <v>4</v>
      </c>
      <c r="F64" s="1723" t="s">
        <v>5</v>
      </c>
      <c r="G64" s="1723" t="s">
        <v>6</v>
      </c>
      <c r="H64" s="1723" t="s">
        <v>7</v>
      </c>
      <c r="I64" s="1723" t="s">
        <v>8</v>
      </c>
      <c r="J64" s="1723" t="s">
        <v>9</v>
      </c>
      <c r="K64" s="1723" t="s">
        <v>10</v>
      </c>
      <c r="L64" s="1723" t="s">
        <v>11</v>
      </c>
      <c r="M64" s="1723" t="s">
        <v>12</v>
      </c>
      <c r="N64" s="1724" t="s">
        <v>13</v>
      </c>
      <c r="P64" s="1711" t="s">
        <v>1</v>
      </c>
      <c r="Q64" s="1523" t="s">
        <v>2</v>
      </c>
      <c r="R64" s="1523" t="s">
        <v>3</v>
      </c>
      <c r="S64" s="1523" t="s">
        <v>4</v>
      </c>
      <c r="T64" s="1523" t="s">
        <v>5</v>
      </c>
      <c r="U64" s="1523" t="s">
        <v>6</v>
      </c>
      <c r="V64" s="1523" t="s">
        <v>7</v>
      </c>
      <c r="W64" s="1523" t="s">
        <v>8</v>
      </c>
      <c r="X64" s="1523" t="s">
        <v>9</v>
      </c>
      <c r="Y64" s="1523" t="s">
        <v>10</v>
      </c>
      <c r="Z64" s="1523" t="s">
        <v>11</v>
      </c>
      <c r="AA64" s="1523" t="s">
        <v>12</v>
      </c>
      <c r="AB64" s="1524" t="s">
        <v>13</v>
      </c>
      <c r="AC64" s="1780"/>
    </row>
    <row r="65" spans="1:29" ht="15" thickBot="1">
      <c r="A65" s="1747" t="s">
        <v>234</v>
      </c>
      <c r="B65" s="1748">
        <f t="shared" ref="B65:N65" si="69">SUM(B66:B67)</f>
        <v>0</v>
      </c>
      <c r="C65" s="1748">
        <f t="shared" si="69"/>
        <v>0</v>
      </c>
      <c r="D65" s="1748">
        <f t="shared" si="69"/>
        <v>0</v>
      </c>
      <c r="E65" s="1748">
        <f t="shared" si="69"/>
        <v>0</v>
      </c>
      <c r="F65" s="1748">
        <f t="shared" si="69"/>
        <v>0</v>
      </c>
      <c r="G65" s="1748">
        <f t="shared" si="69"/>
        <v>0</v>
      </c>
      <c r="H65" s="1748">
        <f t="shared" si="69"/>
        <v>0</v>
      </c>
      <c r="I65" s="1748">
        <f t="shared" si="69"/>
        <v>0</v>
      </c>
      <c r="J65" s="1748">
        <f t="shared" si="69"/>
        <v>0</v>
      </c>
      <c r="K65" s="1748">
        <f t="shared" si="69"/>
        <v>50</v>
      </c>
      <c r="L65" s="1748">
        <f t="shared" si="69"/>
        <v>0</v>
      </c>
      <c r="M65" s="1748">
        <f t="shared" si="69"/>
        <v>0</v>
      </c>
      <c r="N65" s="1751">
        <f t="shared" si="69"/>
        <v>50</v>
      </c>
      <c r="P65" s="1525">
        <f t="shared" ref="P65:AB65" si="70">SUM(P66:P67)</f>
        <v>0</v>
      </c>
      <c r="Q65" s="1542">
        <f t="shared" si="70"/>
        <v>0</v>
      </c>
      <c r="R65" s="1542">
        <f t="shared" si="70"/>
        <v>0</v>
      </c>
      <c r="S65" s="1542">
        <f t="shared" si="70"/>
        <v>0</v>
      </c>
      <c r="T65" s="1542">
        <f t="shared" si="70"/>
        <v>0</v>
      </c>
      <c r="U65" s="1542">
        <f t="shared" si="70"/>
        <v>0</v>
      </c>
      <c r="V65" s="1542">
        <f t="shared" si="70"/>
        <v>0</v>
      </c>
      <c r="W65" s="1542">
        <f t="shared" si="70"/>
        <v>0</v>
      </c>
      <c r="X65" s="1542">
        <f t="shared" si="70"/>
        <v>0</v>
      </c>
      <c r="Y65" s="1542">
        <f t="shared" si="70"/>
        <v>0</v>
      </c>
      <c r="Z65" s="1542">
        <f t="shared" si="70"/>
        <v>0</v>
      </c>
      <c r="AA65" s="1542">
        <f t="shared" si="70"/>
        <v>0</v>
      </c>
      <c r="AB65" s="1544">
        <f t="shared" si="70"/>
        <v>0</v>
      </c>
      <c r="AC65" s="1780">
        <f t="shared" si="27"/>
        <v>-1</v>
      </c>
    </row>
    <row r="66" spans="1:29">
      <c r="A66" s="1761"/>
      <c r="B66" s="1762">
        <f>+B52-B58</f>
        <v>0</v>
      </c>
      <c r="C66" s="1762">
        <f t="shared" ref="C66:M67" si="71">+C52-C58</f>
        <v>0</v>
      </c>
      <c r="D66" s="1762">
        <f t="shared" si="71"/>
        <v>0</v>
      </c>
      <c r="E66" s="1762">
        <f t="shared" si="71"/>
        <v>0</v>
      </c>
      <c r="F66" s="1762">
        <f t="shared" si="71"/>
        <v>0</v>
      </c>
      <c r="G66" s="1762">
        <f t="shared" si="71"/>
        <v>0</v>
      </c>
      <c r="H66" s="1762">
        <f t="shared" si="71"/>
        <v>0</v>
      </c>
      <c r="I66" s="1762">
        <f t="shared" si="71"/>
        <v>0</v>
      </c>
      <c r="J66" s="1762">
        <f t="shared" si="71"/>
        <v>0</v>
      </c>
      <c r="K66" s="1762">
        <f t="shared" si="71"/>
        <v>50</v>
      </c>
      <c r="L66" s="1762">
        <f t="shared" si="71"/>
        <v>0</v>
      </c>
      <c r="M66" s="1762">
        <f t="shared" si="71"/>
        <v>0</v>
      </c>
      <c r="N66" s="1754">
        <f>SUM(B66:M66)</f>
        <v>50</v>
      </c>
      <c r="P66" s="1712"/>
      <c r="Q66" s="1549"/>
      <c r="R66" s="1549"/>
      <c r="S66" s="1549"/>
      <c r="T66" s="1549"/>
      <c r="U66" s="1549"/>
      <c r="V66" s="1549"/>
      <c r="W66" s="1549"/>
      <c r="X66" s="1549"/>
      <c r="Y66" s="1549"/>
      <c r="Z66" s="1549"/>
      <c r="AA66" s="1549"/>
      <c r="AB66" s="1545">
        <f>SUM(P66:AA66)</f>
        <v>0</v>
      </c>
      <c r="AC66" s="1780"/>
    </row>
    <row r="67" spans="1:29" ht="15" thickBot="1">
      <c r="A67" s="1774"/>
      <c r="B67" s="1775">
        <f>+B53-B59</f>
        <v>0</v>
      </c>
      <c r="C67" s="1775">
        <f t="shared" si="71"/>
        <v>0</v>
      </c>
      <c r="D67" s="1775">
        <f t="shared" si="71"/>
        <v>0</v>
      </c>
      <c r="E67" s="1775">
        <f t="shared" si="71"/>
        <v>0</v>
      </c>
      <c r="F67" s="1775">
        <f t="shared" si="71"/>
        <v>0</v>
      </c>
      <c r="G67" s="1775">
        <f t="shared" si="71"/>
        <v>0</v>
      </c>
      <c r="H67" s="1775">
        <f t="shared" si="71"/>
        <v>0</v>
      </c>
      <c r="I67" s="1775">
        <f t="shared" si="71"/>
        <v>0</v>
      </c>
      <c r="J67" s="1775">
        <f t="shared" si="71"/>
        <v>0</v>
      </c>
      <c r="K67" s="1775">
        <f t="shared" si="71"/>
        <v>0</v>
      </c>
      <c r="L67" s="1775">
        <f t="shared" si="71"/>
        <v>0</v>
      </c>
      <c r="M67" s="1775">
        <f t="shared" si="71"/>
        <v>0</v>
      </c>
      <c r="N67" s="1776">
        <f t="shared" ref="N67" si="72">SUM(B67:M67)</f>
        <v>0</v>
      </c>
      <c r="P67" s="1713"/>
      <c r="Q67" s="1539"/>
      <c r="R67" s="1539"/>
      <c r="S67" s="1539"/>
      <c r="T67" s="1539"/>
      <c r="U67" s="1539"/>
      <c r="V67" s="1539"/>
      <c r="W67" s="1539"/>
      <c r="X67" s="1539"/>
      <c r="Y67" s="1539"/>
      <c r="Z67" s="1539"/>
      <c r="AA67" s="1539"/>
      <c r="AB67" s="1556">
        <f t="shared" ref="AB67" si="73">SUM(P67:AA67)</f>
        <v>0</v>
      </c>
      <c r="AC67" s="1780"/>
    </row>
    <row r="69" spans="1:29" ht="15" thickBot="1"/>
    <row r="70" spans="1:29" ht="33" customHeight="1">
      <c r="A70" s="1720"/>
      <c r="B70" s="2292" t="s">
        <v>630</v>
      </c>
      <c r="C70" s="2293"/>
      <c r="D70" s="2293"/>
      <c r="E70" s="2293"/>
      <c r="F70" s="2293"/>
      <c r="G70" s="2293"/>
      <c r="H70" s="2293"/>
      <c r="I70" s="2293"/>
      <c r="J70" s="2293"/>
      <c r="K70" s="2293"/>
      <c r="L70" s="2293"/>
      <c r="M70" s="2293"/>
      <c r="N70" s="2294"/>
      <c r="O70" s="1714">
        <v>1.1000000000000001</v>
      </c>
      <c r="P70" s="2292" t="s">
        <v>633</v>
      </c>
      <c r="Q70" s="2293"/>
      <c r="R70" s="2293"/>
      <c r="S70" s="2293"/>
      <c r="T70" s="2293"/>
      <c r="U70" s="2293"/>
      <c r="V70" s="2293"/>
      <c r="W70" s="2293"/>
      <c r="X70" s="2293"/>
      <c r="Y70" s="2293"/>
      <c r="Z70" s="2293"/>
      <c r="AA70" s="2293"/>
      <c r="AB70" s="2294"/>
    </row>
    <row r="71" spans="1:29" ht="30.75" customHeight="1" thickBot="1">
      <c r="A71" s="1721"/>
      <c r="B71" s="1722" t="s">
        <v>1</v>
      </c>
      <c r="C71" s="1723" t="s">
        <v>2</v>
      </c>
      <c r="D71" s="1723" t="s">
        <v>3</v>
      </c>
      <c r="E71" s="1723" t="s">
        <v>4</v>
      </c>
      <c r="F71" s="1723" t="s">
        <v>5</v>
      </c>
      <c r="G71" s="1723" t="s">
        <v>6</v>
      </c>
      <c r="H71" s="1723" t="s">
        <v>7</v>
      </c>
      <c r="I71" s="1723" t="s">
        <v>8</v>
      </c>
      <c r="J71" s="1723" t="s">
        <v>9</v>
      </c>
      <c r="K71" s="1723" t="s">
        <v>10</v>
      </c>
      <c r="L71" s="1723" t="s">
        <v>11</v>
      </c>
      <c r="M71" s="1723" t="s">
        <v>12</v>
      </c>
      <c r="N71" s="1724" t="s">
        <v>13</v>
      </c>
      <c r="P71" s="1522" t="s">
        <v>1</v>
      </c>
      <c r="Q71" s="1523" t="s">
        <v>2</v>
      </c>
      <c r="R71" s="1523" t="s">
        <v>3</v>
      </c>
      <c r="S71" s="1523" t="s">
        <v>4</v>
      </c>
      <c r="T71" s="1523" t="s">
        <v>5</v>
      </c>
      <c r="U71" s="1523" t="s">
        <v>6</v>
      </c>
      <c r="V71" s="1523" t="s">
        <v>7</v>
      </c>
      <c r="W71" s="1523" t="s">
        <v>8</v>
      </c>
      <c r="X71" s="1523" t="s">
        <v>9</v>
      </c>
      <c r="Y71" s="1523" t="s">
        <v>10</v>
      </c>
      <c r="Z71" s="1523" t="s">
        <v>11</v>
      </c>
      <c r="AA71" s="1523" t="s">
        <v>12</v>
      </c>
      <c r="AB71" s="1524" t="s">
        <v>13</v>
      </c>
    </row>
    <row r="72" spans="1:29" ht="22.5" customHeight="1" thickBot="1">
      <c r="A72" s="1725" t="s">
        <v>234</v>
      </c>
      <c r="B72" s="16">
        <f>SUM(B73:B90)</f>
        <v>0</v>
      </c>
      <c r="C72" s="17">
        <f>SUM(C73:C90)</f>
        <v>0</v>
      </c>
      <c r="D72" s="17">
        <f>SUM(D73:D90)</f>
        <v>0</v>
      </c>
      <c r="E72" s="17">
        <f t="shared" ref="E72:M72" si="74">SUM(E73:E90)</f>
        <v>0</v>
      </c>
      <c r="F72" s="17">
        <f t="shared" si="74"/>
        <v>0</v>
      </c>
      <c r="G72" s="17">
        <f t="shared" si="74"/>
        <v>0</v>
      </c>
      <c r="H72" s="17">
        <f t="shared" si="74"/>
        <v>0</v>
      </c>
      <c r="I72" s="17">
        <f t="shared" si="74"/>
        <v>0</v>
      </c>
      <c r="J72" s="17">
        <f t="shared" si="74"/>
        <v>0</v>
      </c>
      <c r="K72" s="17">
        <f t="shared" si="74"/>
        <v>0</v>
      </c>
      <c r="L72" s="17">
        <f t="shared" si="74"/>
        <v>0</v>
      </c>
      <c r="M72" s="17">
        <f t="shared" si="74"/>
        <v>0</v>
      </c>
      <c r="N72" s="94">
        <f>SUM(N73:N90)</f>
        <v>0</v>
      </c>
      <c r="O72" s="563"/>
      <c r="P72" s="1525">
        <f>P73</f>
        <v>0</v>
      </c>
      <c r="Q72" s="1525">
        <f t="shared" ref="Q72:AA72" si="75">Q73</f>
        <v>0</v>
      </c>
      <c r="R72" s="1525">
        <f t="shared" si="75"/>
        <v>0</v>
      </c>
      <c r="S72" s="1525">
        <f t="shared" si="75"/>
        <v>0</v>
      </c>
      <c r="T72" s="1525">
        <f t="shared" si="75"/>
        <v>0</v>
      </c>
      <c r="U72" s="1525">
        <f t="shared" si="75"/>
        <v>0</v>
      </c>
      <c r="V72" s="1525">
        <f t="shared" si="75"/>
        <v>0</v>
      </c>
      <c r="W72" s="1525">
        <f t="shared" si="75"/>
        <v>0</v>
      </c>
      <c r="X72" s="1525">
        <f t="shared" si="75"/>
        <v>0</v>
      </c>
      <c r="Y72" s="1525">
        <f t="shared" si="75"/>
        <v>0</v>
      </c>
      <c r="Z72" s="1525">
        <f t="shared" si="75"/>
        <v>0</v>
      </c>
      <c r="AA72" s="1525">
        <f t="shared" si="75"/>
        <v>0</v>
      </c>
      <c r="AB72" s="1528">
        <f>SUM(AB73:AB90)</f>
        <v>0</v>
      </c>
      <c r="AC72" s="1780" t="e">
        <f>+AB72/N72-1</f>
        <v>#DIV/0!</v>
      </c>
    </row>
    <row r="73" spans="1:29">
      <c r="A73" s="1726" t="s">
        <v>508</v>
      </c>
      <c r="B73" s="1727">
        <f t="shared" ref="B73" si="76">+P73*$O$2</f>
        <v>0</v>
      </c>
      <c r="C73" s="300">
        <f t="shared" ref="C73" si="77">+Q73*$O$2</f>
        <v>0</v>
      </c>
      <c r="D73" s="300">
        <f t="shared" ref="D73" si="78">+R73*$O$2</f>
        <v>0</v>
      </c>
      <c r="E73" s="300">
        <f t="shared" ref="E73" si="79">+S73*$O$2</f>
        <v>0</v>
      </c>
      <c r="F73" s="300">
        <f t="shared" ref="F73" si="80">+T73*$O$2</f>
        <v>0</v>
      </c>
      <c r="G73" s="300">
        <f t="shared" ref="G73" si="81">+U73*$O$2</f>
        <v>0</v>
      </c>
      <c r="H73" s="300">
        <f t="shared" ref="H73" si="82">+V73*$O$2</f>
        <v>0</v>
      </c>
      <c r="I73" s="300">
        <f t="shared" ref="I73" si="83">+W73*$O$2</f>
        <v>0</v>
      </c>
      <c r="J73" s="300">
        <f t="shared" ref="J73" si="84">+X73*$O$2</f>
        <v>0</v>
      </c>
      <c r="K73" s="300">
        <f t="shared" ref="K73" si="85">+Y73*$O$2</f>
        <v>0</v>
      </c>
      <c r="L73" s="300">
        <f t="shared" ref="L73" si="86">+Z73*$O$2</f>
        <v>0</v>
      </c>
      <c r="M73" s="1728">
        <f t="shared" ref="M73" si="87">+AA73*$O$2</f>
        <v>0</v>
      </c>
      <c r="N73" s="1729">
        <f>SUM(B73:M73)</f>
        <v>0</v>
      </c>
      <c r="P73" s="1592"/>
      <c r="Q73" s="1593"/>
      <c r="R73" s="1593"/>
      <c r="S73" s="1593"/>
      <c r="T73" s="1593"/>
      <c r="U73" s="1593"/>
      <c r="V73" s="1593"/>
      <c r="W73" s="1593"/>
      <c r="X73" s="1593"/>
      <c r="Y73" s="1593"/>
      <c r="Z73" s="1593"/>
      <c r="AA73" s="1594"/>
      <c r="AB73" s="1530">
        <f>SUM(P73:AA73)</f>
        <v>0</v>
      </c>
      <c r="AC73" s="1780"/>
    </row>
    <row r="74" spans="1:29" ht="15" thickBot="1"/>
    <row r="75" spans="1:29" ht="33" customHeight="1">
      <c r="A75" s="1720"/>
      <c r="B75" s="2292" t="s">
        <v>631</v>
      </c>
      <c r="C75" s="2293"/>
      <c r="D75" s="2293"/>
      <c r="E75" s="2293"/>
      <c r="F75" s="2293"/>
      <c r="G75" s="2293"/>
      <c r="H75" s="2293"/>
      <c r="I75" s="2293"/>
      <c r="J75" s="2293"/>
      <c r="K75" s="2293"/>
      <c r="L75" s="2293"/>
      <c r="M75" s="2293"/>
      <c r="N75" s="2294"/>
      <c r="O75" s="1714">
        <v>1.1000000000000001</v>
      </c>
      <c r="P75" s="2292" t="s">
        <v>634</v>
      </c>
      <c r="Q75" s="2293"/>
      <c r="R75" s="2293"/>
      <c r="S75" s="2293"/>
      <c r="T75" s="2293"/>
      <c r="U75" s="2293"/>
      <c r="V75" s="2293"/>
      <c r="W75" s="2293"/>
      <c r="X75" s="2293"/>
      <c r="Y75" s="2293"/>
      <c r="Z75" s="2293"/>
      <c r="AA75" s="2293"/>
      <c r="AB75" s="2294"/>
    </row>
    <row r="76" spans="1:29" ht="30.75" customHeight="1" thickBot="1">
      <c r="A76" s="1721"/>
      <c r="B76" s="1722" t="s">
        <v>1</v>
      </c>
      <c r="C76" s="1723" t="s">
        <v>2</v>
      </c>
      <c r="D76" s="1723" t="s">
        <v>3</v>
      </c>
      <c r="E76" s="1723" t="s">
        <v>4</v>
      </c>
      <c r="F76" s="1723" t="s">
        <v>5</v>
      </c>
      <c r="G76" s="1723" t="s">
        <v>6</v>
      </c>
      <c r="H76" s="1723" t="s">
        <v>7</v>
      </c>
      <c r="I76" s="1723" t="s">
        <v>8</v>
      </c>
      <c r="J76" s="1723" t="s">
        <v>9</v>
      </c>
      <c r="K76" s="1723" t="s">
        <v>10</v>
      </c>
      <c r="L76" s="1723" t="s">
        <v>11</v>
      </c>
      <c r="M76" s="1723" t="s">
        <v>12</v>
      </c>
      <c r="N76" s="1724" t="s">
        <v>13</v>
      </c>
      <c r="P76" s="1522" t="s">
        <v>1</v>
      </c>
      <c r="Q76" s="1523" t="s">
        <v>2</v>
      </c>
      <c r="R76" s="1523" t="s">
        <v>3</v>
      </c>
      <c r="S76" s="1523" t="s">
        <v>4</v>
      </c>
      <c r="T76" s="1523" t="s">
        <v>5</v>
      </c>
      <c r="U76" s="1523" t="s">
        <v>6</v>
      </c>
      <c r="V76" s="1523" t="s">
        <v>7</v>
      </c>
      <c r="W76" s="1523" t="s">
        <v>8</v>
      </c>
      <c r="X76" s="1523" t="s">
        <v>9</v>
      </c>
      <c r="Y76" s="1523" t="s">
        <v>10</v>
      </c>
      <c r="Z76" s="1523" t="s">
        <v>11</v>
      </c>
      <c r="AA76" s="1523" t="s">
        <v>12</v>
      </c>
      <c r="AB76" s="1524" t="s">
        <v>13</v>
      </c>
    </row>
    <row r="77" spans="1:29" ht="22.5" customHeight="1" thickBot="1">
      <c r="A77" s="1725" t="s">
        <v>234</v>
      </c>
      <c r="B77" s="16">
        <f>SUM(B78:B95)</f>
        <v>0</v>
      </c>
      <c r="C77" s="17">
        <f>SUM(C78:C95)</f>
        <v>0</v>
      </c>
      <c r="D77" s="17">
        <f>SUM(D78:D95)</f>
        <v>0</v>
      </c>
      <c r="E77" s="17">
        <f t="shared" ref="E77:M77" si="88">SUM(E78:E95)</f>
        <v>0</v>
      </c>
      <c r="F77" s="17">
        <f t="shared" si="88"/>
        <v>0</v>
      </c>
      <c r="G77" s="17">
        <f t="shared" si="88"/>
        <v>0</v>
      </c>
      <c r="H77" s="17">
        <f t="shared" si="88"/>
        <v>0</v>
      </c>
      <c r="I77" s="17">
        <f t="shared" si="88"/>
        <v>0</v>
      </c>
      <c r="J77" s="17">
        <f t="shared" si="88"/>
        <v>0</v>
      </c>
      <c r="K77" s="17">
        <f t="shared" si="88"/>
        <v>0</v>
      </c>
      <c r="L77" s="17">
        <f t="shared" si="88"/>
        <v>0</v>
      </c>
      <c r="M77" s="17">
        <f t="shared" si="88"/>
        <v>0</v>
      </c>
      <c r="N77" s="94">
        <f>SUM(N78:N95)</f>
        <v>0</v>
      </c>
      <c r="O77" s="563"/>
      <c r="P77" s="1525">
        <f>P78</f>
        <v>0</v>
      </c>
      <c r="Q77" s="1525">
        <f t="shared" ref="Q77:AA77" si="89">Q78</f>
        <v>0</v>
      </c>
      <c r="R77" s="1525">
        <f t="shared" si="89"/>
        <v>0</v>
      </c>
      <c r="S77" s="1525">
        <f t="shared" si="89"/>
        <v>0</v>
      </c>
      <c r="T77" s="1525">
        <f t="shared" si="89"/>
        <v>0</v>
      </c>
      <c r="U77" s="1525">
        <f t="shared" si="89"/>
        <v>0</v>
      </c>
      <c r="V77" s="1525">
        <f t="shared" si="89"/>
        <v>0</v>
      </c>
      <c r="W77" s="1525">
        <f t="shared" si="89"/>
        <v>0</v>
      </c>
      <c r="X77" s="1525">
        <f t="shared" si="89"/>
        <v>0</v>
      </c>
      <c r="Y77" s="1525">
        <f t="shared" si="89"/>
        <v>0</v>
      </c>
      <c r="Z77" s="1525">
        <f t="shared" si="89"/>
        <v>0</v>
      </c>
      <c r="AA77" s="1525">
        <f t="shared" si="89"/>
        <v>0</v>
      </c>
      <c r="AB77" s="1528">
        <f>SUM(AB78:AB95)</f>
        <v>0</v>
      </c>
      <c r="AC77" s="1780" t="e">
        <f>+AB77/N77-1</f>
        <v>#DIV/0!</v>
      </c>
    </row>
    <row r="78" spans="1:29">
      <c r="A78" s="1726" t="s">
        <v>508</v>
      </c>
      <c r="B78" s="1727">
        <f t="shared" ref="B78" si="90">+P78*$O$2</f>
        <v>0</v>
      </c>
      <c r="C78" s="300">
        <f t="shared" ref="C78" si="91">+Q78*$O$2</f>
        <v>0</v>
      </c>
      <c r="D78" s="300">
        <f t="shared" ref="D78" si="92">+R78*$O$2</f>
        <v>0</v>
      </c>
      <c r="E78" s="300">
        <f t="shared" ref="E78" si="93">+S78*$O$2</f>
        <v>0</v>
      </c>
      <c r="F78" s="300">
        <f t="shared" ref="F78" si="94">+T78*$O$2</f>
        <v>0</v>
      </c>
      <c r="G78" s="300">
        <f t="shared" ref="G78" si="95">+U78*$O$2</f>
        <v>0</v>
      </c>
      <c r="H78" s="300">
        <f t="shared" ref="H78" si="96">+V78*$O$2</f>
        <v>0</v>
      </c>
      <c r="I78" s="300">
        <f t="shared" ref="I78" si="97">+W78*$O$2</f>
        <v>0</v>
      </c>
      <c r="J78" s="300">
        <f t="shared" ref="J78" si="98">+X78*$O$2</f>
        <v>0</v>
      </c>
      <c r="K78" s="300">
        <f t="shared" ref="K78" si="99">+Y78*$O$2</f>
        <v>0</v>
      </c>
      <c r="L78" s="300">
        <f t="shared" ref="L78" si="100">+Z78*$O$2</f>
        <v>0</v>
      </c>
      <c r="M78" s="1728">
        <f t="shared" ref="M78" si="101">+AA78*$O$2</f>
        <v>0</v>
      </c>
      <c r="N78" s="1729">
        <f>SUM(B78:M78)</f>
        <v>0</v>
      </c>
      <c r="P78" s="1592"/>
      <c r="Q78" s="1593"/>
      <c r="R78" s="1593"/>
      <c r="S78" s="1593"/>
      <c r="T78" s="1593"/>
      <c r="U78" s="1593"/>
      <c r="V78" s="1593"/>
      <c r="W78" s="1593"/>
      <c r="X78" s="1593"/>
      <c r="Y78" s="1593"/>
      <c r="Z78" s="1593"/>
      <c r="AA78" s="1594"/>
      <c r="AB78" s="1530">
        <f>SUM(P78:AA78)</f>
        <v>0</v>
      </c>
      <c r="AC78" s="1780"/>
    </row>
    <row r="79" spans="1:29" ht="15" thickBot="1"/>
    <row r="80" spans="1:29" ht="33" customHeight="1">
      <c r="A80" s="1720"/>
      <c r="B80" s="2292" t="s">
        <v>632</v>
      </c>
      <c r="C80" s="2293"/>
      <c r="D80" s="2293"/>
      <c r="E80" s="2293"/>
      <c r="F80" s="2293"/>
      <c r="G80" s="2293"/>
      <c r="H80" s="2293"/>
      <c r="I80" s="2293"/>
      <c r="J80" s="2293"/>
      <c r="K80" s="2293"/>
      <c r="L80" s="2293"/>
      <c r="M80" s="2293"/>
      <c r="N80" s="2294"/>
      <c r="O80" s="1714">
        <v>1.1000000000000001</v>
      </c>
      <c r="P80" s="2292" t="s">
        <v>633</v>
      </c>
      <c r="Q80" s="2293"/>
      <c r="R80" s="2293"/>
      <c r="S80" s="2293"/>
      <c r="T80" s="2293"/>
      <c r="U80" s="2293"/>
      <c r="V80" s="2293"/>
      <c r="W80" s="2293"/>
      <c r="X80" s="2293"/>
      <c r="Y80" s="2293"/>
      <c r="Z80" s="2293"/>
      <c r="AA80" s="2293"/>
      <c r="AB80" s="2294"/>
    </row>
    <row r="81" spans="1:29" ht="30.75" customHeight="1" thickBot="1">
      <c r="A81" s="1721"/>
      <c r="B81" s="1722" t="s">
        <v>1</v>
      </c>
      <c r="C81" s="1723" t="s">
        <v>2</v>
      </c>
      <c r="D81" s="1723" t="s">
        <v>3</v>
      </c>
      <c r="E81" s="1723" t="s">
        <v>4</v>
      </c>
      <c r="F81" s="1723" t="s">
        <v>5</v>
      </c>
      <c r="G81" s="1723" t="s">
        <v>6</v>
      </c>
      <c r="H81" s="1723" t="s">
        <v>7</v>
      </c>
      <c r="I81" s="1723" t="s">
        <v>8</v>
      </c>
      <c r="J81" s="1723" t="s">
        <v>9</v>
      </c>
      <c r="K81" s="1723" t="s">
        <v>10</v>
      </c>
      <c r="L81" s="1723" t="s">
        <v>11</v>
      </c>
      <c r="M81" s="1723" t="s">
        <v>12</v>
      </c>
      <c r="N81" s="1724" t="s">
        <v>13</v>
      </c>
      <c r="P81" s="1522" t="s">
        <v>1</v>
      </c>
      <c r="Q81" s="1523" t="s">
        <v>2</v>
      </c>
      <c r="R81" s="1523" t="s">
        <v>3</v>
      </c>
      <c r="S81" s="1523" t="s">
        <v>4</v>
      </c>
      <c r="T81" s="1523" t="s">
        <v>5</v>
      </c>
      <c r="U81" s="1523" t="s">
        <v>6</v>
      </c>
      <c r="V81" s="1523" t="s">
        <v>7</v>
      </c>
      <c r="W81" s="1523" t="s">
        <v>8</v>
      </c>
      <c r="X81" s="1523" t="s">
        <v>9</v>
      </c>
      <c r="Y81" s="1523" t="s">
        <v>10</v>
      </c>
      <c r="Z81" s="1523" t="s">
        <v>11</v>
      </c>
      <c r="AA81" s="1523" t="s">
        <v>12</v>
      </c>
      <c r="AB81" s="1524" t="s">
        <v>13</v>
      </c>
    </row>
    <row r="82" spans="1:29" ht="22.5" customHeight="1" thickBot="1">
      <c r="A82" s="1725" t="s">
        <v>234</v>
      </c>
      <c r="B82" s="16">
        <f>SUM(B83:B100)</f>
        <v>0</v>
      </c>
      <c r="C82" s="17">
        <f>SUM(C83:C100)</f>
        <v>0</v>
      </c>
      <c r="D82" s="17">
        <f>SUM(D83:D100)</f>
        <v>0</v>
      </c>
      <c r="E82" s="17">
        <f t="shared" ref="E82:M82" si="102">SUM(E83:E100)</f>
        <v>0</v>
      </c>
      <c r="F82" s="17">
        <f t="shared" si="102"/>
        <v>0</v>
      </c>
      <c r="G82" s="17">
        <f t="shared" si="102"/>
        <v>0</v>
      </c>
      <c r="H82" s="17">
        <f t="shared" si="102"/>
        <v>0</v>
      </c>
      <c r="I82" s="17">
        <f t="shared" si="102"/>
        <v>0</v>
      </c>
      <c r="J82" s="17">
        <f t="shared" si="102"/>
        <v>0</v>
      </c>
      <c r="K82" s="17">
        <f t="shared" si="102"/>
        <v>0</v>
      </c>
      <c r="L82" s="17">
        <f t="shared" si="102"/>
        <v>0</v>
      </c>
      <c r="M82" s="17">
        <f t="shared" si="102"/>
        <v>0</v>
      </c>
      <c r="N82" s="94">
        <f>SUM(N83:N100)</f>
        <v>0</v>
      </c>
      <c r="O82" s="563"/>
      <c r="P82" s="1525">
        <f>P83</f>
        <v>0</v>
      </c>
      <c r="Q82" s="1525">
        <f t="shared" ref="Q82:AA82" si="103">Q83</f>
        <v>0</v>
      </c>
      <c r="R82" s="1525">
        <f t="shared" si="103"/>
        <v>0</v>
      </c>
      <c r="S82" s="1525">
        <f t="shared" si="103"/>
        <v>0</v>
      </c>
      <c r="T82" s="1525">
        <f t="shared" si="103"/>
        <v>0</v>
      </c>
      <c r="U82" s="1525">
        <f t="shared" si="103"/>
        <v>0</v>
      </c>
      <c r="V82" s="1525">
        <f t="shared" si="103"/>
        <v>0</v>
      </c>
      <c r="W82" s="1525">
        <f t="shared" si="103"/>
        <v>0</v>
      </c>
      <c r="X82" s="1525">
        <f t="shared" si="103"/>
        <v>0</v>
      </c>
      <c r="Y82" s="1525">
        <f t="shared" si="103"/>
        <v>0</v>
      </c>
      <c r="Z82" s="1525">
        <f t="shared" si="103"/>
        <v>0</v>
      </c>
      <c r="AA82" s="1525">
        <f t="shared" si="103"/>
        <v>0</v>
      </c>
      <c r="AB82" s="1528">
        <f>SUM(AB83:AB100)</f>
        <v>0</v>
      </c>
      <c r="AC82" s="1780" t="e">
        <f>+AB82/N82-1</f>
        <v>#DIV/0!</v>
      </c>
    </row>
    <row r="83" spans="1:29">
      <c r="A83" s="1726" t="s">
        <v>508</v>
      </c>
      <c r="B83" s="1727">
        <f>+B73-B78</f>
        <v>0</v>
      </c>
      <c r="C83" s="300">
        <f t="shared" ref="C83:J83" si="104">+C73-C78</f>
        <v>0</v>
      </c>
      <c r="D83" s="300">
        <f t="shared" si="104"/>
        <v>0</v>
      </c>
      <c r="E83" s="300">
        <f t="shared" si="104"/>
        <v>0</v>
      </c>
      <c r="F83" s="300">
        <f t="shared" si="104"/>
        <v>0</v>
      </c>
      <c r="G83" s="300">
        <f t="shared" si="104"/>
        <v>0</v>
      </c>
      <c r="H83" s="300">
        <f t="shared" si="104"/>
        <v>0</v>
      </c>
      <c r="I83" s="300">
        <f t="shared" si="104"/>
        <v>0</v>
      </c>
      <c r="J83" s="300">
        <f t="shared" si="104"/>
        <v>0</v>
      </c>
      <c r="K83" s="300">
        <f t="shared" ref="K83" si="105">+Y83*$O$2</f>
        <v>0</v>
      </c>
      <c r="L83" s="300">
        <f t="shared" ref="L83" si="106">+Z83*$O$2</f>
        <v>0</v>
      </c>
      <c r="M83" s="1728">
        <f t="shared" ref="M83" si="107">+AA83*$O$2</f>
        <v>0</v>
      </c>
      <c r="N83" s="1729">
        <f>SUM(B83:M83)</f>
        <v>0</v>
      </c>
      <c r="P83" s="1592"/>
      <c r="Q83" s="1593"/>
      <c r="R83" s="1593"/>
      <c r="S83" s="1593"/>
      <c r="T83" s="1593"/>
      <c r="U83" s="1593"/>
      <c r="V83" s="1593"/>
      <c r="W83" s="1593"/>
      <c r="X83" s="1593"/>
      <c r="Y83" s="1593"/>
      <c r="Z83" s="1593"/>
      <c r="AA83" s="1593"/>
      <c r="AB83" s="1530">
        <f>SUM(P83:AA83)</f>
        <v>0</v>
      </c>
      <c r="AC83" s="1780"/>
    </row>
  </sheetData>
  <mergeCells count="22">
    <mergeCell ref="B2:N2"/>
    <mergeCell ref="P2:AB2"/>
    <mergeCell ref="B16:N16"/>
    <mergeCell ref="P16:AB16"/>
    <mergeCell ref="B23:N23"/>
    <mergeCell ref="P23:AB23"/>
    <mergeCell ref="B55:N55"/>
    <mergeCell ref="P55:AB55"/>
    <mergeCell ref="B63:N63"/>
    <mergeCell ref="P63:AB63"/>
    <mergeCell ref="B32:N32"/>
    <mergeCell ref="P32:AB32"/>
    <mergeCell ref="B40:N40"/>
    <mergeCell ref="P40:AB40"/>
    <mergeCell ref="B49:N49"/>
    <mergeCell ref="P49:AB49"/>
    <mergeCell ref="B70:N70"/>
    <mergeCell ref="P70:AB70"/>
    <mergeCell ref="B75:N75"/>
    <mergeCell ref="P75:AB75"/>
    <mergeCell ref="B80:N80"/>
    <mergeCell ref="P80:AB80"/>
  </mergeCells>
  <pageMargins left="0.7" right="0.7" top="0.75" bottom="0.75" header="0.3" footer="0.3"/>
  <pageSetup paperSize="9" scale="50" orientation="portrait" r:id="rId1"/>
  <colBreaks count="1" manualBreakCount="1">
    <brk id="15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  <pageSetUpPr fitToPage="1"/>
  </sheetPr>
  <dimension ref="A1:AC33"/>
  <sheetViews>
    <sheetView zoomScale="85" zoomScaleNormal="85" workbookViewId="0">
      <selection activeCell="C9" sqref="C9"/>
    </sheetView>
  </sheetViews>
  <sheetFormatPr defaultColWidth="9.109375" defaultRowHeight="13.8"/>
  <cols>
    <col min="1" max="1" width="31" style="1" customWidth="1"/>
    <col min="2" max="2" width="20.44140625" style="1378" customWidth="1"/>
    <col min="3" max="7" width="13.109375" style="1" customWidth="1"/>
    <col min="8" max="8" width="14" style="1" customWidth="1"/>
    <col min="9" max="10" width="14.88671875" style="1" customWidth="1"/>
    <col min="11" max="14" width="13.33203125" style="1" customWidth="1"/>
    <col min="15" max="16" width="9.109375" style="1"/>
    <col min="17" max="17" width="9.33203125" style="1" bestFit="1" customWidth="1"/>
    <col min="18" max="16384" width="9.109375" style="1"/>
  </cols>
  <sheetData>
    <row r="1" spans="1:29" ht="14.4" thickBot="1"/>
    <row r="2" spans="1:29">
      <c r="A2" s="1379"/>
      <c r="B2" s="1380"/>
      <c r="C2" s="1381"/>
      <c r="D2" s="1381"/>
      <c r="E2" s="1381"/>
      <c r="F2" s="1381"/>
      <c r="G2" s="1381"/>
      <c r="H2" s="1381"/>
      <c r="I2" s="1381"/>
      <c r="J2" s="1381"/>
      <c r="K2" s="1381"/>
      <c r="L2" s="1381"/>
      <c r="M2" s="1381"/>
      <c r="N2" s="1382"/>
    </row>
    <row r="3" spans="1:29">
      <c r="A3" s="1344"/>
      <c r="N3" s="1383"/>
    </row>
    <row r="4" spans="1:29" ht="23.4">
      <c r="A4" s="1344"/>
      <c r="B4" s="1384" t="s">
        <v>417</v>
      </c>
      <c r="N4" s="1383"/>
    </row>
    <row r="5" spans="1:29">
      <c r="A5" s="1344"/>
      <c r="N5" s="1383"/>
    </row>
    <row r="6" spans="1:29" s="1388" customFormat="1" ht="15.6">
      <c r="A6" s="1385"/>
      <c r="B6" s="1378"/>
      <c r="C6" s="1386">
        <v>45292</v>
      </c>
      <c r="D6" s="1386">
        <v>45323</v>
      </c>
      <c r="E6" s="1386">
        <v>45353</v>
      </c>
      <c r="F6" s="1386">
        <v>45383</v>
      </c>
      <c r="G6" s="1386">
        <v>45413</v>
      </c>
      <c r="H6" s="1386">
        <v>45444</v>
      </c>
      <c r="I6" s="1386">
        <v>45474</v>
      </c>
      <c r="J6" s="1386">
        <v>45505</v>
      </c>
      <c r="K6" s="1386">
        <v>45536</v>
      </c>
      <c r="L6" s="1386">
        <v>45566</v>
      </c>
      <c r="M6" s="1386">
        <v>45597</v>
      </c>
      <c r="N6" s="1386">
        <v>45627</v>
      </c>
      <c r="O6" s="1387"/>
    </row>
    <row r="7" spans="1:29" s="1391" customFormat="1" ht="46.5" customHeight="1">
      <c r="A7" s="1389" t="s">
        <v>418</v>
      </c>
      <c r="B7" s="1390" t="s">
        <v>419</v>
      </c>
      <c r="C7" s="1461"/>
      <c r="D7" s="1461"/>
      <c r="E7" s="1461"/>
      <c r="F7" s="1461"/>
      <c r="G7" s="1461"/>
      <c r="H7" s="1461"/>
      <c r="I7" s="1461"/>
      <c r="J7" s="1461"/>
      <c r="K7" s="1461"/>
      <c r="L7" s="1461"/>
      <c r="M7" s="1461"/>
      <c r="N7" s="1461"/>
      <c r="P7" s="1392"/>
      <c r="Q7" s="1393"/>
      <c r="R7" s="1393"/>
      <c r="S7" s="1393"/>
      <c r="T7" s="1393"/>
      <c r="U7" s="1393"/>
      <c r="V7" s="1393"/>
      <c r="W7" s="1393"/>
      <c r="X7" s="1393"/>
      <c r="Y7" s="1393"/>
      <c r="Z7" s="1393"/>
      <c r="AA7" s="1393"/>
      <c r="AB7" s="1393"/>
      <c r="AC7" s="1393"/>
    </row>
    <row r="8" spans="1:29" s="1391" customFormat="1" ht="8.25" customHeight="1">
      <c r="A8" s="1389"/>
      <c r="B8" s="1390"/>
      <c r="C8" s="1461"/>
      <c r="D8" s="1461"/>
      <c r="E8" s="1461"/>
      <c r="F8" s="1461"/>
      <c r="G8" s="1461"/>
      <c r="H8" s="1461"/>
      <c r="I8" s="1461"/>
      <c r="J8" s="1461"/>
      <c r="K8" s="1461"/>
      <c r="L8" s="1461"/>
      <c r="M8" s="1461"/>
      <c r="N8" s="1462"/>
      <c r="P8" s="1392"/>
      <c r="Q8" s="1393"/>
      <c r="R8" s="1393"/>
      <c r="S8" s="1393"/>
      <c r="T8" s="1393"/>
      <c r="U8" s="1393"/>
      <c r="V8" s="1393"/>
      <c r="W8" s="1393"/>
      <c r="X8" s="1393"/>
      <c r="Y8" s="1393"/>
      <c r="Z8" s="1393"/>
      <c r="AA8" s="1393"/>
      <c r="AB8" s="1393"/>
      <c r="AC8" s="1393"/>
    </row>
    <row r="9" spans="1:29" s="1396" customFormat="1" ht="48" customHeight="1">
      <c r="A9" s="1394" t="s">
        <v>420</v>
      </c>
      <c r="B9" s="1395" t="s">
        <v>421</v>
      </c>
      <c r="C9" s="1461">
        <v>0.63100000000000001</v>
      </c>
      <c r="D9" s="1461">
        <f>C7+D7</f>
        <v>0</v>
      </c>
      <c r="E9" s="1461">
        <f>D9+E7</f>
        <v>0</v>
      </c>
      <c r="F9" s="1461">
        <f t="shared" ref="F9:N9" si="0">E9+F7</f>
        <v>0</v>
      </c>
      <c r="G9" s="1461">
        <f t="shared" si="0"/>
        <v>0</v>
      </c>
      <c r="H9" s="1461">
        <f t="shared" si="0"/>
        <v>0</v>
      </c>
      <c r="I9" s="1461">
        <f t="shared" si="0"/>
        <v>0</v>
      </c>
      <c r="J9" s="1461">
        <f t="shared" si="0"/>
        <v>0</v>
      </c>
      <c r="K9" s="1461">
        <f t="shared" si="0"/>
        <v>0</v>
      </c>
      <c r="L9" s="1461">
        <f t="shared" si="0"/>
        <v>0</v>
      </c>
      <c r="M9" s="1461">
        <f t="shared" si="0"/>
        <v>0</v>
      </c>
      <c r="N9" s="1461">
        <f t="shared" si="0"/>
        <v>0</v>
      </c>
    </row>
    <row r="10" spans="1:29" ht="9" customHeight="1">
      <c r="A10" s="1397"/>
      <c r="B10" s="1398"/>
      <c r="N10" s="1383"/>
    </row>
    <row r="11" spans="1:29" ht="50.25" customHeight="1">
      <c r="A11" s="1399" t="s">
        <v>422</v>
      </c>
      <c r="B11" s="1398" t="s">
        <v>423</v>
      </c>
      <c r="C11" s="1400">
        <f>0.025+23%</f>
        <v>0.255</v>
      </c>
      <c r="D11" s="1400">
        <f>0.025+23.25%</f>
        <v>0.25750000000000001</v>
      </c>
      <c r="E11" s="1400">
        <f>0.025+23.5%</f>
        <v>0.26</v>
      </c>
      <c r="F11" s="1400">
        <f>0.025+24%</f>
        <v>0.26500000000000001</v>
      </c>
      <c r="G11" s="1400">
        <f>0.025+24.5%</f>
        <v>0.27</v>
      </c>
      <c r="H11" s="1400">
        <f>0.025+25%</f>
        <v>0.27500000000000002</v>
      </c>
      <c r="I11" s="1400">
        <f>0.025+43%</f>
        <v>0.45500000000000002</v>
      </c>
      <c r="J11" s="1400">
        <f>0.025+43.25%</f>
        <v>0.45750000000000002</v>
      </c>
      <c r="K11" s="1400">
        <f>0.025+43.75%</f>
        <v>0.46250000000000002</v>
      </c>
      <c r="L11" s="1400">
        <f>0.025+44%</f>
        <v>0.46500000000000002</v>
      </c>
      <c r="M11" s="1400">
        <f>0.025+44.25%</f>
        <v>0.46750000000000003</v>
      </c>
      <c r="N11" s="2097">
        <f>0.025+44.75%</f>
        <v>0.47250000000000003</v>
      </c>
    </row>
    <row r="12" spans="1:29" ht="10.5" customHeight="1">
      <c r="A12" s="1397"/>
      <c r="B12" s="1398"/>
      <c r="N12" s="1383"/>
    </row>
    <row r="13" spans="1:29" ht="45" customHeight="1">
      <c r="A13" s="1399" t="s">
        <v>424</v>
      </c>
      <c r="B13" s="1401" t="s">
        <v>425</v>
      </c>
      <c r="C13" s="1779"/>
      <c r="D13" s="1779"/>
      <c r="E13" s="1779"/>
      <c r="F13" s="1779"/>
      <c r="G13" s="1779"/>
      <c r="H13" s="1779"/>
      <c r="I13" s="1779"/>
      <c r="J13" s="1779"/>
      <c r="K13" s="1779"/>
      <c r="L13" s="1779"/>
      <c r="M13" s="1779"/>
      <c r="N13" s="1779"/>
    </row>
    <row r="14" spans="1:29" ht="20.25" customHeight="1">
      <c r="A14" s="1397"/>
      <c r="B14" s="1398"/>
      <c r="C14" s="1590"/>
      <c r="D14" s="1590"/>
      <c r="E14" s="1590"/>
      <c r="F14" s="1590"/>
      <c r="G14" s="1590"/>
      <c r="H14" s="1590"/>
      <c r="I14" s="1590"/>
      <c r="J14" s="1590"/>
      <c r="K14" s="1590"/>
      <c r="L14" s="1590"/>
      <c r="M14" s="1590"/>
      <c r="N14" s="1616"/>
    </row>
    <row r="15" spans="1:29" ht="49.5" customHeight="1">
      <c r="A15" s="1399" t="s">
        <v>426</v>
      </c>
      <c r="B15" s="1398" t="s">
        <v>427</v>
      </c>
      <c r="C15" s="1402" t="s">
        <v>165</v>
      </c>
      <c r="D15" s="1403" t="s">
        <v>165</v>
      </c>
      <c r="E15" s="1403" t="s">
        <v>165</v>
      </c>
      <c r="F15" s="1403" t="s">
        <v>165</v>
      </c>
      <c r="G15" s="1403" t="s">
        <v>165</v>
      </c>
      <c r="H15" s="1403" t="s">
        <v>165</v>
      </c>
      <c r="I15" s="1403" t="s">
        <v>165</v>
      </c>
      <c r="J15" s="1403" t="s">
        <v>165</v>
      </c>
      <c r="K15" s="1403" t="s">
        <v>165</v>
      </c>
      <c r="L15" s="1403" t="s">
        <v>165</v>
      </c>
      <c r="M15" s="1403" t="s">
        <v>165</v>
      </c>
      <c r="N15" s="1404" t="s">
        <v>165</v>
      </c>
    </row>
    <row r="16" spans="1:29" ht="9" customHeight="1">
      <c r="A16" s="1397"/>
      <c r="B16" s="1398"/>
      <c r="N16" s="1383"/>
    </row>
    <row r="17" spans="1:14" ht="44.25" customHeight="1">
      <c r="A17" s="1399" t="s">
        <v>428</v>
      </c>
      <c r="B17" s="1398" t="s">
        <v>429</v>
      </c>
      <c r="C17" s="1405"/>
      <c r="D17" s="1405"/>
      <c r="E17" s="1405"/>
      <c r="F17" s="1405"/>
      <c r="G17" s="1405"/>
      <c r="H17" s="1405"/>
      <c r="I17" s="1405"/>
      <c r="J17" s="1405"/>
      <c r="K17" s="1405"/>
      <c r="L17" s="1405"/>
      <c r="M17" s="1405"/>
      <c r="N17" s="1406"/>
    </row>
    <row r="18" spans="1:14" ht="7.5" customHeight="1">
      <c r="A18" s="1399"/>
      <c r="B18" s="1398"/>
      <c r="N18" s="1383"/>
    </row>
    <row r="19" spans="1:14" ht="42.75" customHeight="1" thickBot="1">
      <c r="A19" s="1407" t="s">
        <v>430</v>
      </c>
      <c r="B19" s="1408" t="s">
        <v>429</v>
      </c>
      <c r="C19" s="1409">
        <f>C17*0.92</f>
        <v>0</v>
      </c>
      <c r="D19" s="1409">
        <f>D17*0.88</f>
        <v>0</v>
      </c>
      <c r="E19" s="1409">
        <f>E17*0.85</f>
        <v>0</v>
      </c>
      <c r="F19" s="1409">
        <f>F17*0.95</f>
        <v>0</v>
      </c>
      <c r="G19" s="1409">
        <f>G17*1.01</f>
        <v>0</v>
      </c>
      <c r="H19" s="1409">
        <f>H17*1.03</f>
        <v>0</v>
      </c>
      <c r="I19" s="1409">
        <f>I17*1.04</f>
        <v>0</v>
      </c>
      <c r="J19" s="1409">
        <f>J17*1.06</f>
        <v>0</v>
      </c>
      <c r="K19" s="1409">
        <f>K17*1.07</f>
        <v>0</v>
      </c>
      <c r="L19" s="1409">
        <f>L17*1.11</f>
        <v>0</v>
      </c>
      <c r="M19" s="1409">
        <f>M17*1.13</f>
        <v>0</v>
      </c>
      <c r="N19" s="2098">
        <f>N17*1.145</f>
        <v>0</v>
      </c>
    </row>
    <row r="33" spans="5:5">
      <c r="E33" s="1" t="s">
        <v>587</v>
      </c>
    </row>
  </sheetData>
  <pageMargins left="0.75" right="0.75" top="1.26" bottom="1" header="0.5" footer="0.5"/>
  <pageSetup paperSize="9" scale="62" orientation="landscape" r:id="rId1"/>
  <headerFooter alignWithMargins="0">
    <oddFooter>&amp;R2</oddFooter>
  </headerFooter>
  <rowBreaks count="1" manualBreakCount="1">
    <brk id="24" max="16383" man="1"/>
  </rowBreaks>
  <colBreaks count="1" manualBreakCount="1">
    <brk id="14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44"/>
  <sheetViews>
    <sheetView topLeftCell="A28" zoomScale="85" zoomScaleNormal="85" workbookViewId="0">
      <selection activeCell="B5" sqref="B5"/>
    </sheetView>
  </sheetViews>
  <sheetFormatPr defaultColWidth="9.109375" defaultRowHeight="14.4"/>
  <cols>
    <col min="1" max="1" width="35.6640625" style="345" customWidth="1"/>
    <col min="2" max="13" width="10.44140625" style="345" bestFit="1" customWidth="1"/>
    <col min="14" max="14" width="11.5546875" style="345" customWidth="1"/>
    <col min="15" max="15" width="10.44140625" style="345" bestFit="1" customWidth="1"/>
    <col min="16" max="16384" width="9.109375" style="345"/>
  </cols>
  <sheetData>
    <row r="1" spans="1:14" ht="15" thickBot="1"/>
    <row r="2" spans="1:14" ht="17.399999999999999">
      <c r="A2" s="346"/>
      <c r="B2" s="2298" t="s">
        <v>296</v>
      </c>
      <c r="C2" s="2299"/>
      <c r="D2" s="2299"/>
      <c r="E2" s="2299"/>
      <c r="F2" s="2299"/>
      <c r="G2" s="2299"/>
      <c r="H2" s="2299"/>
      <c r="I2" s="2299"/>
      <c r="J2" s="2299"/>
      <c r="K2" s="2299"/>
      <c r="L2" s="2299"/>
      <c r="M2" s="2299"/>
      <c r="N2" s="2300"/>
    </row>
    <row r="3" spans="1:14" ht="32.25" customHeight="1" thickBot="1">
      <c r="A3" s="347"/>
      <c r="B3" s="348" t="s">
        <v>1</v>
      </c>
      <c r="C3" s="348" t="s">
        <v>2</v>
      </c>
      <c r="D3" s="348" t="s">
        <v>3</v>
      </c>
      <c r="E3" s="348" t="s">
        <v>4</v>
      </c>
      <c r="F3" s="348" t="s">
        <v>5</v>
      </c>
      <c r="G3" s="348" t="s">
        <v>6</v>
      </c>
      <c r="H3" s="348" t="s">
        <v>7</v>
      </c>
      <c r="I3" s="348" t="s">
        <v>8</v>
      </c>
      <c r="J3" s="348" t="s">
        <v>9</v>
      </c>
      <c r="K3" s="348" t="s">
        <v>10</v>
      </c>
      <c r="L3" s="348" t="s">
        <v>11</v>
      </c>
      <c r="M3" s="348" t="s">
        <v>12</v>
      </c>
      <c r="N3" s="349" t="s">
        <v>13</v>
      </c>
    </row>
    <row r="4" spans="1:14" ht="15" thickBot="1">
      <c r="A4" s="350" t="s">
        <v>241</v>
      </c>
      <c r="B4" s="319">
        <f>SUM(B5:B9)</f>
        <v>0</v>
      </c>
      <c r="C4" s="320">
        <f t="shared" ref="C4:M4" si="0">SUM(C5:C9)</f>
        <v>0</v>
      </c>
      <c r="D4" s="320">
        <f t="shared" si="0"/>
        <v>0</v>
      </c>
      <c r="E4" s="320">
        <f t="shared" si="0"/>
        <v>0</v>
      </c>
      <c r="F4" s="320">
        <f t="shared" si="0"/>
        <v>0</v>
      </c>
      <c r="G4" s="320">
        <f t="shared" si="0"/>
        <v>0</v>
      </c>
      <c r="H4" s="320">
        <f t="shared" si="0"/>
        <v>0</v>
      </c>
      <c r="I4" s="320">
        <f t="shared" si="0"/>
        <v>0</v>
      </c>
      <c r="J4" s="320">
        <f t="shared" si="0"/>
        <v>0</v>
      </c>
      <c r="K4" s="320">
        <f t="shared" si="0"/>
        <v>0</v>
      </c>
      <c r="L4" s="320">
        <f t="shared" si="0"/>
        <v>0</v>
      </c>
      <c r="M4" s="321">
        <f t="shared" si="0"/>
        <v>0</v>
      </c>
      <c r="N4" s="322">
        <f>SUM(N5:N10)</f>
        <v>0</v>
      </c>
    </row>
    <row r="5" spans="1:14">
      <c r="A5" s="323" t="s">
        <v>242</v>
      </c>
      <c r="B5" s="299">
        <f>+'Yatırım Bütçesi'!B149</f>
        <v>0</v>
      </c>
      <c r="C5" s="300">
        <f>+'Yatırım Bütçesi'!C149</f>
        <v>0</v>
      </c>
      <c r="D5" s="300">
        <f>+'Yatırım Bütçesi'!D149</f>
        <v>0</v>
      </c>
      <c r="E5" s="300">
        <f>+'Yatırım Bütçesi'!E149</f>
        <v>0</v>
      </c>
      <c r="F5" s="300">
        <f>+'Yatırım Bütçesi'!F149</f>
        <v>0</v>
      </c>
      <c r="G5" s="300">
        <f>+'Yatırım Bütçesi'!G149</f>
        <v>0</v>
      </c>
      <c r="H5" s="300">
        <f>+'Yatırım Bütçesi'!H149</f>
        <v>0</v>
      </c>
      <c r="I5" s="300">
        <f>+'Yatırım Bütçesi'!I149</f>
        <v>0</v>
      </c>
      <c r="J5" s="300">
        <f>+'Yatırım Bütçesi'!J149</f>
        <v>0</v>
      </c>
      <c r="K5" s="300">
        <f>+'Yatırım Bütçesi'!K149</f>
        <v>0</v>
      </c>
      <c r="L5" s="300">
        <f>+'Yatırım Bütçesi'!L149</f>
        <v>0</v>
      </c>
      <c r="M5" s="301">
        <f>+'Yatırım Bütçesi'!M149</f>
        <v>0</v>
      </c>
      <c r="N5" s="324">
        <f>SUM(B5:M5)</f>
        <v>0</v>
      </c>
    </row>
    <row r="6" spans="1:14">
      <c r="A6" s="325" t="s">
        <v>243</v>
      </c>
      <c r="B6" s="304">
        <f>+'Yatırım Bütçesi'!B150</f>
        <v>0</v>
      </c>
      <c r="C6" s="305">
        <f>+'Yatırım Bütçesi'!C150</f>
        <v>0</v>
      </c>
      <c r="D6" s="305">
        <f>+'Yatırım Bütçesi'!D150</f>
        <v>0</v>
      </c>
      <c r="E6" s="305">
        <f>+'Yatırım Bütçesi'!E150</f>
        <v>0</v>
      </c>
      <c r="F6" s="305">
        <f>+'Yatırım Bütçesi'!F150</f>
        <v>0</v>
      </c>
      <c r="G6" s="305">
        <f>+'Yatırım Bütçesi'!G150</f>
        <v>0</v>
      </c>
      <c r="H6" s="305">
        <f>+'Yatırım Bütçesi'!H150</f>
        <v>0</v>
      </c>
      <c r="I6" s="305">
        <f>+'Yatırım Bütçesi'!I150</f>
        <v>0</v>
      </c>
      <c r="J6" s="305">
        <f>+'Yatırım Bütçesi'!J150</f>
        <v>0</v>
      </c>
      <c r="K6" s="305">
        <f>+'Yatırım Bütçesi'!K150</f>
        <v>0</v>
      </c>
      <c r="L6" s="305">
        <f>+'Yatırım Bütçesi'!L150</f>
        <v>0</v>
      </c>
      <c r="M6" s="306">
        <f>+'Yatırım Bütçesi'!M150</f>
        <v>0</v>
      </c>
      <c r="N6" s="306">
        <f>SUM(B6:M6)</f>
        <v>0</v>
      </c>
    </row>
    <row r="7" spans="1:14">
      <c r="A7" s="326" t="s">
        <v>244</v>
      </c>
      <c r="B7" s="309">
        <f>+'Yatırım Bütçesi'!B151</f>
        <v>0</v>
      </c>
      <c r="C7" s="310">
        <f>+'Yatırım Bütçesi'!C151</f>
        <v>0</v>
      </c>
      <c r="D7" s="310">
        <f>+'Yatırım Bütçesi'!D151</f>
        <v>0</v>
      </c>
      <c r="E7" s="310">
        <f>+'Yatırım Bütçesi'!E151</f>
        <v>0</v>
      </c>
      <c r="F7" s="310">
        <f>+'Yatırım Bütçesi'!F151</f>
        <v>0</v>
      </c>
      <c r="G7" s="310">
        <f>+'Yatırım Bütçesi'!G151</f>
        <v>0</v>
      </c>
      <c r="H7" s="310">
        <f>+'Yatırım Bütçesi'!H151</f>
        <v>0</v>
      </c>
      <c r="I7" s="310">
        <f>+'Yatırım Bütçesi'!I151</f>
        <v>0</v>
      </c>
      <c r="J7" s="310">
        <f>+'Yatırım Bütçesi'!J151</f>
        <v>0</v>
      </c>
      <c r="K7" s="310">
        <f>+'Yatırım Bütçesi'!K151</f>
        <v>0</v>
      </c>
      <c r="L7" s="310">
        <f>+'Yatırım Bütçesi'!L151</f>
        <v>0</v>
      </c>
      <c r="M7" s="311">
        <f>+'Yatırım Bütçesi'!M151</f>
        <v>0</v>
      </c>
      <c r="N7" s="327">
        <f>SUM(B7:M7)</f>
        <v>0</v>
      </c>
    </row>
    <row r="8" spans="1:14">
      <c r="A8" s="325" t="s">
        <v>245</v>
      </c>
      <c r="B8" s="304">
        <f>+'Yatırım Bütçesi'!B152</f>
        <v>0</v>
      </c>
      <c r="C8" s="305">
        <f>+'Yatırım Bütçesi'!C152</f>
        <v>0</v>
      </c>
      <c r="D8" s="305">
        <f>+'Yatırım Bütçesi'!D152</f>
        <v>0</v>
      </c>
      <c r="E8" s="305">
        <f>+'Yatırım Bütçesi'!E152</f>
        <v>0</v>
      </c>
      <c r="F8" s="305">
        <f>+'Yatırım Bütçesi'!F152</f>
        <v>0</v>
      </c>
      <c r="G8" s="305">
        <f>+'Yatırım Bütçesi'!G152</f>
        <v>0</v>
      </c>
      <c r="H8" s="305">
        <f>+'Yatırım Bütçesi'!H152</f>
        <v>0</v>
      </c>
      <c r="I8" s="305">
        <f>+'Yatırım Bütçesi'!I152</f>
        <v>0</v>
      </c>
      <c r="J8" s="305">
        <f>+'Yatırım Bütçesi'!J152</f>
        <v>0</v>
      </c>
      <c r="K8" s="305">
        <f>+'Yatırım Bütçesi'!K152</f>
        <v>0</v>
      </c>
      <c r="L8" s="305">
        <f>+'Yatırım Bütçesi'!L152</f>
        <v>0</v>
      </c>
      <c r="M8" s="306">
        <f>+'Yatırım Bütçesi'!M152</f>
        <v>0</v>
      </c>
      <c r="N8" s="306">
        <f>SUM(B8:M8)</f>
        <v>0</v>
      </c>
    </row>
    <row r="9" spans="1:14" ht="15" thickBot="1">
      <c r="A9" s="328" t="s">
        <v>240</v>
      </c>
      <c r="B9" s="314">
        <f>+'Yatırım Bütçesi'!B153</f>
        <v>0</v>
      </c>
      <c r="C9" s="315">
        <f>+'Yatırım Bütçesi'!C153</f>
        <v>0</v>
      </c>
      <c r="D9" s="315">
        <f>+'Yatırım Bütçesi'!D153</f>
        <v>0</v>
      </c>
      <c r="E9" s="315">
        <f>+'Yatırım Bütçesi'!E153</f>
        <v>0</v>
      </c>
      <c r="F9" s="315">
        <f>+'Yatırım Bütçesi'!F153</f>
        <v>0</v>
      </c>
      <c r="G9" s="315">
        <f>+'Yatırım Bütçesi'!G153</f>
        <v>0</v>
      </c>
      <c r="H9" s="315">
        <f>+'Yatırım Bütçesi'!H153</f>
        <v>0</v>
      </c>
      <c r="I9" s="315">
        <f>+'Yatırım Bütçesi'!I153</f>
        <v>0</v>
      </c>
      <c r="J9" s="315">
        <f>+'Yatırım Bütçesi'!J153</f>
        <v>0</v>
      </c>
      <c r="K9" s="315">
        <f>+'Yatırım Bütçesi'!K153</f>
        <v>0</v>
      </c>
      <c r="L9" s="315">
        <f>+'Yatırım Bütçesi'!L153</f>
        <v>0</v>
      </c>
      <c r="M9" s="316">
        <f>+'Yatırım Bütçesi'!M153</f>
        <v>0</v>
      </c>
      <c r="N9" s="329">
        <f>SUM(B9:M9)</f>
        <v>0</v>
      </c>
    </row>
    <row r="10" spans="1:14" ht="15" thickBot="1"/>
    <row r="11" spans="1:14" s="1" customFormat="1" ht="24.9" customHeight="1">
      <c r="A11" s="289"/>
      <c r="B11" s="2310" t="s">
        <v>297</v>
      </c>
      <c r="C11" s="2311"/>
      <c r="D11" s="2311"/>
      <c r="E11" s="2311"/>
      <c r="F11" s="2311"/>
      <c r="G11" s="2311"/>
      <c r="H11" s="2311"/>
      <c r="I11" s="2311"/>
      <c r="J11" s="2311"/>
      <c r="K11" s="2311"/>
      <c r="L11" s="2311"/>
      <c r="M11" s="2311"/>
      <c r="N11" s="2312"/>
    </row>
    <row r="12" spans="1:14" s="1" customFormat="1" ht="24.9" customHeight="1" thickBot="1">
      <c r="A12" s="290"/>
      <c r="B12" s="291" t="s">
        <v>1</v>
      </c>
      <c r="C12" s="291" t="s">
        <v>2</v>
      </c>
      <c r="D12" s="291" t="s">
        <v>3</v>
      </c>
      <c r="E12" s="291" t="s">
        <v>4</v>
      </c>
      <c r="F12" s="291" t="s">
        <v>5</v>
      </c>
      <c r="G12" s="291" t="s">
        <v>6</v>
      </c>
      <c r="H12" s="291" t="s">
        <v>7</v>
      </c>
      <c r="I12" s="291" t="s">
        <v>8</v>
      </c>
      <c r="J12" s="291" t="s">
        <v>9</v>
      </c>
      <c r="K12" s="291" t="s">
        <v>10</v>
      </c>
      <c r="L12" s="291" t="s">
        <v>11</v>
      </c>
      <c r="M12" s="291" t="s">
        <v>12</v>
      </c>
      <c r="N12" s="292" t="s">
        <v>13</v>
      </c>
    </row>
    <row r="13" spans="1:14" s="1" customFormat="1" ht="13.2">
      <c r="A13" s="339" t="s">
        <v>247</v>
      </c>
      <c r="B13" s="299">
        <f>+'Yatırım Bütçesi'!B271</f>
        <v>0</v>
      </c>
      <c r="C13" s="300">
        <f>+'Yatırım Bütçesi'!C271</f>
        <v>0</v>
      </c>
      <c r="D13" s="300">
        <f>+'Yatırım Bütçesi'!D271</f>
        <v>0</v>
      </c>
      <c r="E13" s="300">
        <f>+'Yatırım Bütçesi'!E271</f>
        <v>0</v>
      </c>
      <c r="F13" s="300">
        <f>+'Yatırım Bütçesi'!F271</f>
        <v>0</v>
      </c>
      <c r="G13" s="300">
        <f>+'Yatırım Bütçesi'!G271</f>
        <v>0</v>
      </c>
      <c r="H13" s="300">
        <f>+'Yatırım Bütçesi'!H271</f>
        <v>0</v>
      </c>
      <c r="I13" s="300">
        <f>+'Yatırım Bütçesi'!I271</f>
        <v>0</v>
      </c>
      <c r="J13" s="300">
        <f>+'Yatırım Bütçesi'!J271</f>
        <v>0</v>
      </c>
      <c r="K13" s="300">
        <f>+'Yatırım Bütçesi'!K271</f>
        <v>0</v>
      </c>
      <c r="L13" s="300">
        <f>+'Yatırım Bütçesi'!L271</f>
        <v>0</v>
      </c>
      <c r="M13" s="301">
        <f>+'Yatırım Bütçesi'!M271</f>
        <v>0</v>
      </c>
      <c r="N13" s="324">
        <f>SUM(B13:M13)</f>
        <v>0</v>
      </c>
    </row>
    <row r="14" spans="1:14" s="1" customFormat="1" ht="13.2">
      <c r="A14" s="325" t="s">
        <v>245</v>
      </c>
      <c r="B14" s="304">
        <f>+'Yatırım Bütçesi'!B272</f>
        <v>0</v>
      </c>
      <c r="C14" s="305">
        <f>+'Yatırım Bütçesi'!C272</f>
        <v>0</v>
      </c>
      <c r="D14" s="305">
        <f>+'Yatırım Bütçesi'!D272</f>
        <v>0</v>
      </c>
      <c r="E14" s="305">
        <f>+'Yatırım Bütçesi'!E272</f>
        <v>0</v>
      </c>
      <c r="F14" s="305">
        <f>+'Yatırım Bütçesi'!F272</f>
        <v>0</v>
      </c>
      <c r="G14" s="305">
        <f>+'Yatırım Bütçesi'!G272</f>
        <v>0</v>
      </c>
      <c r="H14" s="305">
        <f>+'Yatırım Bütçesi'!H272</f>
        <v>0</v>
      </c>
      <c r="I14" s="305">
        <f>+'Yatırım Bütçesi'!I272</f>
        <v>0</v>
      </c>
      <c r="J14" s="305">
        <f>+'Yatırım Bütçesi'!J272</f>
        <v>0</v>
      </c>
      <c r="K14" s="305">
        <f>+'Yatırım Bütçesi'!K272</f>
        <v>0</v>
      </c>
      <c r="L14" s="305">
        <f>+'Yatırım Bütçesi'!L272</f>
        <v>0</v>
      </c>
      <c r="M14" s="306">
        <f>+'Yatırım Bütçesi'!M272</f>
        <v>0</v>
      </c>
      <c r="N14" s="306">
        <f>SUM(B14:M14)</f>
        <v>0</v>
      </c>
    </row>
    <row r="15" spans="1:14" s="1" customFormat="1" ht="13.2">
      <c r="A15" s="326" t="s">
        <v>248</v>
      </c>
      <c r="B15" s="309">
        <f>+'Yatırım Bütçesi'!B273</f>
        <v>0</v>
      </c>
      <c r="C15" s="310">
        <f>+'Yatırım Bütçesi'!C273</f>
        <v>0</v>
      </c>
      <c r="D15" s="310">
        <f>+'Yatırım Bütçesi'!D273</f>
        <v>0</v>
      </c>
      <c r="E15" s="310">
        <f>+'Yatırım Bütçesi'!E273</f>
        <v>0</v>
      </c>
      <c r="F15" s="310">
        <f>+'Yatırım Bütçesi'!F273</f>
        <v>0</v>
      </c>
      <c r="G15" s="310">
        <f>+'Yatırım Bütçesi'!G273</f>
        <v>0</v>
      </c>
      <c r="H15" s="310">
        <f>+'Yatırım Bütçesi'!H273</f>
        <v>0</v>
      </c>
      <c r="I15" s="310">
        <f>+'Yatırım Bütçesi'!I273</f>
        <v>0</v>
      </c>
      <c r="J15" s="310">
        <f>+'Yatırım Bütçesi'!J273</f>
        <v>0</v>
      </c>
      <c r="K15" s="310">
        <f>+'Yatırım Bütçesi'!K273</f>
        <v>0</v>
      </c>
      <c r="L15" s="310">
        <f>+'Yatırım Bütçesi'!L273</f>
        <v>0</v>
      </c>
      <c r="M15" s="311">
        <f>+'Yatırım Bütçesi'!M273</f>
        <v>0</v>
      </c>
      <c r="N15" s="327">
        <f>SUM(B15:M15)</f>
        <v>0</v>
      </c>
    </row>
    <row r="16" spans="1:14" s="1" customFormat="1" ht="13.8" thickBot="1">
      <c r="A16" s="340" t="s">
        <v>249</v>
      </c>
      <c r="B16" s="335">
        <f>+'Yatırım Bütçesi'!B274</f>
        <v>0</v>
      </c>
      <c r="C16" s="336">
        <f>+'Yatırım Bütçesi'!C274</f>
        <v>0</v>
      </c>
      <c r="D16" s="336">
        <f>+'Yatırım Bütçesi'!D274</f>
        <v>0</v>
      </c>
      <c r="E16" s="336">
        <f>+'Yatırım Bütçesi'!E274</f>
        <v>0</v>
      </c>
      <c r="F16" s="336">
        <f>+'Yatırım Bütçesi'!F274</f>
        <v>0</v>
      </c>
      <c r="G16" s="336">
        <f>+'Yatırım Bütçesi'!G274</f>
        <v>0</v>
      </c>
      <c r="H16" s="336">
        <f>+'Yatırım Bütçesi'!H274</f>
        <v>0</v>
      </c>
      <c r="I16" s="336">
        <f>+'Yatırım Bütçesi'!I274</f>
        <v>0</v>
      </c>
      <c r="J16" s="336">
        <f>+'Yatırım Bütçesi'!J274</f>
        <v>0</v>
      </c>
      <c r="K16" s="336">
        <f>+'Yatırım Bütçesi'!K274</f>
        <v>0</v>
      </c>
      <c r="L16" s="336">
        <f>+'Yatırım Bütçesi'!L274</f>
        <v>0</v>
      </c>
      <c r="M16" s="337">
        <f>+'Yatırım Bütçesi'!M274</f>
        <v>0</v>
      </c>
      <c r="N16" s="337">
        <f>SUM(B16:M16)</f>
        <v>0</v>
      </c>
    </row>
    <row r="17" spans="1:15" ht="15" thickBot="1"/>
    <row r="18" spans="1:15">
      <c r="A18" s="2301" t="s">
        <v>252</v>
      </c>
      <c r="B18" s="2302"/>
      <c r="C18" s="2302"/>
      <c r="D18" s="2302"/>
      <c r="E18" s="2302"/>
      <c r="F18" s="2302"/>
      <c r="G18" s="2302"/>
      <c r="H18" s="2302"/>
      <c r="I18" s="2302"/>
      <c r="J18" s="2302"/>
      <c r="K18" s="2302"/>
      <c r="L18" s="2302"/>
      <c r="M18" s="2302"/>
      <c r="N18" s="2303"/>
    </row>
    <row r="19" spans="1:15">
      <c r="A19" s="2304"/>
      <c r="B19" s="2305"/>
      <c r="C19" s="2305"/>
      <c r="D19" s="2305"/>
      <c r="E19" s="2305"/>
      <c r="F19" s="2305"/>
      <c r="G19" s="2305"/>
      <c r="H19" s="2305"/>
      <c r="I19" s="2305"/>
      <c r="J19" s="2305"/>
      <c r="K19" s="2305"/>
      <c r="L19" s="2305"/>
      <c r="M19" s="2305"/>
      <c r="N19" s="2306"/>
    </row>
    <row r="20" spans="1:15">
      <c r="A20" s="2304"/>
      <c r="B20" s="2305"/>
      <c r="C20" s="2305"/>
      <c r="D20" s="2305"/>
      <c r="E20" s="2305"/>
      <c r="F20" s="2305"/>
      <c r="G20" s="2305"/>
      <c r="H20" s="2305"/>
      <c r="I20" s="2305"/>
      <c r="J20" s="2305"/>
      <c r="K20" s="2305"/>
      <c r="L20" s="2305"/>
      <c r="M20" s="2305"/>
      <c r="N20" s="2306"/>
    </row>
    <row r="21" spans="1:15">
      <c r="A21" s="2304"/>
      <c r="B21" s="2305"/>
      <c r="C21" s="2305"/>
      <c r="D21" s="2305"/>
      <c r="E21" s="2305"/>
      <c r="F21" s="2305"/>
      <c r="G21" s="2305"/>
      <c r="H21" s="2305"/>
      <c r="I21" s="2305"/>
      <c r="J21" s="2305"/>
      <c r="K21" s="2305"/>
      <c r="L21" s="2305"/>
      <c r="M21" s="2305"/>
      <c r="N21" s="2306"/>
    </row>
    <row r="22" spans="1:15" ht="15" thickBot="1">
      <c r="A22" s="2307"/>
      <c r="B22" s="2308"/>
      <c r="C22" s="2308"/>
      <c r="D22" s="2308"/>
      <c r="E22" s="2308"/>
      <c r="F22" s="2308"/>
      <c r="G22" s="2308"/>
      <c r="H22" s="2308"/>
      <c r="I22" s="2308"/>
      <c r="J22" s="2308"/>
      <c r="K22" s="2308"/>
      <c r="L22" s="2308"/>
      <c r="M22" s="2308"/>
      <c r="N22" s="2309"/>
    </row>
    <row r="23" spans="1:15" ht="15" thickBot="1"/>
    <row r="24" spans="1:15" s="1" customFormat="1" ht="27" customHeight="1">
      <c r="A24" s="289"/>
      <c r="B24" s="2313" t="s">
        <v>298</v>
      </c>
      <c r="C24" s="2314"/>
      <c r="D24" s="2314"/>
      <c r="E24" s="2314"/>
      <c r="F24" s="2314"/>
      <c r="G24" s="2314"/>
      <c r="H24" s="2314"/>
      <c r="I24" s="2314"/>
      <c r="J24" s="2314"/>
      <c r="K24" s="2314"/>
      <c r="L24" s="2314"/>
      <c r="M24" s="2314"/>
      <c r="N24" s="2315"/>
      <c r="O24" s="6" t="s">
        <v>294</v>
      </c>
    </row>
    <row r="25" spans="1:15" s="1" customFormat="1" ht="24" customHeight="1" thickBot="1">
      <c r="A25" s="290"/>
      <c r="B25" s="113" t="s">
        <v>111</v>
      </c>
      <c r="C25" s="114" t="s">
        <v>112</v>
      </c>
      <c r="D25" s="114" t="s">
        <v>113</v>
      </c>
      <c r="E25" s="114" t="s">
        <v>114</v>
      </c>
      <c r="F25" s="114" t="s">
        <v>115</v>
      </c>
      <c r="G25" s="114" t="s">
        <v>116</v>
      </c>
      <c r="H25" s="114" t="s">
        <v>117</v>
      </c>
      <c r="I25" s="114" t="s">
        <v>118</v>
      </c>
      <c r="J25" s="114" t="s">
        <v>119</v>
      </c>
      <c r="K25" s="114" t="s">
        <v>120</v>
      </c>
      <c r="L25" s="114" t="s">
        <v>121</v>
      </c>
      <c r="M25" s="114" t="s">
        <v>122</v>
      </c>
      <c r="N25" s="115" t="s">
        <v>13</v>
      </c>
      <c r="O25" s="116" t="s">
        <v>295</v>
      </c>
    </row>
    <row r="26" spans="1:15" s="1" customFormat="1" ht="13.8">
      <c r="A26" s="339" t="s">
        <v>133</v>
      </c>
      <c r="B26" s="103">
        <v>1</v>
      </c>
      <c r="C26" s="104">
        <v>1</v>
      </c>
      <c r="D26" s="104">
        <v>1</v>
      </c>
      <c r="E26" s="104">
        <v>1</v>
      </c>
      <c r="F26" s="104">
        <v>1</v>
      </c>
      <c r="G26" s="104">
        <v>1</v>
      </c>
      <c r="H26" s="104">
        <v>1</v>
      </c>
      <c r="I26" s="104">
        <v>1</v>
      </c>
      <c r="J26" s="104">
        <v>1</v>
      </c>
      <c r="K26" s="104">
        <v>1</v>
      </c>
      <c r="L26" s="104">
        <v>1</v>
      </c>
      <c r="M26" s="105">
        <v>1</v>
      </c>
      <c r="N26" s="106">
        <f>SUM(B26:M26)</f>
        <v>12</v>
      </c>
      <c r="O26" s="229"/>
    </row>
    <row r="27" spans="1:15" s="1" customFormat="1" ht="13.8">
      <c r="A27" s="325" t="s">
        <v>90</v>
      </c>
      <c r="B27" s="100">
        <v>1</v>
      </c>
      <c r="C27" s="97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101">
        <v>1</v>
      </c>
      <c r="N27" s="43">
        <f>SUM(B27:M27)</f>
        <v>12</v>
      </c>
      <c r="O27" s="230"/>
    </row>
    <row r="28" spans="1:15" s="1" customFormat="1" ht="13.8">
      <c r="A28" s="326" t="s">
        <v>91</v>
      </c>
      <c r="B28" s="98">
        <v>1</v>
      </c>
      <c r="C28" s="96">
        <v>1</v>
      </c>
      <c r="D28" s="96">
        <v>1</v>
      </c>
      <c r="E28" s="96">
        <v>1</v>
      </c>
      <c r="F28" s="96">
        <v>1</v>
      </c>
      <c r="G28" s="96">
        <v>1</v>
      </c>
      <c r="H28" s="96">
        <v>1</v>
      </c>
      <c r="I28" s="96">
        <v>1</v>
      </c>
      <c r="J28" s="96">
        <v>1</v>
      </c>
      <c r="K28" s="96">
        <v>1</v>
      </c>
      <c r="L28" s="96">
        <v>1</v>
      </c>
      <c r="M28" s="99">
        <v>1</v>
      </c>
      <c r="N28" s="37">
        <f>SUM(B28:M28)</f>
        <v>12</v>
      </c>
      <c r="O28" s="231"/>
    </row>
    <row r="29" spans="1:15" s="1" customFormat="1" ht="13.8">
      <c r="A29" s="325" t="s">
        <v>92</v>
      </c>
      <c r="B29" s="100">
        <v>1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101">
        <v>1</v>
      </c>
      <c r="N29" s="43">
        <f t="shared" ref="N29:N41" si="1">SUM(B29:M29)</f>
        <v>12</v>
      </c>
      <c r="O29" s="230"/>
    </row>
    <row r="30" spans="1:15" s="1" customFormat="1" ht="13.8">
      <c r="A30" s="326" t="s">
        <v>93</v>
      </c>
      <c r="B30" s="98">
        <v>1</v>
      </c>
      <c r="C30" s="96">
        <v>1</v>
      </c>
      <c r="D30" s="96">
        <v>1</v>
      </c>
      <c r="E30" s="96">
        <v>1</v>
      </c>
      <c r="F30" s="96">
        <v>1</v>
      </c>
      <c r="G30" s="96">
        <v>1</v>
      </c>
      <c r="H30" s="96">
        <v>1</v>
      </c>
      <c r="I30" s="96">
        <v>1</v>
      </c>
      <c r="J30" s="96">
        <v>1</v>
      </c>
      <c r="K30" s="96">
        <v>1</v>
      </c>
      <c r="L30" s="96">
        <v>1</v>
      </c>
      <c r="M30" s="99">
        <v>1</v>
      </c>
      <c r="N30" s="37">
        <f t="shared" si="1"/>
        <v>12</v>
      </c>
      <c r="O30" s="231"/>
    </row>
    <row r="31" spans="1:15" s="1" customFormat="1" ht="13.8">
      <c r="A31" s="325" t="s">
        <v>94</v>
      </c>
      <c r="B31" s="100">
        <v>1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101">
        <v>1</v>
      </c>
      <c r="N31" s="43">
        <f t="shared" si="1"/>
        <v>12</v>
      </c>
      <c r="O31" s="230"/>
    </row>
    <row r="32" spans="1:15" s="1" customFormat="1" ht="13.8">
      <c r="A32" s="326" t="s">
        <v>95</v>
      </c>
      <c r="B32" s="98">
        <v>1</v>
      </c>
      <c r="C32" s="96">
        <v>1</v>
      </c>
      <c r="D32" s="96">
        <v>1</v>
      </c>
      <c r="E32" s="96">
        <v>1</v>
      </c>
      <c r="F32" s="96">
        <v>1</v>
      </c>
      <c r="G32" s="96">
        <v>1</v>
      </c>
      <c r="H32" s="96">
        <v>1</v>
      </c>
      <c r="I32" s="96">
        <v>1</v>
      </c>
      <c r="J32" s="96">
        <v>1</v>
      </c>
      <c r="K32" s="96">
        <v>1</v>
      </c>
      <c r="L32" s="96">
        <v>1</v>
      </c>
      <c r="M32" s="99">
        <v>1</v>
      </c>
      <c r="N32" s="37">
        <f t="shared" si="1"/>
        <v>12</v>
      </c>
      <c r="O32" s="231"/>
    </row>
    <row r="33" spans="1:16" s="1" customFormat="1" ht="13.8">
      <c r="A33" s="325" t="s">
        <v>96</v>
      </c>
      <c r="B33" s="100">
        <v>1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101">
        <v>1</v>
      </c>
      <c r="N33" s="43">
        <f t="shared" si="1"/>
        <v>12</v>
      </c>
      <c r="O33" s="230"/>
    </row>
    <row r="34" spans="1:16" s="1" customFormat="1" ht="13.8">
      <c r="A34" s="326" t="s">
        <v>97</v>
      </c>
      <c r="B34" s="98">
        <v>1</v>
      </c>
      <c r="C34" s="96">
        <v>1</v>
      </c>
      <c r="D34" s="96">
        <v>1</v>
      </c>
      <c r="E34" s="96">
        <v>1</v>
      </c>
      <c r="F34" s="96">
        <v>1</v>
      </c>
      <c r="G34" s="96">
        <v>1</v>
      </c>
      <c r="H34" s="96">
        <v>1</v>
      </c>
      <c r="I34" s="96">
        <v>1</v>
      </c>
      <c r="J34" s="96">
        <v>1</v>
      </c>
      <c r="K34" s="96">
        <v>1</v>
      </c>
      <c r="L34" s="96">
        <v>1</v>
      </c>
      <c r="M34" s="99">
        <v>1</v>
      </c>
      <c r="N34" s="37">
        <f>SUM(B34:M34)</f>
        <v>12</v>
      </c>
      <c r="O34" s="231"/>
    </row>
    <row r="35" spans="1:16" s="1" customFormat="1" ht="13.8">
      <c r="A35" s="325" t="s">
        <v>98</v>
      </c>
      <c r="B35" s="100">
        <v>1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101">
        <v>1</v>
      </c>
      <c r="N35" s="43">
        <f>SUM(B35:M35)</f>
        <v>12</v>
      </c>
      <c r="O35" s="230"/>
    </row>
    <row r="36" spans="1:16" s="1" customFormat="1" ht="13.8">
      <c r="A36" s="326" t="s">
        <v>99</v>
      </c>
      <c r="B36" s="98">
        <v>1</v>
      </c>
      <c r="C36" s="96">
        <v>1</v>
      </c>
      <c r="D36" s="96">
        <v>1</v>
      </c>
      <c r="E36" s="96">
        <v>1</v>
      </c>
      <c r="F36" s="96">
        <v>1</v>
      </c>
      <c r="G36" s="96">
        <v>1</v>
      </c>
      <c r="H36" s="96">
        <v>1</v>
      </c>
      <c r="I36" s="96">
        <v>1</v>
      </c>
      <c r="J36" s="96">
        <v>1</v>
      </c>
      <c r="K36" s="96">
        <v>1</v>
      </c>
      <c r="L36" s="96">
        <v>1</v>
      </c>
      <c r="M36" s="99">
        <v>1</v>
      </c>
      <c r="N36" s="37">
        <f t="shared" si="1"/>
        <v>12</v>
      </c>
      <c r="O36" s="231"/>
    </row>
    <row r="37" spans="1:16" s="1" customFormat="1" ht="13.8">
      <c r="A37" s="325" t="s">
        <v>100</v>
      </c>
      <c r="B37" s="100">
        <v>1</v>
      </c>
      <c r="C37" s="97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101">
        <v>1</v>
      </c>
      <c r="N37" s="43">
        <f t="shared" si="1"/>
        <v>12</v>
      </c>
      <c r="O37" s="230"/>
    </row>
    <row r="38" spans="1:16" s="1" customFormat="1" ht="13.8">
      <c r="A38" s="326" t="s">
        <v>101</v>
      </c>
      <c r="B38" s="98">
        <v>1</v>
      </c>
      <c r="C38" s="96">
        <v>1</v>
      </c>
      <c r="D38" s="96">
        <v>1</v>
      </c>
      <c r="E38" s="96">
        <v>1</v>
      </c>
      <c r="F38" s="96">
        <v>1</v>
      </c>
      <c r="G38" s="96">
        <v>1</v>
      </c>
      <c r="H38" s="96">
        <v>1</v>
      </c>
      <c r="I38" s="96">
        <v>1</v>
      </c>
      <c r="J38" s="96">
        <v>1</v>
      </c>
      <c r="K38" s="96">
        <v>1</v>
      </c>
      <c r="L38" s="96">
        <v>1</v>
      </c>
      <c r="M38" s="99">
        <v>1</v>
      </c>
      <c r="N38" s="37">
        <f t="shared" ref="N38:N39" si="2">SUM(B38:M38)</f>
        <v>12</v>
      </c>
      <c r="O38" s="231"/>
    </row>
    <row r="39" spans="1:16" s="1" customFormat="1" ht="13.8">
      <c r="A39" s="325" t="s">
        <v>102</v>
      </c>
      <c r="B39" s="100">
        <v>1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101">
        <v>1</v>
      </c>
      <c r="N39" s="43">
        <f t="shared" si="2"/>
        <v>12</v>
      </c>
      <c r="O39" s="230"/>
    </row>
    <row r="40" spans="1:16" s="1" customFormat="1" ht="13.8">
      <c r="A40" s="326" t="s">
        <v>103</v>
      </c>
      <c r="B40" s="98">
        <v>1</v>
      </c>
      <c r="C40" s="96">
        <v>1</v>
      </c>
      <c r="D40" s="96">
        <v>1</v>
      </c>
      <c r="E40" s="96">
        <v>1</v>
      </c>
      <c r="F40" s="96">
        <v>1</v>
      </c>
      <c r="G40" s="96">
        <v>1</v>
      </c>
      <c r="H40" s="96">
        <v>1</v>
      </c>
      <c r="I40" s="96">
        <v>1</v>
      </c>
      <c r="J40" s="96">
        <v>1</v>
      </c>
      <c r="K40" s="96">
        <v>1</v>
      </c>
      <c r="L40" s="96">
        <v>1</v>
      </c>
      <c r="M40" s="99">
        <v>1</v>
      </c>
      <c r="N40" s="37">
        <f t="shared" ref="N40" si="3">SUM(B40:M40)</f>
        <v>12</v>
      </c>
      <c r="O40" s="231"/>
    </row>
    <row r="41" spans="1:16" s="1" customFormat="1" thickBot="1">
      <c r="A41" s="351" t="s">
        <v>104</v>
      </c>
      <c r="B41" s="100">
        <v>1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101">
        <v>1</v>
      </c>
      <c r="N41" s="43">
        <f t="shared" si="1"/>
        <v>12</v>
      </c>
      <c r="O41" s="230"/>
    </row>
    <row r="42" spans="1:16" s="2" customFormat="1" ht="28.5" customHeight="1" thickBot="1">
      <c r="A42" s="282" t="s">
        <v>299</v>
      </c>
      <c r="B42" s="283">
        <f>SUM(B26:B41)</f>
        <v>16</v>
      </c>
      <c r="C42" s="284">
        <f>SUM(C26:C41)</f>
        <v>16</v>
      </c>
      <c r="D42" s="284">
        <f t="shared" ref="D42:L42" si="4">SUM(D26:D41)</f>
        <v>16</v>
      </c>
      <c r="E42" s="284">
        <f t="shared" si="4"/>
        <v>16</v>
      </c>
      <c r="F42" s="284">
        <f t="shared" si="4"/>
        <v>16</v>
      </c>
      <c r="G42" s="284">
        <f t="shared" si="4"/>
        <v>16</v>
      </c>
      <c r="H42" s="284">
        <f t="shared" si="4"/>
        <v>16</v>
      </c>
      <c r="I42" s="284">
        <f t="shared" si="4"/>
        <v>16</v>
      </c>
      <c r="J42" s="284">
        <f t="shared" si="4"/>
        <v>16</v>
      </c>
      <c r="K42" s="284">
        <f t="shared" si="4"/>
        <v>16</v>
      </c>
      <c r="L42" s="284">
        <f t="shared" si="4"/>
        <v>16</v>
      </c>
      <c r="M42" s="285">
        <f>SUM(M26:M41)</f>
        <v>16</v>
      </c>
      <c r="N42" s="286">
        <f>SUM(B42:M42)</f>
        <v>192</v>
      </c>
      <c r="O42" s="287"/>
      <c r="P42" s="249"/>
    </row>
    <row r="43" spans="1:16" s="2" customFormat="1" ht="28.5" customHeight="1" thickBot="1">
      <c r="A43" s="288" t="s">
        <v>304</v>
      </c>
      <c r="B43" s="98">
        <v>1</v>
      </c>
      <c r="C43" s="96">
        <v>1</v>
      </c>
      <c r="D43" s="96">
        <v>1</v>
      </c>
      <c r="E43" s="96">
        <v>1</v>
      </c>
      <c r="F43" s="96">
        <v>1</v>
      </c>
      <c r="G43" s="96">
        <v>1</v>
      </c>
      <c r="H43" s="96">
        <v>1</v>
      </c>
      <c r="I43" s="96">
        <v>1</v>
      </c>
      <c r="J43" s="96">
        <v>1</v>
      </c>
      <c r="K43" s="96">
        <v>1</v>
      </c>
      <c r="L43" s="96">
        <v>1</v>
      </c>
      <c r="M43" s="99">
        <v>1</v>
      </c>
      <c r="N43" s="37">
        <f>SUM(B43:M43)</f>
        <v>12</v>
      </c>
      <c r="O43" s="231"/>
      <c r="P43" s="249"/>
    </row>
    <row r="44" spans="1:16" s="2" customFormat="1" ht="28.5" customHeight="1" thickBot="1">
      <c r="A44" s="282" t="s">
        <v>300</v>
      </c>
      <c r="B44" s="283">
        <f>SUM(B42:B43)</f>
        <v>17</v>
      </c>
      <c r="C44" s="284">
        <f t="shared" ref="C44:M44" si="5">SUM(C26:C43)</f>
        <v>33</v>
      </c>
      <c r="D44" s="284">
        <f t="shared" si="5"/>
        <v>33</v>
      </c>
      <c r="E44" s="284">
        <f t="shared" si="5"/>
        <v>33</v>
      </c>
      <c r="F44" s="284">
        <f t="shared" si="5"/>
        <v>33</v>
      </c>
      <c r="G44" s="284">
        <f t="shared" si="5"/>
        <v>33</v>
      </c>
      <c r="H44" s="284">
        <f t="shared" si="5"/>
        <v>33</v>
      </c>
      <c r="I44" s="284">
        <f>SUM(I26:I43)</f>
        <v>33</v>
      </c>
      <c r="J44" s="284">
        <f>SUM(J26:J43)</f>
        <v>33</v>
      </c>
      <c r="K44" s="284">
        <f>SUM(K26:K43)</f>
        <v>33</v>
      </c>
      <c r="L44" s="284">
        <f>SUM(L26:L43)</f>
        <v>33</v>
      </c>
      <c r="M44" s="285">
        <f t="shared" si="5"/>
        <v>33</v>
      </c>
      <c r="N44" s="286">
        <f>SUM(B44:M44)</f>
        <v>380</v>
      </c>
      <c r="O44" s="287"/>
      <c r="P44" s="249"/>
    </row>
  </sheetData>
  <mergeCells count="4">
    <mergeCell ref="B2:N2"/>
    <mergeCell ref="A18:N22"/>
    <mergeCell ref="B11:N11"/>
    <mergeCell ref="B24:N2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O202"/>
  <sheetViews>
    <sheetView zoomScaleNormal="100" workbookViewId="0">
      <selection activeCell="I5" sqref="I5"/>
    </sheetView>
  </sheetViews>
  <sheetFormatPr defaultRowHeight="13.2"/>
  <cols>
    <col min="9" max="9" width="10.44140625" bestFit="1" customWidth="1"/>
    <col min="15" max="15" width="13.6640625" bestFit="1" customWidth="1"/>
  </cols>
  <sheetData>
    <row r="1" spans="1:15">
      <c r="A1" s="1653"/>
      <c r="B1" s="1653"/>
      <c r="C1" s="1633"/>
      <c r="D1" s="1633"/>
      <c r="E1" s="1633"/>
      <c r="F1" s="1633"/>
      <c r="G1" s="1633"/>
      <c r="H1" s="1633"/>
      <c r="I1" s="1633"/>
      <c r="J1" s="1633"/>
      <c r="K1" s="1633"/>
      <c r="L1" s="1633"/>
      <c r="M1" s="1633"/>
      <c r="N1" s="1633"/>
      <c r="O1" s="1645"/>
    </row>
    <row r="2" spans="1:15" ht="13.8" thickBot="1">
      <c r="A2" s="1653"/>
      <c r="B2" s="1653"/>
      <c r="C2" s="1633"/>
      <c r="D2" s="1633"/>
      <c r="E2" s="1633"/>
      <c r="F2" s="1633"/>
      <c r="G2" s="1633"/>
      <c r="H2" s="1633"/>
      <c r="I2" s="1633"/>
      <c r="J2" s="1633"/>
      <c r="K2" s="1633"/>
      <c r="L2" s="1633"/>
      <c r="M2" s="1633"/>
      <c r="N2" s="1633"/>
      <c r="O2" s="1645"/>
    </row>
    <row r="3" spans="1:15">
      <c r="A3" s="1653"/>
      <c r="B3" s="2330" t="s">
        <v>635</v>
      </c>
      <c r="C3" s="2331"/>
      <c r="D3" s="2331"/>
      <c r="E3" s="2331"/>
      <c r="F3" s="2331"/>
      <c r="G3" s="2331"/>
      <c r="H3" s="2331"/>
      <c r="I3" s="2331"/>
      <c r="J3" s="2331"/>
      <c r="K3" s="2331"/>
      <c r="L3" s="2331"/>
      <c r="M3" s="2331"/>
      <c r="N3" s="2331"/>
      <c r="O3" s="2332"/>
    </row>
    <row r="4" spans="1:15">
      <c r="A4" s="1653"/>
      <c r="B4" s="1653"/>
      <c r="C4" s="1633"/>
      <c r="D4" s="1633"/>
      <c r="E4" s="1633"/>
      <c r="F4" s="1633"/>
      <c r="G4" s="1633"/>
      <c r="H4" s="1633"/>
      <c r="I4" s="1633"/>
      <c r="J4" s="1633"/>
      <c r="K4" s="1633"/>
      <c r="L4" s="1633"/>
      <c r="M4" s="1633"/>
      <c r="N4" s="1633"/>
      <c r="O4" s="1645"/>
    </row>
    <row r="5" spans="1:15">
      <c r="A5" s="1653"/>
      <c r="B5" s="1653"/>
      <c r="C5" s="1633"/>
      <c r="D5" s="1633"/>
      <c r="E5" s="1633"/>
      <c r="F5" s="1633"/>
      <c r="G5" s="1633"/>
      <c r="H5" s="1633"/>
      <c r="I5" s="1633"/>
      <c r="J5" s="1633"/>
      <c r="K5" s="1633"/>
      <c r="L5" s="1633" t="s">
        <v>587</v>
      </c>
      <c r="M5" s="1633"/>
      <c r="N5" s="1633"/>
      <c r="O5" s="1645"/>
    </row>
    <row r="6" spans="1:15" ht="13.8" thickBot="1">
      <c r="A6" s="1653"/>
      <c r="B6" s="1653"/>
      <c r="C6" s="1633"/>
      <c r="D6" s="1633"/>
      <c r="E6" s="1633"/>
      <c r="F6" s="1633"/>
      <c r="G6" s="1633"/>
      <c r="H6" s="1633"/>
      <c r="I6" s="1633"/>
      <c r="J6" s="1633"/>
      <c r="K6" s="1633"/>
      <c r="L6" s="1633"/>
      <c r="M6" s="1633"/>
      <c r="N6" s="1633"/>
      <c r="O6" s="1645"/>
    </row>
    <row r="7" spans="1:15" ht="13.8" thickBot="1">
      <c r="A7" s="1653"/>
      <c r="B7" s="2316" t="s">
        <v>494</v>
      </c>
      <c r="C7" s="2318" t="s">
        <v>331</v>
      </c>
      <c r="D7" s="2318"/>
      <c r="E7" s="2318"/>
      <c r="F7" s="2318"/>
      <c r="G7" s="2318"/>
      <c r="H7" s="2318"/>
      <c r="I7" s="2318"/>
      <c r="J7" s="2318"/>
      <c r="K7" s="2318"/>
      <c r="L7" s="2318"/>
      <c r="M7" s="2318"/>
      <c r="N7" s="2318"/>
      <c r="O7" s="2319"/>
    </row>
    <row r="8" spans="1:15" ht="13.8" thickBot="1">
      <c r="A8" s="1653"/>
      <c r="B8" s="2317"/>
      <c r="C8" s="2182" t="s">
        <v>328</v>
      </c>
      <c r="D8" s="2183" t="s">
        <v>2</v>
      </c>
      <c r="E8" s="2183" t="s">
        <v>3</v>
      </c>
      <c r="F8" s="2183" t="s">
        <v>4</v>
      </c>
      <c r="G8" s="2183" t="s">
        <v>5</v>
      </c>
      <c r="H8" s="2183" t="s">
        <v>6</v>
      </c>
      <c r="I8" s="2183" t="s">
        <v>7</v>
      </c>
      <c r="J8" s="2183" t="s">
        <v>8</v>
      </c>
      <c r="K8" s="2183" t="s">
        <v>9</v>
      </c>
      <c r="L8" s="2183" t="s">
        <v>10</v>
      </c>
      <c r="M8" s="2183" t="s">
        <v>11</v>
      </c>
      <c r="N8" s="2184" t="s">
        <v>12</v>
      </c>
      <c r="O8" s="2185" t="s">
        <v>13</v>
      </c>
    </row>
    <row r="9" spans="1:15">
      <c r="A9" s="1653"/>
      <c r="B9" s="2130" t="s">
        <v>159</v>
      </c>
      <c r="C9" s="2186"/>
      <c r="D9" s="2187"/>
      <c r="E9" s="2187"/>
      <c r="F9" s="2187"/>
      <c r="G9" s="2187"/>
      <c r="H9" s="2187"/>
      <c r="I9" s="2187"/>
      <c r="J9" s="2187"/>
      <c r="K9" s="2187"/>
      <c r="L9" s="2187"/>
      <c r="M9" s="2187"/>
      <c r="N9" s="2187"/>
      <c r="O9" s="2188">
        <f>SUM(C9:N9)</f>
        <v>0</v>
      </c>
    </row>
    <row r="10" spans="1:15">
      <c r="A10" s="1653"/>
      <c r="B10" s="2130" t="s">
        <v>90</v>
      </c>
      <c r="C10" s="2189"/>
      <c r="D10" s="2187"/>
      <c r="E10" s="2187"/>
      <c r="F10" s="2187"/>
      <c r="G10" s="2187"/>
      <c r="H10" s="2187"/>
      <c r="I10" s="2187"/>
      <c r="J10" s="2187"/>
      <c r="K10" s="2187"/>
      <c r="L10" s="2187"/>
      <c r="M10" s="2187"/>
      <c r="N10" s="2187"/>
      <c r="O10" s="2139">
        <f t="shared" ref="O10:O22" si="0">SUM(C10:N10)</f>
        <v>0</v>
      </c>
    </row>
    <row r="11" spans="1:15">
      <c r="A11" s="1653"/>
      <c r="B11" s="2130" t="s">
        <v>91</v>
      </c>
      <c r="C11" s="2186"/>
      <c r="D11" s="2187"/>
      <c r="E11" s="2187"/>
      <c r="F11" s="2187"/>
      <c r="G11" s="2187"/>
      <c r="H11" s="2187"/>
      <c r="I11" s="2187"/>
      <c r="J11" s="2187"/>
      <c r="K11" s="2187"/>
      <c r="L11" s="2187"/>
      <c r="M11" s="2187"/>
      <c r="N11" s="2187"/>
      <c r="O11" s="2139">
        <f t="shared" si="0"/>
        <v>0</v>
      </c>
    </row>
    <row r="12" spans="1:15">
      <c r="A12" s="1653"/>
      <c r="B12" s="2130" t="s">
        <v>104</v>
      </c>
      <c r="C12" s="2190"/>
      <c r="D12" s="2134"/>
      <c r="E12" s="2134"/>
      <c r="F12" s="2134"/>
      <c r="G12" s="2134"/>
      <c r="H12" s="2134"/>
      <c r="I12" s="2134"/>
      <c r="J12" s="2134"/>
      <c r="K12" s="2134"/>
      <c r="L12" s="2134"/>
      <c r="M12" s="2134"/>
      <c r="N12" s="2143"/>
      <c r="O12" s="2139">
        <f t="shared" si="0"/>
        <v>0</v>
      </c>
    </row>
    <row r="13" spans="1:15">
      <c r="A13" s="1653"/>
      <c r="B13" s="2130" t="s">
        <v>101</v>
      </c>
      <c r="C13" s="2186"/>
      <c r="D13" s="2187"/>
      <c r="E13" s="2187"/>
      <c r="F13" s="2187"/>
      <c r="G13" s="2187"/>
      <c r="H13" s="2187"/>
      <c r="I13" s="2187"/>
      <c r="J13" s="2187"/>
      <c r="K13" s="2187"/>
      <c r="L13" s="2187"/>
      <c r="M13" s="2187"/>
      <c r="N13" s="2187"/>
      <c r="O13" s="2139">
        <f t="shared" si="0"/>
        <v>0</v>
      </c>
    </row>
    <row r="14" spans="1:15">
      <c r="A14" s="1653"/>
      <c r="B14" s="2130" t="s">
        <v>486</v>
      </c>
      <c r="C14" s="2190"/>
      <c r="D14" s="2134"/>
      <c r="E14" s="2134"/>
      <c r="F14" s="2134"/>
      <c r="G14" s="2134"/>
      <c r="H14" s="2134"/>
      <c r="I14" s="2134"/>
      <c r="J14" s="2134"/>
      <c r="K14" s="2134"/>
      <c r="L14" s="2134"/>
      <c r="M14" s="2134"/>
      <c r="N14" s="2143"/>
      <c r="O14" s="2139">
        <f t="shared" si="0"/>
        <v>0</v>
      </c>
    </row>
    <row r="15" spans="1:15">
      <c r="A15" s="1653"/>
      <c r="B15" s="2130" t="s">
        <v>96</v>
      </c>
      <c r="C15" s="2186"/>
      <c r="D15" s="2187"/>
      <c r="E15" s="2187"/>
      <c r="F15" s="2187"/>
      <c r="G15" s="2187"/>
      <c r="H15" s="2187"/>
      <c r="I15" s="2187"/>
      <c r="J15" s="2187"/>
      <c r="K15" s="2187"/>
      <c r="L15" s="2187"/>
      <c r="M15" s="2187"/>
      <c r="N15" s="2187"/>
      <c r="O15" s="2139">
        <f t="shared" si="0"/>
        <v>0</v>
      </c>
    </row>
    <row r="16" spans="1:15">
      <c r="A16" s="1653"/>
      <c r="B16" s="2130" t="s">
        <v>585</v>
      </c>
      <c r="C16" s="2190"/>
      <c r="D16" s="2134"/>
      <c r="E16" s="2134"/>
      <c r="F16" s="2134"/>
      <c r="G16" s="2134"/>
      <c r="H16" s="2134"/>
      <c r="I16" s="2134"/>
      <c r="J16" s="2134"/>
      <c r="K16" s="2134"/>
      <c r="L16" s="2134"/>
      <c r="M16" s="2134"/>
      <c r="N16" s="2143"/>
      <c r="O16" s="2139">
        <f t="shared" si="0"/>
        <v>0</v>
      </c>
    </row>
    <row r="17" spans="1:15">
      <c r="A17" s="1653"/>
      <c r="B17" s="2130" t="s">
        <v>561</v>
      </c>
      <c r="C17" s="2190"/>
      <c r="D17" s="2134"/>
      <c r="E17" s="2134"/>
      <c r="F17" s="2134"/>
      <c r="G17" s="2134"/>
      <c r="H17" s="2134"/>
      <c r="I17" s="2134"/>
      <c r="J17" s="2134"/>
      <c r="K17" s="2134"/>
      <c r="L17" s="2134"/>
      <c r="M17" s="2134"/>
      <c r="N17" s="2143"/>
      <c r="O17" s="2139">
        <f t="shared" si="0"/>
        <v>0</v>
      </c>
    </row>
    <row r="18" spans="1:15">
      <c r="A18" s="1653"/>
      <c r="B18" s="2131" t="s">
        <v>586</v>
      </c>
      <c r="C18" s="2190"/>
      <c r="D18" s="2134"/>
      <c r="E18" s="2134"/>
      <c r="F18" s="2134"/>
      <c r="G18" s="2134"/>
      <c r="H18" s="2134"/>
      <c r="I18" s="2134"/>
      <c r="J18" s="2134"/>
      <c r="K18" s="2134"/>
      <c r="L18" s="2134"/>
      <c r="M18" s="2134"/>
      <c r="N18" s="2143"/>
      <c r="O18" s="2139">
        <f t="shared" si="0"/>
        <v>0</v>
      </c>
    </row>
    <row r="19" spans="1:15">
      <c r="A19" s="1653"/>
      <c r="B19" s="2130" t="s">
        <v>100</v>
      </c>
      <c r="C19" s="2186"/>
      <c r="D19" s="2187"/>
      <c r="E19" s="2187"/>
      <c r="F19" s="2187"/>
      <c r="G19" s="2187"/>
      <c r="H19" s="2187"/>
      <c r="I19" s="2187"/>
      <c r="J19" s="2187"/>
      <c r="K19" s="2187"/>
      <c r="L19" s="2187"/>
      <c r="M19" s="2187"/>
      <c r="N19" s="2187"/>
      <c r="O19" s="2139">
        <f t="shared" si="0"/>
        <v>0</v>
      </c>
    </row>
    <row r="20" spans="1:15">
      <c r="A20" s="1653"/>
      <c r="B20" s="2130" t="s">
        <v>102</v>
      </c>
      <c r="C20" s="2186"/>
      <c r="D20" s="2187"/>
      <c r="E20" s="2187"/>
      <c r="F20" s="2187"/>
      <c r="G20" s="2187"/>
      <c r="H20" s="2187"/>
      <c r="I20" s="2187"/>
      <c r="J20" s="2187"/>
      <c r="K20" s="2187"/>
      <c r="L20" s="2187"/>
      <c r="M20" s="2187"/>
      <c r="N20" s="2187"/>
      <c r="O20" s="2139">
        <f t="shared" si="0"/>
        <v>0</v>
      </c>
    </row>
    <row r="21" spans="1:15">
      <c r="A21" s="1653"/>
      <c r="B21" s="2130" t="s">
        <v>559</v>
      </c>
      <c r="C21" s="2186"/>
      <c r="D21" s="2187"/>
      <c r="E21" s="2187"/>
      <c r="F21" s="2187"/>
      <c r="G21" s="2187"/>
      <c r="H21" s="2187"/>
      <c r="I21" s="2187"/>
      <c r="J21" s="2187"/>
      <c r="K21" s="2187"/>
      <c r="L21" s="2187"/>
      <c r="M21" s="2187"/>
      <c r="N21" s="2187"/>
      <c r="O21" s="2139">
        <f t="shared" si="0"/>
        <v>0</v>
      </c>
    </row>
    <row r="22" spans="1:15" ht="13.8" thickBot="1">
      <c r="A22" s="1653"/>
      <c r="B22" s="2132" t="s">
        <v>488</v>
      </c>
      <c r="C22" s="2191"/>
      <c r="D22" s="2192"/>
      <c r="E22" s="2192"/>
      <c r="F22" s="2192"/>
      <c r="G22" s="2192"/>
      <c r="H22" s="2192"/>
      <c r="I22" s="2192"/>
      <c r="J22" s="2192"/>
      <c r="K22" s="2192"/>
      <c r="L22" s="2192"/>
      <c r="M22" s="2192"/>
      <c r="N22" s="2192"/>
      <c r="O22" s="2193">
        <f t="shared" si="0"/>
        <v>0</v>
      </c>
    </row>
    <row r="23" spans="1:15" ht="13.8" thickBot="1">
      <c r="A23" s="1653"/>
      <c r="B23" s="1653"/>
      <c r="C23" s="2194">
        <f t="shared" ref="C23:O23" si="1">SUM(C9:C22)</f>
        <v>0</v>
      </c>
      <c r="D23" s="2195">
        <f t="shared" si="1"/>
        <v>0</v>
      </c>
      <c r="E23" s="2195">
        <f t="shared" si="1"/>
        <v>0</v>
      </c>
      <c r="F23" s="2195">
        <f t="shared" si="1"/>
        <v>0</v>
      </c>
      <c r="G23" s="2195">
        <f t="shared" si="1"/>
        <v>0</v>
      </c>
      <c r="H23" s="2195">
        <f t="shared" si="1"/>
        <v>0</v>
      </c>
      <c r="I23" s="2195">
        <f t="shared" si="1"/>
        <v>0</v>
      </c>
      <c r="J23" s="2195">
        <f t="shared" si="1"/>
        <v>0</v>
      </c>
      <c r="K23" s="2195">
        <f t="shared" si="1"/>
        <v>0</v>
      </c>
      <c r="L23" s="2195">
        <f t="shared" si="1"/>
        <v>0</v>
      </c>
      <c r="M23" s="2195">
        <f t="shared" si="1"/>
        <v>0</v>
      </c>
      <c r="N23" s="2196">
        <f t="shared" si="1"/>
        <v>0</v>
      </c>
      <c r="O23" s="2197">
        <f t="shared" si="1"/>
        <v>0</v>
      </c>
    </row>
    <row r="24" spans="1:15" ht="13.8" thickBot="1">
      <c r="A24" s="1653"/>
      <c r="B24" s="1653"/>
      <c r="C24" s="1633"/>
      <c r="D24" s="1633"/>
      <c r="E24" s="1633"/>
      <c r="F24" s="1633"/>
      <c r="G24" s="1633"/>
      <c r="H24" s="1633"/>
      <c r="I24" s="1633"/>
      <c r="J24" s="1633"/>
      <c r="K24" s="1633"/>
      <c r="L24" s="1633"/>
      <c r="M24" s="1633"/>
      <c r="N24" s="1633"/>
      <c r="O24" s="1645"/>
    </row>
    <row r="25" spans="1:15" ht="13.8" thickBot="1">
      <c r="A25" s="1653"/>
      <c r="B25" s="2323" t="s">
        <v>494</v>
      </c>
      <c r="C25" s="2333" t="s">
        <v>332</v>
      </c>
      <c r="D25" s="2318"/>
      <c r="E25" s="2318"/>
      <c r="F25" s="2318"/>
      <c r="G25" s="2318"/>
      <c r="H25" s="2318"/>
      <c r="I25" s="2318"/>
      <c r="J25" s="2318"/>
      <c r="K25" s="2318"/>
      <c r="L25" s="2318"/>
      <c r="M25" s="2318"/>
      <c r="N25" s="2318"/>
      <c r="O25" s="2319"/>
    </row>
    <row r="26" spans="1:15">
      <c r="A26" s="1653"/>
      <c r="B26" s="2324"/>
      <c r="C26" s="2198" t="s">
        <v>328</v>
      </c>
      <c r="D26" s="1951" t="s">
        <v>2</v>
      </c>
      <c r="E26" s="1951" t="s">
        <v>3</v>
      </c>
      <c r="F26" s="1951" t="s">
        <v>4</v>
      </c>
      <c r="G26" s="1951" t="s">
        <v>5</v>
      </c>
      <c r="H26" s="1951" t="s">
        <v>6</v>
      </c>
      <c r="I26" s="1951" t="s">
        <v>7</v>
      </c>
      <c r="J26" s="1951" t="s">
        <v>8</v>
      </c>
      <c r="K26" s="1951" t="s">
        <v>9</v>
      </c>
      <c r="L26" s="1951" t="s">
        <v>10</v>
      </c>
      <c r="M26" s="1951" t="s">
        <v>11</v>
      </c>
      <c r="N26" s="1951" t="s">
        <v>12</v>
      </c>
      <c r="O26" s="2148"/>
    </row>
    <row r="27" spans="1:15">
      <c r="A27" s="1653"/>
      <c r="B27" s="2130" t="s">
        <v>159</v>
      </c>
      <c r="C27" s="2186"/>
      <c r="D27" s="2187"/>
      <c r="E27" s="2187"/>
      <c r="F27" s="2187"/>
      <c r="G27" s="2187"/>
      <c r="H27" s="2187"/>
      <c r="I27" s="2187"/>
      <c r="J27" s="2187"/>
      <c r="K27" s="2187"/>
      <c r="L27" s="2187"/>
      <c r="M27" s="2187"/>
      <c r="N27" s="2187"/>
      <c r="O27" s="2136">
        <f>SUM(C27:N27)</f>
        <v>0</v>
      </c>
    </row>
    <row r="28" spans="1:15">
      <c r="A28" s="1653"/>
      <c r="B28" s="2130" t="s">
        <v>90</v>
      </c>
      <c r="C28" s="2189"/>
      <c r="D28" s="2187"/>
      <c r="E28" s="2187"/>
      <c r="F28" s="2187"/>
      <c r="G28" s="2187"/>
      <c r="H28" s="2187"/>
      <c r="I28" s="2187"/>
      <c r="J28" s="2187"/>
      <c r="K28" s="2187"/>
      <c r="L28" s="2187"/>
      <c r="M28" s="2187"/>
      <c r="N28" s="2187"/>
      <c r="O28" s="2136">
        <f t="shared" ref="O28:O40" si="2">SUM(C28:N28)</f>
        <v>0</v>
      </c>
    </row>
    <row r="29" spans="1:15">
      <c r="A29" s="1653"/>
      <c r="B29" s="2130" t="s">
        <v>91</v>
      </c>
      <c r="C29" s="2186"/>
      <c r="D29" s="2187"/>
      <c r="E29" s="2187"/>
      <c r="F29" s="2187"/>
      <c r="G29" s="2187"/>
      <c r="H29" s="2187"/>
      <c r="I29" s="2187"/>
      <c r="J29" s="2187"/>
      <c r="K29" s="2187"/>
      <c r="L29" s="2187"/>
      <c r="M29" s="2187"/>
      <c r="N29" s="2187"/>
      <c r="O29" s="2136">
        <f t="shared" si="2"/>
        <v>0</v>
      </c>
    </row>
    <row r="30" spans="1:15">
      <c r="A30" s="1653"/>
      <c r="B30" s="2130" t="s">
        <v>104</v>
      </c>
      <c r="C30" s="2186"/>
      <c r="D30" s="2187"/>
      <c r="E30" s="2187"/>
      <c r="F30" s="2187"/>
      <c r="G30" s="2187"/>
      <c r="H30" s="2187"/>
      <c r="I30" s="2187"/>
      <c r="J30" s="2187"/>
      <c r="K30" s="2187"/>
      <c r="L30" s="2187"/>
      <c r="M30" s="2187"/>
      <c r="N30" s="2187"/>
      <c r="O30" s="2136">
        <f t="shared" si="2"/>
        <v>0</v>
      </c>
    </row>
    <row r="31" spans="1:15">
      <c r="A31" s="1653"/>
      <c r="B31" s="2130" t="s">
        <v>101</v>
      </c>
      <c r="C31" s="2186"/>
      <c r="D31" s="2187"/>
      <c r="E31" s="2187"/>
      <c r="F31" s="2187"/>
      <c r="G31" s="2187"/>
      <c r="H31" s="2187"/>
      <c r="I31" s="2187"/>
      <c r="J31" s="2187"/>
      <c r="K31" s="2187"/>
      <c r="L31" s="2187"/>
      <c r="M31" s="2187"/>
      <c r="N31" s="2187"/>
      <c r="O31" s="2136">
        <f t="shared" si="2"/>
        <v>0</v>
      </c>
    </row>
    <row r="32" spans="1:15">
      <c r="A32" s="1653"/>
      <c r="B32" s="2130" t="s">
        <v>486</v>
      </c>
      <c r="C32" s="2190"/>
      <c r="D32" s="2134"/>
      <c r="E32" s="2134"/>
      <c r="F32" s="2134"/>
      <c r="G32" s="2134"/>
      <c r="H32" s="2134"/>
      <c r="I32" s="2134"/>
      <c r="J32" s="2134"/>
      <c r="K32" s="2134"/>
      <c r="L32" s="2134"/>
      <c r="M32" s="2134"/>
      <c r="N32" s="2134"/>
      <c r="O32" s="2136">
        <f t="shared" si="2"/>
        <v>0</v>
      </c>
    </row>
    <row r="33" spans="1:15">
      <c r="A33" s="1653"/>
      <c r="B33" s="2130" t="s">
        <v>96</v>
      </c>
      <c r="C33" s="2186"/>
      <c r="D33" s="2187"/>
      <c r="E33" s="2187"/>
      <c r="F33" s="2187"/>
      <c r="G33" s="2187"/>
      <c r="H33" s="2187"/>
      <c r="I33" s="2187"/>
      <c r="J33" s="2187"/>
      <c r="K33" s="2187"/>
      <c r="L33" s="2187"/>
      <c r="M33" s="2187"/>
      <c r="N33" s="2187"/>
      <c r="O33" s="2136">
        <f t="shared" si="2"/>
        <v>0</v>
      </c>
    </row>
    <row r="34" spans="1:15">
      <c r="A34" s="1653"/>
      <c r="B34" s="2130" t="s">
        <v>585</v>
      </c>
      <c r="C34" s="2186"/>
      <c r="D34" s="2187"/>
      <c r="E34" s="2187"/>
      <c r="F34" s="2187"/>
      <c r="G34" s="2187"/>
      <c r="H34" s="2187"/>
      <c r="I34" s="2187"/>
      <c r="J34" s="2187"/>
      <c r="K34" s="2187"/>
      <c r="L34" s="2187"/>
      <c r="M34" s="2187"/>
      <c r="N34" s="2187"/>
      <c r="O34" s="2136">
        <f t="shared" si="2"/>
        <v>0</v>
      </c>
    </row>
    <row r="35" spans="1:15">
      <c r="A35" s="1653"/>
      <c r="B35" s="2130" t="s">
        <v>561</v>
      </c>
      <c r="C35" s="2190"/>
      <c r="D35" s="2134"/>
      <c r="E35" s="2134"/>
      <c r="F35" s="2134"/>
      <c r="G35" s="2134"/>
      <c r="H35" s="2134"/>
      <c r="I35" s="2134"/>
      <c r="J35" s="2134"/>
      <c r="K35" s="2134"/>
      <c r="L35" s="2134"/>
      <c r="M35" s="2134"/>
      <c r="N35" s="2134"/>
      <c r="O35" s="2136">
        <f t="shared" si="2"/>
        <v>0</v>
      </c>
    </row>
    <row r="36" spans="1:15">
      <c r="A36" s="1653"/>
      <c r="B36" s="2131" t="s">
        <v>586</v>
      </c>
      <c r="C36" s="2190"/>
      <c r="D36" s="2134"/>
      <c r="E36" s="2134"/>
      <c r="F36" s="2134"/>
      <c r="G36" s="2134"/>
      <c r="H36" s="2134"/>
      <c r="I36" s="2134"/>
      <c r="J36" s="2134"/>
      <c r="K36" s="2134"/>
      <c r="L36" s="2134"/>
      <c r="M36" s="2134"/>
      <c r="N36" s="2134"/>
      <c r="O36" s="2136">
        <f t="shared" si="2"/>
        <v>0</v>
      </c>
    </row>
    <row r="37" spans="1:15">
      <c r="A37" s="1653"/>
      <c r="B37" s="2130" t="s">
        <v>100</v>
      </c>
      <c r="C37" s="2186"/>
      <c r="D37" s="2187"/>
      <c r="E37" s="2187"/>
      <c r="F37" s="2187"/>
      <c r="G37" s="2187"/>
      <c r="H37" s="2187"/>
      <c r="I37" s="2187"/>
      <c r="J37" s="2187"/>
      <c r="K37" s="2187"/>
      <c r="L37" s="2187"/>
      <c r="M37" s="2187"/>
      <c r="N37" s="2187"/>
      <c r="O37" s="2136">
        <f t="shared" si="2"/>
        <v>0</v>
      </c>
    </row>
    <row r="38" spans="1:15">
      <c r="A38" s="1653"/>
      <c r="B38" s="2130" t="s">
        <v>102</v>
      </c>
      <c r="C38" s="2186"/>
      <c r="D38" s="2187"/>
      <c r="E38" s="2187"/>
      <c r="F38" s="2187"/>
      <c r="G38" s="2187"/>
      <c r="H38" s="2187"/>
      <c r="I38" s="2187"/>
      <c r="J38" s="2187"/>
      <c r="K38" s="2187"/>
      <c r="L38" s="2187"/>
      <c r="M38" s="2187"/>
      <c r="N38" s="2187"/>
      <c r="O38" s="2136">
        <f t="shared" si="2"/>
        <v>0</v>
      </c>
    </row>
    <row r="39" spans="1:15">
      <c r="A39" s="1653"/>
      <c r="B39" s="2130" t="s">
        <v>559</v>
      </c>
      <c r="C39" s="2186"/>
      <c r="D39" s="2187"/>
      <c r="E39" s="2187"/>
      <c r="F39" s="2187"/>
      <c r="G39" s="2187"/>
      <c r="H39" s="2187"/>
      <c r="I39" s="2187"/>
      <c r="J39" s="2187"/>
      <c r="K39" s="2187"/>
      <c r="L39" s="2187"/>
      <c r="M39" s="2187"/>
      <c r="N39" s="2187"/>
      <c r="O39" s="2136">
        <f t="shared" si="2"/>
        <v>0</v>
      </c>
    </row>
    <row r="40" spans="1:15" ht="13.8" thickBot="1">
      <c r="A40" s="1653"/>
      <c r="B40" s="2132" t="s">
        <v>488</v>
      </c>
      <c r="C40" s="2191"/>
      <c r="D40" s="2192"/>
      <c r="E40" s="2192"/>
      <c r="F40" s="2192"/>
      <c r="G40" s="2192"/>
      <c r="H40" s="2192"/>
      <c r="I40" s="2192"/>
      <c r="J40" s="2192"/>
      <c r="K40" s="2192"/>
      <c r="L40" s="2192"/>
      <c r="M40" s="2192"/>
      <c r="N40" s="2192"/>
      <c r="O40" s="2137">
        <f t="shared" si="2"/>
        <v>0</v>
      </c>
    </row>
    <row r="41" spans="1:15" ht="13.8" thickBot="1">
      <c r="A41" s="1653"/>
      <c r="B41" s="1653"/>
      <c r="C41" s="2194">
        <f t="shared" ref="C41:O41" si="3">SUM(C27:C40)</f>
        <v>0</v>
      </c>
      <c r="D41" s="2195">
        <f t="shared" si="3"/>
        <v>0</v>
      </c>
      <c r="E41" s="2195">
        <f t="shared" si="3"/>
        <v>0</v>
      </c>
      <c r="F41" s="2195">
        <f t="shared" si="3"/>
        <v>0</v>
      </c>
      <c r="G41" s="2195">
        <f t="shared" si="3"/>
        <v>0</v>
      </c>
      <c r="H41" s="2195">
        <f t="shared" si="3"/>
        <v>0</v>
      </c>
      <c r="I41" s="2195">
        <f t="shared" si="3"/>
        <v>0</v>
      </c>
      <c r="J41" s="2195">
        <f t="shared" si="3"/>
        <v>0</v>
      </c>
      <c r="K41" s="2195">
        <f t="shared" si="3"/>
        <v>0</v>
      </c>
      <c r="L41" s="2195">
        <f t="shared" si="3"/>
        <v>0</v>
      </c>
      <c r="M41" s="2195">
        <f t="shared" si="3"/>
        <v>0</v>
      </c>
      <c r="N41" s="2199">
        <f t="shared" si="3"/>
        <v>0</v>
      </c>
      <c r="O41" s="2197">
        <f t="shared" si="3"/>
        <v>0</v>
      </c>
    </row>
    <row r="42" spans="1:15" ht="13.8" hidden="1" thickBot="1">
      <c r="A42" s="1653"/>
      <c r="B42" s="1653"/>
      <c r="C42" s="1636"/>
      <c r="D42" s="1636"/>
      <c r="E42" s="1636"/>
      <c r="F42" s="1636"/>
      <c r="G42" s="1636"/>
      <c r="H42" s="1636"/>
      <c r="I42" s="1636"/>
      <c r="J42" s="1636"/>
      <c r="K42" s="1636"/>
      <c r="L42" s="1636"/>
      <c r="M42" s="1636"/>
      <c r="N42" s="1636"/>
      <c r="O42" s="1636"/>
    </row>
    <row r="43" spans="1:15" ht="13.8" hidden="1" thickBot="1">
      <c r="A43" s="2330" t="s">
        <v>577</v>
      </c>
      <c r="B43" s="2331"/>
      <c r="C43" s="2331"/>
      <c r="D43" s="2331"/>
      <c r="E43" s="2331"/>
      <c r="F43" s="2331"/>
      <c r="G43" s="2331"/>
      <c r="H43" s="2331"/>
      <c r="I43" s="2331"/>
      <c r="J43" s="2331"/>
      <c r="K43" s="2331"/>
      <c r="L43" s="2331"/>
      <c r="M43" s="2331"/>
      <c r="N43" s="2332"/>
      <c r="O43" s="1646"/>
    </row>
    <row r="44" spans="1:15" hidden="1">
      <c r="A44" s="1656"/>
      <c r="B44" s="2325" t="s">
        <v>494</v>
      </c>
      <c r="C44" s="2327"/>
      <c r="D44" s="2328"/>
      <c r="E44" s="2328"/>
      <c r="F44" s="2328"/>
      <c r="G44" s="2328"/>
      <c r="H44" s="2328"/>
      <c r="I44" s="2328"/>
      <c r="J44" s="2328"/>
      <c r="K44" s="2328"/>
      <c r="L44" s="2328"/>
      <c r="M44" s="2328"/>
      <c r="N44" s="2329"/>
      <c r="O44" s="1646"/>
    </row>
    <row r="45" spans="1:15" hidden="1">
      <c r="A45" s="1656"/>
      <c r="B45" s="2326"/>
      <c r="C45" s="2160" t="s">
        <v>328</v>
      </c>
      <c r="D45" s="1638" t="s">
        <v>2</v>
      </c>
      <c r="E45" s="1638" t="s">
        <v>3</v>
      </c>
      <c r="F45" s="1638" t="s">
        <v>4</v>
      </c>
      <c r="G45" s="1638" t="s">
        <v>5</v>
      </c>
      <c r="H45" s="1638" t="s">
        <v>6</v>
      </c>
      <c r="I45" s="1638" t="s">
        <v>7</v>
      </c>
      <c r="J45" s="1638" t="s">
        <v>8</v>
      </c>
      <c r="K45" s="1638" t="s">
        <v>9</v>
      </c>
      <c r="L45" s="1638" t="s">
        <v>10</v>
      </c>
      <c r="M45" s="1638" t="s">
        <v>11</v>
      </c>
      <c r="N45" s="1639" t="s">
        <v>12</v>
      </c>
      <c r="O45" s="1647" t="s">
        <v>37</v>
      </c>
    </row>
    <row r="46" spans="1:15" hidden="1">
      <c r="A46" s="1656"/>
      <c r="B46" s="1657" t="s">
        <v>159</v>
      </c>
      <c r="C46" s="2161"/>
      <c r="D46" s="2100"/>
      <c r="E46" s="2100"/>
      <c r="F46" s="2100"/>
      <c r="G46" s="2100"/>
      <c r="H46" s="2100"/>
      <c r="I46" s="2100"/>
      <c r="J46" s="2100"/>
      <c r="K46" s="2100"/>
      <c r="L46" s="2100"/>
      <c r="M46" s="2100"/>
      <c r="N46" s="2101"/>
      <c r="O46" s="1648">
        <f>SUM(C46:N46)</f>
        <v>0</v>
      </c>
    </row>
    <row r="47" spans="1:15" hidden="1">
      <c r="A47" s="1656"/>
      <c r="B47" s="1657" t="s">
        <v>90</v>
      </c>
      <c r="C47" s="2161"/>
      <c r="D47" s="2100"/>
      <c r="E47" s="2100"/>
      <c r="F47" s="2100"/>
      <c r="G47" s="2100"/>
      <c r="H47" s="2100"/>
      <c r="I47" s="2100"/>
      <c r="J47" s="2100"/>
      <c r="K47" s="2100"/>
      <c r="L47" s="2100"/>
      <c r="M47" s="2100"/>
      <c r="N47" s="2101"/>
      <c r="O47" s="1648">
        <f t="shared" ref="O47:O59" si="4">SUM(C47:N47)</f>
        <v>0</v>
      </c>
    </row>
    <row r="48" spans="1:15" hidden="1">
      <c r="A48" s="1656"/>
      <c r="B48" s="1657" t="s">
        <v>91</v>
      </c>
      <c r="C48" s="2161"/>
      <c r="D48" s="2100"/>
      <c r="E48" s="2100"/>
      <c r="F48" s="2100"/>
      <c r="G48" s="2100"/>
      <c r="H48" s="2100"/>
      <c r="I48" s="2100"/>
      <c r="J48" s="2100"/>
      <c r="K48" s="2100"/>
      <c r="L48" s="2100"/>
      <c r="M48" s="2100"/>
      <c r="N48" s="2101"/>
      <c r="O48" s="1648">
        <f t="shared" si="4"/>
        <v>0</v>
      </c>
    </row>
    <row r="49" spans="1:15" hidden="1">
      <c r="A49" s="1656"/>
      <c r="B49" s="1657" t="s">
        <v>104</v>
      </c>
      <c r="C49" s="2161"/>
      <c r="D49" s="2100"/>
      <c r="E49" s="2100"/>
      <c r="F49" s="2100"/>
      <c r="G49" s="2100"/>
      <c r="H49" s="2100"/>
      <c r="I49" s="2100"/>
      <c r="J49" s="2100"/>
      <c r="K49" s="2100"/>
      <c r="L49" s="2100"/>
      <c r="M49" s="2100"/>
      <c r="N49" s="2101"/>
      <c r="O49" s="1648">
        <f t="shared" si="4"/>
        <v>0</v>
      </c>
    </row>
    <row r="50" spans="1:15" hidden="1">
      <c r="A50" s="1656"/>
      <c r="B50" s="1657" t="s">
        <v>101</v>
      </c>
      <c r="C50" s="2161"/>
      <c r="D50" s="2100"/>
      <c r="E50" s="2100"/>
      <c r="F50" s="2100"/>
      <c r="G50" s="2100"/>
      <c r="H50" s="2100"/>
      <c r="I50" s="2100"/>
      <c r="J50" s="2100"/>
      <c r="K50" s="2100"/>
      <c r="L50" s="2100"/>
      <c r="M50" s="2100"/>
      <c r="N50" s="2101"/>
      <c r="O50" s="1648">
        <f t="shared" si="4"/>
        <v>0</v>
      </c>
    </row>
    <row r="51" spans="1:15" hidden="1">
      <c r="A51" s="1656"/>
      <c r="B51" s="1657" t="s">
        <v>486</v>
      </c>
      <c r="C51" s="2161"/>
      <c r="D51" s="2100"/>
      <c r="E51" s="2100"/>
      <c r="F51" s="2100"/>
      <c r="G51" s="2100"/>
      <c r="H51" s="2100"/>
      <c r="I51" s="2100"/>
      <c r="J51" s="2100"/>
      <c r="K51" s="2100"/>
      <c r="L51" s="2100"/>
      <c r="M51" s="2100"/>
      <c r="N51" s="2101"/>
      <c r="O51" s="1648">
        <f t="shared" si="4"/>
        <v>0</v>
      </c>
    </row>
    <row r="52" spans="1:15" hidden="1">
      <c r="A52" s="1656"/>
      <c r="B52" s="1657" t="s">
        <v>96</v>
      </c>
      <c r="C52" s="2161"/>
      <c r="D52" s="2100"/>
      <c r="E52" s="2100"/>
      <c r="F52" s="2100"/>
      <c r="G52" s="2100"/>
      <c r="H52" s="2100"/>
      <c r="I52" s="2100"/>
      <c r="J52" s="2100"/>
      <c r="K52" s="2100"/>
      <c r="L52" s="2100"/>
      <c r="M52" s="2100"/>
      <c r="N52" s="2101"/>
      <c r="O52" s="1648">
        <f t="shared" si="4"/>
        <v>0</v>
      </c>
    </row>
    <row r="53" spans="1:15" hidden="1">
      <c r="A53" s="1656"/>
      <c r="B53" s="1657" t="s">
        <v>585</v>
      </c>
      <c r="C53" s="2161"/>
      <c r="D53" s="2100"/>
      <c r="E53" s="2100"/>
      <c r="F53" s="2100"/>
      <c r="G53" s="2100"/>
      <c r="H53" s="2100"/>
      <c r="I53" s="2100"/>
      <c r="J53" s="2100"/>
      <c r="K53" s="2100"/>
      <c r="L53" s="2100"/>
      <c r="M53" s="2100"/>
      <c r="N53" s="2101"/>
      <c r="O53" s="1648">
        <f t="shared" si="4"/>
        <v>0</v>
      </c>
    </row>
    <row r="54" spans="1:15" hidden="1">
      <c r="A54" s="1656"/>
      <c r="B54" s="1657" t="s">
        <v>561</v>
      </c>
      <c r="C54" s="2161"/>
      <c r="D54" s="2100"/>
      <c r="E54" s="2100"/>
      <c r="F54" s="2100"/>
      <c r="G54" s="2100"/>
      <c r="H54" s="2100"/>
      <c r="I54" s="2100"/>
      <c r="J54" s="2100"/>
      <c r="K54" s="2100"/>
      <c r="L54" s="2100"/>
      <c r="M54" s="2100"/>
      <c r="N54" s="2101"/>
      <c r="O54" s="1648">
        <f t="shared" si="4"/>
        <v>0</v>
      </c>
    </row>
    <row r="55" spans="1:15" hidden="1">
      <c r="A55" s="1656"/>
      <c r="B55" s="2159" t="s">
        <v>586</v>
      </c>
      <c r="C55" s="2161"/>
      <c r="D55" s="2100"/>
      <c r="E55" s="2100"/>
      <c r="F55" s="2100"/>
      <c r="G55" s="2100"/>
      <c r="H55" s="2100"/>
      <c r="I55" s="2100"/>
      <c r="J55" s="2100"/>
      <c r="K55" s="2100"/>
      <c r="L55" s="2100"/>
      <c r="M55" s="2100"/>
      <c r="N55" s="2101"/>
      <c r="O55" s="1648">
        <f t="shared" si="4"/>
        <v>0</v>
      </c>
    </row>
    <row r="56" spans="1:15" hidden="1">
      <c r="A56" s="1656"/>
      <c r="B56" s="1657" t="s">
        <v>100</v>
      </c>
      <c r="C56" s="2161"/>
      <c r="D56" s="2100"/>
      <c r="E56" s="2100"/>
      <c r="F56" s="2100"/>
      <c r="G56" s="2100"/>
      <c r="H56" s="2100"/>
      <c r="I56" s="2100"/>
      <c r="J56" s="2100"/>
      <c r="K56" s="2100"/>
      <c r="L56" s="2100"/>
      <c r="M56" s="2100"/>
      <c r="N56" s="2101"/>
      <c r="O56" s="1648">
        <f t="shared" si="4"/>
        <v>0</v>
      </c>
    </row>
    <row r="57" spans="1:15" hidden="1">
      <c r="A57" s="1656"/>
      <c r="B57" s="1657" t="s">
        <v>102</v>
      </c>
      <c r="C57" s="2161"/>
      <c r="D57" s="2100"/>
      <c r="E57" s="2100"/>
      <c r="F57" s="2100"/>
      <c r="G57" s="2100"/>
      <c r="H57" s="2100"/>
      <c r="I57" s="2100"/>
      <c r="J57" s="2100"/>
      <c r="K57" s="2100"/>
      <c r="L57" s="2100"/>
      <c r="M57" s="2100"/>
      <c r="N57" s="2101"/>
      <c r="O57" s="1648">
        <f t="shared" si="4"/>
        <v>0</v>
      </c>
    </row>
    <row r="58" spans="1:15" ht="13.8" hidden="1" thickBot="1">
      <c r="A58" s="1656"/>
      <c r="B58" s="1678" t="s">
        <v>559</v>
      </c>
      <c r="C58" s="2162"/>
      <c r="D58" s="2102"/>
      <c r="E58" s="2102"/>
      <c r="F58" s="2102"/>
      <c r="G58" s="2102"/>
      <c r="H58" s="2102"/>
      <c r="I58" s="2102"/>
      <c r="J58" s="2102"/>
      <c r="K58" s="2102"/>
      <c r="L58" s="2102"/>
      <c r="M58" s="2102"/>
      <c r="N58" s="2103"/>
      <c r="O58" s="1648">
        <f t="shared" si="4"/>
        <v>0</v>
      </c>
    </row>
    <row r="59" spans="1:15" ht="13.8" hidden="1" thickBot="1">
      <c r="A59" s="1656"/>
      <c r="B59" s="1678" t="s">
        <v>488</v>
      </c>
      <c r="C59" s="2157"/>
      <c r="D59" s="2157"/>
      <c r="E59" s="2157"/>
      <c r="F59" s="2157"/>
      <c r="G59" s="2157"/>
      <c r="H59" s="2157"/>
      <c r="I59" s="2157"/>
      <c r="J59" s="2157"/>
      <c r="K59" s="2157"/>
      <c r="L59" s="2157"/>
      <c r="M59" s="2157"/>
      <c r="N59" s="2158"/>
      <c r="O59" s="1648">
        <f t="shared" si="4"/>
        <v>0</v>
      </c>
    </row>
    <row r="60" spans="1:15" hidden="1">
      <c r="A60" s="1656"/>
      <c r="B60" s="1656"/>
      <c r="C60" s="1640">
        <f t="shared" ref="C60:N60" si="5">SUM(C46:C59)</f>
        <v>0</v>
      </c>
      <c r="D60" s="1640">
        <f t="shared" si="5"/>
        <v>0</v>
      </c>
      <c r="E60" s="1640">
        <f t="shared" si="5"/>
        <v>0</v>
      </c>
      <c r="F60" s="1640">
        <f t="shared" si="5"/>
        <v>0</v>
      </c>
      <c r="G60" s="1640">
        <f t="shared" si="5"/>
        <v>0</v>
      </c>
      <c r="H60" s="1640">
        <f t="shared" si="5"/>
        <v>0</v>
      </c>
      <c r="I60" s="1640">
        <f t="shared" si="5"/>
        <v>0</v>
      </c>
      <c r="J60" s="1640">
        <f t="shared" si="5"/>
        <v>0</v>
      </c>
      <c r="K60" s="1640">
        <f t="shared" si="5"/>
        <v>0</v>
      </c>
      <c r="L60" s="1640">
        <f t="shared" si="5"/>
        <v>0</v>
      </c>
      <c r="M60" s="1640">
        <f t="shared" si="5"/>
        <v>0</v>
      </c>
      <c r="N60" s="1640">
        <f t="shared" si="5"/>
        <v>0</v>
      </c>
      <c r="O60" s="1640">
        <f>SUM(O46:O59)</f>
        <v>0</v>
      </c>
    </row>
    <row r="61" spans="1:15">
      <c r="A61" s="1653"/>
      <c r="B61" s="1653"/>
      <c r="C61" s="1633"/>
      <c r="D61" s="1633"/>
      <c r="E61" s="1633"/>
      <c r="F61" s="1633"/>
      <c r="G61" s="1633"/>
      <c r="H61" s="1633"/>
      <c r="I61" s="1633"/>
      <c r="J61" s="1633"/>
      <c r="K61" s="1633"/>
      <c r="L61" s="1633"/>
      <c r="M61" s="1633"/>
      <c r="N61" s="1633"/>
      <c r="O61" s="1645"/>
    </row>
    <row r="62" spans="1:15">
      <c r="A62" s="1653"/>
      <c r="B62" s="1653"/>
      <c r="C62" s="1633"/>
      <c r="D62" s="1633"/>
      <c r="E62" s="1633"/>
      <c r="F62" s="1633"/>
      <c r="G62" s="1633"/>
      <c r="H62" s="1633"/>
      <c r="I62" s="1633"/>
      <c r="J62" s="1633"/>
      <c r="K62" s="1633"/>
      <c r="L62" s="1633"/>
      <c r="M62" s="1633"/>
      <c r="N62" s="1633"/>
      <c r="O62" s="1645"/>
    </row>
    <row r="63" spans="1:15" ht="13.8" thickBot="1">
      <c r="A63" s="1653"/>
      <c r="B63" s="1653"/>
      <c r="C63" s="1633"/>
      <c r="D63" s="1633"/>
      <c r="E63" s="1633"/>
      <c r="F63" s="1633"/>
      <c r="G63" s="1633"/>
      <c r="H63" s="1633"/>
      <c r="I63" s="1633"/>
      <c r="J63" s="1633"/>
      <c r="K63" s="1633"/>
      <c r="L63" s="1633"/>
      <c r="M63" s="1633"/>
      <c r="N63" s="1633"/>
      <c r="O63" s="1645"/>
    </row>
    <row r="64" spans="1:15" ht="13.8" thickBot="1">
      <c r="A64" s="1653"/>
      <c r="B64" s="2316" t="s">
        <v>494</v>
      </c>
      <c r="C64" s="2322" t="s">
        <v>436</v>
      </c>
      <c r="D64" s="2322"/>
      <c r="E64" s="2322"/>
      <c r="F64" s="2322"/>
      <c r="G64" s="2322"/>
      <c r="H64" s="2322"/>
      <c r="I64" s="2322"/>
      <c r="J64" s="2322"/>
      <c r="K64" s="2322"/>
      <c r="L64" s="2322"/>
      <c r="M64" s="2322"/>
      <c r="N64" s="1677" t="s">
        <v>437</v>
      </c>
      <c r="O64" s="1649" t="s">
        <v>438</v>
      </c>
    </row>
    <row r="65" spans="1:15">
      <c r="A65" s="1653"/>
      <c r="B65" s="2317"/>
      <c r="C65" s="2200" t="s">
        <v>328</v>
      </c>
      <c r="D65" s="1634" t="s">
        <v>2</v>
      </c>
      <c r="E65" s="1634" t="s">
        <v>3</v>
      </c>
      <c r="F65" s="1634" t="s">
        <v>4</v>
      </c>
      <c r="G65" s="1634" t="s">
        <v>5</v>
      </c>
      <c r="H65" s="1634" t="s">
        <v>6</v>
      </c>
      <c r="I65" s="1634" t="s">
        <v>7</v>
      </c>
      <c r="J65" s="1634" t="s">
        <v>8</v>
      </c>
      <c r="K65" s="1634" t="s">
        <v>9</v>
      </c>
      <c r="L65" s="1634" t="s">
        <v>10</v>
      </c>
      <c r="M65" s="1634" t="s">
        <v>11</v>
      </c>
      <c r="N65" s="1635" t="s">
        <v>12</v>
      </c>
      <c r="O65" s="1650"/>
    </row>
    <row r="66" spans="1:15">
      <c r="A66" s="1653"/>
      <c r="B66" s="2130" t="s">
        <v>159</v>
      </c>
      <c r="C66" s="2201"/>
      <c r="D66" s="2202"/>
      <c r="E66" s="2202"/>
      <c r="F66" s="2202"/>
      <c r="G66" s="2202"/>
      <c r="H66" s="2202"/>
      <c r="I66" s="2202"/>
      <c r="J66" s="2202"/>
      <c r="K66" s="2202"/>
      <c r="L66" s="2202"/>
      <c r="M66" s="2202"/>
      <c r="N66" s="2203"/>
      <c r="O66" s="1651">
        <f>SUM(C66:N66)</f>
        <v>0</v>
      </c>
    </row>
    <row r="67" spans="1:15">
      <c r="A67" s="1653"/>
      <c r="B67" s="2130" t="s">
        <v>90</v>
      </c>
      <c r="C67" s="2202"/>
      <c r="D67" s="2202"/>
      <c r="E67" s="2202"/>
      <c r="F67" s="2202"/>
      <c r="G67" s="2202"/>
      <c r="H67" s="2202"/>
      <c r="I67" s="2202"/>
      <c r="J67" s="2202"/>
      <c r="K67" s="2202"/>
      <c r="L67" s="2202"/>
      <c r="M67" s="2202"/>
      <c r="N67" s="2202"/>
      <c r="O67" s="1651">
        <f t="shared" ref="O67:O78" si="6">SUM(C67:N67)</f>
        <v>0</v>
      </c>
    </row>
    <row r="68" spans="1:15">
      <c r="A68" s="1653"/>
      <c r="B68" s="2130" t="s">
        <v>91</v>
      </c>
      <c r="C68" s="2201"/>
      <c r="D68" s="2202"/>
      <c r="E68" s="2202"/>
      <c r="F68" s="2202"/>
      <c r="G68" s="2202"/>
      <c r="H68" s="2202"/>
      <c r="I68" s="2202"/>
      <c r="J68" s="2202"/>
      <c r="K68" s="2202"/>
      <c r="L68" s="2202"/>
      <c r="M68" s="2202"/>
      <c r="N68" s="2203"/>
      <c r="O68" s="1651">
        <f t="shared" si="6"/>
        <v>0</v>
      </c>
    </row>
    <row r="69" spans="1:15">
      <c r="A69" s="1653"/>
      <c r="B69" s="2130" t="s">
        <v>104</v>
      </c>
      <c r="C69" s="2201"/>
      <c r="D69" s="2202"/>
      <c r="E69" s="2202"/>
      <c r="F69" s="2202"/>
      <c r="G69" s="2202"/>
      <c r="H69" s="2202"/>
      <c r="I69" s="2202"/>
      <c r="J69" s="2202"/>
      <c r="K69" s="2202"/>
      <c r="L69" s="2202"/>
      <c r="M69" s="2202"/>
      <c r="N69" s="2203"/>
      <c r="O69" s="1651">
        <f t="shared" si="6"/>
        <v>0</v>
      </c>
    </row>
    <row r="70" spans="1:15">
      <c r="A70" s="1653"/>
      <c r="B70" s="2130" t="s">
        <v>101</v>
      </c>
      <c r="C70" s="2201"/>
      <c r="D70" s="2202"/>
      <c r="E70" s="2202"/>
      <c r="F70" s="2202"/>
      <c r="G70" s="2202"/>
      <c r="H70" s="2202"/>
      <c r="I70" s="2202"/>
      <c r="J70" s="2202"/>
      <c r="K70" s="2202"/>
      <c r="L70" s="2202"/>
      <c r="M70" s="2202"/>
      <c r="N70" s="2203"/>
      <c r="O70" s="1651">
        <f t="shared" si="6"/>
        <v>0</v>
      </c>
    </row>
    <row r="71" spans="1:15">
      <c r="A71" s="1653"/>
      <c r="B71" s="2130" t="s">
        <v>486</v>
      </c>
      <c r="C71" s="2204"/>
      <c r="D71" s="1637"/>
      <c r="E71" s="1637"/>
      <c r="F71" s="1637"/>
      <c r="G71" s="1637"/>
      <c r="H71" s="1637"/>
      <c r="I71" s="1637"/>
      <c r="J71" s="1637"/>
      <c r="K71" s="1637"/>
      <c r="L71" s="1637"/>
      <c r="M71" s="1637"/>
      <c r="N71" s="1637"/>
      <c r="O71" s="1651">
        <f t="shared" si="6"/>
        <v>0</v>
      </c>
    </row>
    <row r="72" spans="1:15">
      <c r="A72" s="1653"/>
      <c r="B72" s="2130" t="s">
        <v>96</v>
      </c>
      <c r="C72" s="2201"/>
      <c r="D72" s="2202"/>
      <c r="E72" s="2202"/>
      <c r="F72" s="2202"/>
      <c r="G72" s="2202"/>
      <c r="H72" s="2202"/>
      <c r="I72" s="2202"/>
      <c r="J72" s="2202"/>
      <c r="K72" s="2202"/>
      <c r="L72" s="2202"/>
      <c r="M72" s="2202"/>
      <c r="N72" s="2203"/>
      <c r="O72" s="1651">
        <f t="shared" si="6"/>
        <v>0</v>
      </c>
    </row>
    <row r="73" spans="1:15">
      <c r="A73" s="1653"/>
      <c r="B73" s="2130" t="s">
        <v>585</v>
      </c>
      <c r="C73" s="2201"/>
      <c r="D73" s="2202"/>
      <c r="E73" s="2202"/>
      <c r="F73" s="2202"/>
      <c r="G73" s="2202"/>
      <c r="H73" s="2202"/>
      <c r="I73" s="2202"/>
      <c r="J73" s="2202"/>
      <c r="K73" s="2202"/>
      <c r="L73" s="2202"/>
      <c r="M73" s="2202"/>
      <c r="N73" s="2203"/>
      <c r="O73" s="1651">
        <f t="shared" si="6"/>
        <v>0</v>
      </c>
    </row>
    <row r="74" spans="1:15">
      <c r="A74" s="1653"/>
      <c r="B74" s="2130" t="s">
        <v>561</v>
      </c>
      <c r="C74" s="2204"/>
      <c r="D74" s="1637"/>
      <c r="E74" s="1637"/>
      <c r="F74" s="1637"/>
      <c r="G74" s="1637"/>
      <c r="H74" s="1637"/>
      <c r="I74" s="1637"/>
      <c r="J74" s="1637"/>
      <c r="K74" s="1637"/>
      <c r="L74" s="1637"/>
      <c r="M74" s="1637"/>
      <c r="N74" s="1637"/>
      <c r="O74" s="1651">
        <f t="shared" si="6"/>
        <v>0</v>
      </c>
    </row>
    <row r="75" spans="1:15">
      <c r="A75" s="1653"/>
      <c r="B75" s="2131" t="s">
        <v>586</v>
      </c>
      <c r="C75" s="2204"/>
      <c r="D75" s="1637"/>
      <c r="E75" s="1637"/>
      <c r="F75" s="1637"/>
      <c r="G75" s="1637"/>
      <c r="H75" s="1637"/>
      <c r="I75" s="1637"/>
      <c r="J75" s="1637"/>
      <c r="K75" s="1637"/>
      <c r="L75" s="1637"/>
      <c r="M75" s="1637"/>
      <c r="N75" s="2099"/>
      <c r="O75" s="1651">
        <f t="shared" si="6"/>
        <v>0</v>
      </c>
    </row>
    <row r="76" spans="1:15">
      <c r="A76" s="1653"/>
      <c r="B76" s="2130" t="s">
        <v>100</v>
      </c>
      <c r="C76" s="2201"/>
      <c r="D76" s="2202"/>
      <c r="E76" s="2202"/>
      <c r="F76" s="2202"/>
      <c r="G76" s="2202"/>
      <c r="H76" s="2202"/>
      <c r="I76" s="2202"/>
      <c r="J76" s="2202"/>
      <c r="K76" s="2202"/>
      <c r="L76" s="2202"/>
      <c r="M76" s="2202"/>
      <c r="N76" s="2203"/>
      <c r="O76" s="1651">
        <f t="shared" si="6"/>
        <v>0</v>
      </c>
    </row>
    <row r="77" spans="1:15">
      <c r="A77" s="1653"/>
      <c r="B77" s="2130" t="s">
        <v>102</v>
      </c>
      <c r="C77" s="2205"/>
      <c r="D77" s="2206"/>
      <c r="E77" s="2206"/>
      <c r="F77" s="2206"/>
      <c r="G77" s="2206"/>
      <c r="H77" s="2206"/>
      <c r="I77" s="2206"/>
      <c r="J77" s="2206"/>
      <c r="K77" s="2206"/>
      <c r="L77" s="2206"/>
      <c r="M77" s="2206"/>
      <c r="N77" s="2207"/>
      <c r="O77" s="1651">
        <f t="shared" si="6"/>
        <v>0</v>
      </c>
    </row>
    <row r="78" spans="1:15">
      <c r="A78" s="1653"/>
      <c r="B78" s="2130" t="s">
        <v>559</v>
      </c>
      <c r="C78" s="2201"/>
      <c r="D78" s="2202"/>
      <c r="E78" s="2202"/>
      <c r="F78" s="2202"/>
      <c r="G78" s="2202"/>
      <c r="H78" s="2202"/>
      <c r="I78" s="2202"/>
      <c r="J78" s="2202"/>
      <c r="K78" s="2202"/>
      <c r="L78" s="2202"/>
      <c r="M78" s="2202"/>
      <c r="N78" s="2203"/>
      <c r="O78" s="1651">
        <f t="shared" si="6"/>
        <v>0</v>
      </c>
    </row>
    <row r="79" spans="1:15" ht="13.8" thickBot="1">
      <c r="A79" s="1653"/>
      <c r="B79" s="2132" t="s">
        <v>488</v>
      </c>
      <c r="C79" s="2208"/>
      <c r="D79" s="2209"/>
      <c r="E79" s="2209"/>
      <c r="F79" s="2209"/>
      <c r="G79" s="2209"/>
      <c r="H79" s="2209"/>
      <c r="I79" s="2209"/>
      <c r="J79" s="2209"/>
      <c r="K79" s="2209"/>
      <c r="L79" s="2209"/>
      <c r="M79" s="2209"/>
      <c r="N79" s="2210"/>
      <c r="O79" s="1651">
        <f>SUM(C79:N79)</f>
        <v>0</v>
      </c>
    </row>
    <row r="80" spans="1:15" ht="13.8" thickBot="1">
      <c r="A80" s="1653"/>
      <c r="B80" s="1653"/>
      <c r="C80" s="1642">
        <f t="shared" ref="C80:O80" si="7">SUM(C66:C79)</f>
        <v>0</v>
      </c>
      <c r="D80" s="1643">
        <f t="shared" si="7"/>
        <v>0</v>
      </c>
      <c r="E80" s="1643">
        <f t="shared" si="7"/>
        <v>0</v>
      </c>
      <c r="F80" s="1643">
        <f t="shared" si="7"/>
        <v>0</v>
      </c>
      <c r="G80" s="1643">
        <f t="shared" si="7"/>
        <v>0</v>
      </c>
      <c r="H80" s="1643">
        <f t="shared" si="7"/>
        <v>0</v>
      </c>
      <c r="I80" s="1643">
        <f t="shared" si="7"/>
        <v>0</v>
      </c>
      <c r="J80" s="1643">
        <f t="shared" si="7"/>
        <v>0</v>
      </c>
      <c r="K80" s="1643">
        <f t="shared" si="7"/>
        <v>0</v>
      </c>
      <c r="L80" s="1643">
        <f t="shared" si="7"/>
        <v>0</v>
      </c>
      <c r="M80" s="1643">
        <f t="shared" si="7"/>
        <v>0</v>
      </c>
      <c r="N80" s="2211">
        <f t="shared" si="7"/>
        <v>0</v>
      </c>
      <c r="O80" s="1652">
        <f t="shared" si="7"/>
        <v>0</v>
      </c>
    </row>
    <row r="81" spans="1:15">
      <c r="A81" s="1653"/>
      <c r="B81" s="1653"/>
      <c r="C81" s="1633"/>
      <c r="D81" s="1633"/>
      <c r="E81" s="1633"/>
      <c r="F81" s="1633"/>
      <c r="G81" s="1633"/>
      <c r="H81" s="1633"/>
      <c r="I81" s="1633"/>
      <c r="J81" s="1633"/>
      <c r="K81" s="1633"/>
      <c r="L81" s="1633"/>
      <c r="M81" s="1633"/>
      <c r="N81" s="1633"/>
      <c r="O81" s="1645"/>
    </row>
    <row r="82" spans="1:15">
      <c r="A82" s="1653"/>
      <c r="B82" s="1653"/>
      <c r="C82" s="1633"/>
      <c r="D82" s="1633"/>
      <c r="E82" s="1633"/>
      <c r="F82" s="1633"/>
      <c r="G82" s="1633"/>
      <c r="H82" s="1633"/>
      <c r="I82" s="1633"/>
      <c r="J82" s="1633"/>
      <c r="K82" s="1633"/>
      <c r="L82" s="1633"/>
      <c r="M82" s="1633"/>
      <c r="N82" s="1633"/>
      <c r="O82" s="1645"/>
    </row>
    <row r="83" spans="1:15" ht="13.8" thickBot="1">
      <c r="A83" s="1653"/>
      <c r="B83" s="1653"/>
      <c r="C83" s="1633"/>
      <c r="D83" s="1633"/>
      <c r="E83" s="1633"/>
      <c r="F83" s="1633"/>
      <c r="G83" s="1633"/>
      <c r="H83" s="1633"/>
      <c r="I83" s="1633"/>
      <c r="J83" s="1633"/>
      <c r="K83" s="1633"/>
      <c r="L83" s="1633"/>
      <c r="M83" s="1633"/>
      <c r="N83" s="1633"/>
      <c r="O83" s="1645"/>
    </row>
    <row r="84" spans="1:15" ht="13.8" thickBot="1">
      <c r="A84" s="1653"/>
      <c r="B84" s="2316" t="s">
        <v>494</v>
      </c>
      <c r="C84" s="2322" t="s">
        <v>493</v>
      </c>
      <c r="D84" s="2322"/>
      <c r="E84" s="2322"/>
      <c r="F84" s="2322"/>
      <c r="G84" s="2322"/>
      <c r="H84" s="2322"/>
      <c r="I84" s="2322"/>
      <c r="J84" s="2322"/>
      <c r="K84" s="2322"/>
      <c r="L84" s="2322"/>
      <c r="M84" s="2322"/>
      <c r="N84" s="1677" t="s">
        <v>437</v>
      </c>
      <c r="O84" s="1649" t="s">
        <v>475</v>
      </c>
    </row>
    <row r="85" spans="1:15">
      <c r="A85" s="1653"/>
      <c r="B85" s="2317"/>
      <c r="C85" s="2200" t="s">
        <v>328</v>
      </c>
      <c r="D85" s="1634" t="s">
        <v>2</v>
      </c>
      <c r="E85" s="1634" t="s">
        <v>3</v>
      </c>
      <c r="F85" s="1634" t="s">
        <v>4</v>
      </c>
      <c r="G85" s="1634" t="s">
        <v>5</v>
      </c>
      <c r="H85" s="1634" t="s">
        <v>6</v>
      </c>
      <c r="I85" s="1634" t="s">
        <v>7</v>
      </c>
      <c r="J85" s="1634" t="s">
        <v>8</v>
      </c>
      <c r="K85" s="1634" t="s">
        <v>9</v>
      </c>
      <c r="L85" s="1634" t="s">
        <v>10</v>
      </c>
      <c r="M85" s="1634" t="s">
        <v>11</v>
      </c>
      <c r="N85" s="1641" t="s">
        <v>12</v>
      </c>
      <c r="O85" s="1650"/>
    </row>
    <row r="86" spans="1:15">
      <c r="A86" s="1653"/>
      <c r="B86" s="2130" t="s">
        <v>159</v>
      </c>
      <c r="C86" s="2201"/>
      <c r="D86" s="2202"/>
      <c r="E86" s="2202"/>
      <c r="F86" s="2202"/>
      <c r="G86" s="2202"/>
      <c r="H86" s="2202"/>
      <c r="I86" s="2202"/>
      <c r="J86" s="2202"/>
      <c r="K86" s="2202"/>
      <c r="L86" s="2202"/>
      <c r="M86" s="2202"/>
      <c r="N86" s="2202"/>
      <c r="O86" s="1651">
        <f>SUM(C86:N86)</f>
        <v>0</v>
      </c>
    </row>
    <row r="87" spans="1:15">
      <c r="A87" s="1653"/>
      <c r="B87" s="2130" t="s">
        <v>90</v>
      </c>
      <c r="C87" s="2202"/>
      <c r="D87" s="2202"/>
      <c r="E87" s="2202"/>
      <c r="F87" s="2202"/>
      <c r="G87" s="2202"/>
      <c r="H87" s="2202"/>
      <c r="I87" s="2202"/>
      <c r="J87" s="2202"/>
      <c r="K87" s="2202"/>
      <c r="L87" s="2202"/>
      <c r="M87" s="2202"/>
      <c r="N87" s="2202"/>
      <c r="O87" s="1651">
        <f t="shared" ref="O87:O99" si="8">SUM(C87:N87)</f>
        <v>0</v>
      </c>
    </row>
    <row r="88" spans="1:15">
      <c r="A88" s="1653"/>
      <c r="B88" s="2130" t="s">
        <v>91</v>
      </c>
      <c r="C88" s="2201"/>
      <c r="D88" s="2202"/>
      <c r="E88" s="2202"/>
      <c r="F88" s="2202"/>
      <c r="G88" s="2202"/>
      <c r="H88" s="2202"/>
      <c r="I88" s="2202"/>
      <c r="J88" s="2202"/>
      <c r="K88" s="2202"/>
      <c r="L88" s="2202"/>
      <c r="M88" s="2202"/>
      <c r="N88" s="2202"/>
      <c r="O88" s="1651">
        <f t="shared" si="8"/>
        <v>0</v>
      </c>
    </row>
    <row r="89" spans="1:15">
      <c r="A89" s="1653"/>
      <c r="B89" s="2130" t="s">
        <v>104</v>
      </c>
      <c r="C89" s="2201"/>
      <c r="D89" s="2202"/>
      <c r="E89" s="2202"/>
      <c r="F89" s="2202"/>
      <c r="G89" s="2202"/>
      <c r="H89" s="2202"/>
      <c r="I89" s="2202"/>
      <c r="J89" s="2202"/>
      <c r="K89" s="2202"/>
      <c r="L89" s="2202"/>
      <c r="M89" s="2202"/>
      <c r="N89" s="2202"/>
      <c r="O89" s="1651">
        <f t="shared" si="8"/>
        <v>0</v>
      </c>
    </row>
    <row r="90" spans="1:15">
      <c r="A90" s="1653"/>
      <c r="B90" s="2130" t="s">
        <v>101</v>
      </c>
      <c r="C90" s="2201"/>
      <c r="D90" s="2202"/>
      <c r="E90" s="2202"/>
      <c r="F90" s="2202"/>
      <c r="G90" s="2202"/>
      <c r="H90" s="2202"/>
      <c r="I90" s="2202"/>
      <c r="J90" s="2202"/>
      <c r="K90" s="2202"/>
      <c r="L90" s="2202"/>
      <c r="M90" s="2202"/>
      <c r="N90" s="2202"/>
      <c r="O90" s="1651">
        <f t="shared" si="8"/>
        <v>0</v>
      </c>
    </row>
    <row r="91" spans="1:15">
      <c r="A91" s="1653"/>
      <c r="B91" s="2130" t="s">
        <v>486</v>
      </c>
      <c r="C91" s="2204"/>
      <c r="D91" s="1637"/>
      <c r="E91" s="1637"/>
      <c r="F91" s="1637"/>
      <c r="G91" s="1637"/>
      <c r="H91" s="1637"/>
      <c r="I91" s="1637"/>
      <c r="J91" s="1637"/>
      <c r="K91" s="1637"/>
      <c r="L91" s="1637"/>
      <c r="M91" s="1637"/>
      <c r="N91" s="1637"/>
      <c r="O91" s="1651">
        <f t="shared" si="8"/>
        <v>0</v>
      </c>
    </row>
    <row r="92" spans="1:15">
      <c r="A92" s="1653"/>
      <c r="B92" s="2130" t="s">
        <v>96</v>
      </c>
      <c r="C92" s="2201"/>
      <c r="D92" s="2202"/>
      <c r="E92" s="2202"/>
      <c r="F92" s="2202"/>
      <c r="G92" s="2202"/>
      <c r="H92" s="2202"/>
      <c r="I92" s="2202"/>
      <c r="J92" s="2202"/>
      <c r="K92" s="2202"/>
      <c r="L92" s="2202"/>
      <c r="M92" s="2202"/>
      <c r="N92" s="2202"/>
      <c r="O92" s="1651">
        <f t="shared" si="8"/>
        <v>0</v>
      </c>
    </row>
    <row r="93" spans="1:15">
      <c r="A93" s="1653"/>
      <c r="B93" s="2130" t="s">
        <v>585</v>
      </c>
      <c r="C93" s="2201"/>
      <c r="D93" s="2202"/>
      <c r="E93" s="2202"/>
      <c r="F93" s="2202"/>
      <c r="G93" s="2202"/>
      <c r="H93" s="2202"/>
      <c r="I93" s="2202"/>
      <c r="J93" s="2202"/>
      <c r="K93" s="2202"/>
      <c r="L93" s="2202"/>
      <c r="M93" s="2202"/>
      <c r="N93" s="2202"/>
      <c r="O93" s="1651">
        <f t="shared" si="8"/>
        <v>0</v>
      </c>
    </row>
    <row r="94" spans="1:15">
      <c r="A94" s="1653"/>
      <c r="B94" s="2130" t="s">
        <v>561</v>
      </c>
      <c r="C94" s="2204"/>
      <c r="D94" s="1637"/>
      <c r="E94" s="1637"/>
      <c r="F94" s="1637"/>
      <c r="G94" s="1637"/>
      <c r="H94" s="1637"/>
      <c r="I94" s="1637"/>
      <c r="J94" s="1637"/>
      <c r="K94" s="1637"/>
      <c r="L94" s="1637"/>
      <c r="M94" s="1637"/>
      <c r="N94" s="1637"/>
      <c r="O94" s="1651">
        <f t="shared" si="8"/>
        <v>0</v>
      </c>
    </row>
    <row r="95" spans="1:15">
      <c r="A95" s="1653"/>
      <c r="B95" s="2131" t="s">
        <v>586</v>
      </c>
      <c r="C95" s="2204"/>
      <c r="D95" s="1637"/>
      <c r="E95" s="1637"/>
      <c r="F95" s="1637"/>
      <c r="G95" s="1637"/>
      <c r="H95" s="1637"/>
      <c r="I95" s="1637"/>
      <c r="J95" s="1637"/>
      <c r="K95" s="1637"/>
      <c r="L95" s="1637"/>
      <c r="M95" s="1637"/>
      <c r="N95" s="1637"/>
      <c r="O95" s="1651">
        <f t="shared" si="8"/>
        <v>0</v>
      </c>
    </row>
    <row r="96" spans="1:15">
      <c r="A96" s="1653"/>
      <c r="B96" s="2130" t="s">
        <v>100</v>
      </c>
      <c r="C96" s="2201"/>
      <c r="D96" s="2202"/>
      <c r="E96" s="2202"/>
      <c r="F96" s="2202"/>
      <c r="G96" s="2202"/>
      <c r="H96" s="2202"/>
      <c r="I96" s="2202"/>
      <c r="J96" s="2202"/>
      <c r="K96" s="2202"/>
      <c r="L96" s="2202"/>
      <c r="M96" s="2202"/>
      <c r="N96" s="2202"/>
      <c r="O96" s="1651">
        <f t="shared" si="8"/>
        <v>0</v>
      </c>
    </row>
    <row r="97" spans="1:15">
      <c r="A97" s="1653"/>
      <c r="B97" s="2130" t="s">
        <v>102</v>
      </c>
      <c r="C97" s="2205"/>
      <c r="D97" s="2206"/>
      <c r="E97" s="2206"/>
      <c r="F97" s="2206"/>
      <c r="G97" s="2206"/>
      <c r="H97" s="2206"/>
      <c r="I97" s="2206"/>
      <c r="J97" s="2206"/>
      <c r="K97" s="2206"/>
      <c r="L97" s="2206"/>
      <c r="M97" s="2206"/>
      <c r="N97" s="2206"/>
      <c r="O97" s="1651">
        <f t="shared" si="8"/>
        <v>0</v>
      </c>
    </row>
    <row r="98" spans="1:15">
      <c r="A98" s="1653"/>
      <c r="B98" s="2130" t="s">
        <v>559</v>
      </c>
      <c r="C98" s="2201"/>
      <c r="D98" s="2202"/>
      <c r="E98" s="2202"/>
      <c r="F98" s="2202"/>
      <c r="G98" s="2202"/>
      <c r="H98" s="2202"/>
      <c r="I98" s="2202"/>
      <c r="J98" s="2202"/>
      <c r="K98" s="2202"/>
      <c r="L98" s="2202"/>
      <c r="M98" s="2202"/>
      <c r="N98" s="2202"/>
      <c r="O98" s="1651">
        <f t="shared" si="8"/>
        <v>0</v>
      </c>
    </row>
    <row r="99" spans="1:15" ht="13.8" thickBot="1">
      <c r="A99" s="1653"/>
      <c r="B99" s="2132" t="s">
        <v>488</v>
      </c>
      <c r="C99" s="2201"/>
      <c r="D99" s="2202"/>
      <c r="E99" s="2202"/>
      <c r="F99" s="2202"/>
      <c r="G99" s="2202"/>
      <c r="H99" s="2202"/>
      <c r="I99" s="2202"/>
      <c r="J99" s="2202"/>
      <c r="K99" s="2202"/>
      <c r="L99" s="2202"/>
      <c r="M99" s="2202"/>
      <c r="N99" s="2202"/>
      <c r="O99" s="1651">
        <f t="shared" si="8"/>
        <v>0</v>
      </c>
    </row>
    <row r="100" spans="1:15" ht="13.8" thickBot="1">
      <c r="A100" s="1653"/>
      <c r="B100" s="1653"/>
      <c r="C100" s="1642">
        <f t="shared" ref="C100:O100" si="9">SUM(C86:C99)</f>
        <v>0</v>
      </c>
      <c r="D100" s="1643">
        <f t="shared" si="9"/>
        <v>0</v>
      </c>
      <c r="E100" s="1643">
        <f t="shared" si="9"/>
        <v>0</v>
      </c>
      <c r="F100" s="1643">
        <f t="shared" si="9"/>
        <v>0</v>
      </c>
      <c r="G100" s="1643">
        <f t="shared" si="9"/>
        <v>0</v>
      </c>
      <c r="H100" s="1643">
        <f t="shared" si="9"/>
        <v>0</v>
      </c>
      <c r="I100" s="1643">
        <f t="shared" si="9"/>
        <v>0</v>
      </c>
      <c r="J100" s="1643">
        <f t="shared" si="9"/>
        <v>0</v>
      </c>
      <c r="K100" s="1643">
        <f t="shared" si="9"/>
        <v>0</v>
      </c>
      <c r="L100" s="1643">
        <f t="shared" si="9"/>
        <v>0</v>
      </c>
      <c r="M100" s="1643">
        <f t="shared" si="9"/>
        <v>0</v>
      </c>
      <c r="N100" s="1644">
        <f t="shared" si="9"/>
        <v>0</v>
      </c>
      <c r="O100" s="1652">
        <f t="shared" si="9"/>
        <v>0</v>
      </c>
    </row>
    <row r="101" spans="1:15">
      <c r="A101" s="1653"/>
      <c r="B101" s="1653"/>
      <c r="C101" s="1633"/>
      <c r="D101" s="1633"/>
      <c r="E101" s="1633"/>
      <c r="F101" s="1633"/>
      <c r="G101" s="1633"/>
      <c r="H101" s="1633"/>
      <c r="I101" s="1633"/>
      <c r="J101" s="1633"/>
      <c r="K101" s="1633"/>
      <c r="L101" s="1633"/>
      <c r="M101" s="1633"/>
      <c r="N101" s="1633"/>
      <c r="O101" s="1645"/>
    </row>
    <row r="102" spans="1:15">
      <c r="A102" s="1653"/>
      <c r="B102" s="1653"/>
      <c r="C102" s="1633"/>
      <c r="D102" s="1633"/>
      <c r="E102" s="1633"/>
      <c r="F102" s="1633"/>
      <c r="G102" s="1633"/>
      <c r="H102" s="1633"/>
      <c r="I102" s="1633"/>
      <c r="J102" s="1633"/>
      <c r="K102" s="1633"/>
      <c r="L102" s="1633"/>
      <c r="M102" s="1633"/>
      <c r="N102" s="1633"/>
      <c r="O102" s="1645"/>
    </row>
    <row r="103" spans="1:15">
      <c r="A103" s="1653"/>
      <c r="B103" s="1653"/>
      <c r="C103" s="1633"/>
      <c r="D103" s="1633"/>
      <c r="E103" s="1633"/>
      <c r="F103" s="1633"/>
      <c r="G103" s="1633"/>
      <c r="H103" s="1633"/>
      <c r="I103" s="1633"/>
      <c r="J103" s="1633"/>
      <c r="K103" s="1633"/>
      <c r="L103" s="1633"/>
      <c r="M103" s="1633"/>
      <c r="N103" s="1633"/>
      <c r="O103" s="1645"/>
    </row>
    <row r="104" spans="1:15" ht="13.8" thickBot="1">
      <c r="A104" s="1653"/>
      <c r="B104" s="1653"/>
      <c r="C104" s="1633"/>
      <c r="D104" s="1633"/>
      <c r="E104" s="1633"/>
      <c r="F104" s="1633"/>
      <c r="G104" s="1633"/>
      <c r="H104" s="1633"/>
      <c r="I104" s="1633"/>
      <c r="J104" s="1633"/>
      <c r="K104" s="1633"/>
      <c r="L104" s="1633"/>
      <c r="M104" s="1633"/>
      <c r="N104" s="1633"/>
      <c r="O104" s="1645"/>
    </row>
    <row r="105" spans="1:15" ht="13.8" thickBot="1">
      <c r="A105" s="1653"/>
      <c r="B105" s="2316" t="s">
        <v>494</v>
      </c>
      <c r="C105" s="2322" t="s">
        <v>492</v>
      </c>
      <c r="D105" s="2322"/>
      <c r="E105" s="2322"/>
      <c r="F105" s="2322"/>
      <c r="G105" s="2322"/>
      <c r="H105" s="2322"/>
      <c r="I105" s="2322"/>
      <c r="J105" s="2322"/>
      <c r="K105" s="2322"/>
      <c r="L105" s="2322"/>
      <c r="M105" s="2322"/>
      <c r="N105" s="1677" t="s">
        <v>437</v>
      </c>
      <c r="O105" s="1649" t="s">
        <v>475</v>
      </c>
    </row>
    <row r="106" spans="1:15">
      <c r="A106" s="1653"/>
      <c r="B106" s="2317"/>
      <c r="C106" s="2200" t="s">
        <v>328</v>
      </c>
      <c r="D106" s="1634" t="s">
        <v>2</v>
      </c>
      <c r="E106" s="1634" t="s">
        <v>3</v>
      </c>
      <c r="F106" s="1634" t="s">
        <v>4</v>
      </c>
      <c r="G106" s="1634" t="s">
        <v>5</v>
      </c>
      <c r="H106" s="1634" t="s">
        <v>6</v>
      </c>
      <c r="I106" s="1634" t="s">
        <v>7</v>
      </c>
      <c r="J106" s="1634" t="s">
        <v>8</v>
      </c>
      <c r="K106" s="1634" t="s">
        <v>9</v>
      </c>
      <c r="L106" s="1634" t="s">
        <v>10</v>
      </c>
      <c r="M106" s="1634" t="s">
        <v>11</v>
      </c>
      <c r="N106" s="1641" t="s">
        <v>12</v>
      </c>
      <c r="O106" s="1650"/>
    </row>
    <row r="107" spans="1:15">
      <c r="A107" s="1653"/>
      <c r="B107" s="2130" t="s">
        <v>159</v>
      </c>
      <c r="C107" s="2201"/>
      <c r="D107" s="2202"/>
      <c r="E107" s="2202"/>
      <c r="F107" s="2202"/>
      <c r="G107" s="2202"/>
      <c r="H107" s="2202"/>
      <c r="I107" s="2202"/>
      <c r="J107" s="2202"/>
      <c r="K107" s="2202"/>
      <c r="L107" s="2202"/>
      <c r="M107" s="2202"/>
      <c r="N107" s="2202"/>
      <c r="O107" s="1651">
        <f>SUM(C107:N107)</f>
        <v>0</v>
      </c>
    </row>
    <row r="108" spans="1:15">
      <c r="A108" s="1653"/>
      <c r="B108" s="2130" t="s">
        <v>90</v>
      </c>
      <c r="C108" s="2202"/>
      <c r="D108" s="2202"/>
      <c r="E108" s="2202"/>
      <c r="F108" s="2202"/>
      <c r="G108" s="2202"/>
      <c r="H108" s="2202"/>
      <c r="I108" s="2202"/>
      <c r="J108" s="2202"/>
      <c r="K108" s="2202"/>
      <c r="L108" s="2202"/>
      <c r="M108" s="2202"/>
      <c r="N108" s="2202"/>
      <c r="O108" s="1651">
        <f>SUM(C108:N108)</f>
        <v>0</v>
      </c>
    </row>
    <row r="109" spans="1:15">
      <c r="A109" s="1653"/>
      <c r="B109" s="2130" t="s">
        <v>91</v>
      </c>
      <c r="C109" s="2201"/>
      <c r="D109" s="2202"/>
      <c r="E109" s="2187"/>
      <c r="F109" s="2187"/>
      <c r="G109" s="2187"/>
      <c r="H109" s="2187"/>
      <c r="I109" s="2187"/>
      <c r="J109" s="2187"/>
      <c r="K109" s="2187"/>
      <c r="L109" s="2187"/>
      <c r="M109" s="2187"/>
      <c r="N109" s="2202"/>
      <c r="O109" s="1651">
        <f t="shared" ref="O109:O119" si="10">SUM(C109:N109)</f>
        <v>0</v>
      </c>
    </row>
    <row r="110" spans="1:15">
      <c r="A110" s="1653"/>
      <c r="B110" s="2130" t="s">
        <v>104</v>
      </c>
      <c r="C110" s="2201"/>
      <c r="D110" s="2202"/>
      <c r="E110" s="2202"/>
      <c r="F110" s="2202"/>
      <c r="G110" s="2202"/>
      <c r="H110" s="2202"/>
      <c r="I110" s="2202"/>
      <c r="J110" s="2202"/>
      <c r="K110" s="2202"/>
      <c r="L110" s="2202"/>
      <c r="M110" s="2202"/>
      <c r="N110" s="2202"/>
      <c r="O110" s="1651">
        <f t="shared" si="10"/>
        <v>0</v>
      </c>
    </row>
    <row r="111" spans="1:15">
      <c r="A111" s="1653"/>
      <c r="B111" s="2130" t="s">
        <v>101</v>
      </c>
      <c r="C111" s="2201"/>
      <c r="D111" s="2202"/>
      <c r="E111" s="2202"/>
      <c r="F111" s="2202"/>
      <c r="G111" s="2202"/>
      <c r="H111" s="2202"/>
      <c r="I111" s="2202"/>
      <c r="J111" s="2202"/>
      <c r="K111" s="2202"/>
      <c r="L111" s="2202"/>
      <c r="M111" s="2202"/>
      <c r="N111" s="2202"/>
      <c r="O111" s="1651">
        <f t="shared" si="10"/>
        <v>0</v>
      </c>
    </row>
    <row r="112" spans="1:15">
      <c r="A112" s="1653"/>
      <c r="B112" s="2130" t="s">
        <v>486</v>
      </c>
      <c r="C112" s="2201"/>
      <c r="D112" s="2202"/>
      <c r="E112" s="2202"/>
      <c r="F112" s="2202"/>
      <c r="G112" s="2202"/>
      <c r="H112" s="2202"/>
      <c r="I112" s="2202"/>
      <c r="J112" s="2202"/>
      <c r="K112" s="2202"/>
      <c r="L112" s="2202"/>
      <c r="M112" s="2202"/>
      <c r="N112" s="2202"/>
      <c r="O112" s="1651">
        <f t="shared" si="10"/>
        <v>0</v>
      </c>
    </row>
    <row r="113" spans="1:15">
      <c r="A113" s="1653"/>
      <c r="B113" s="2130" t="s">
        <v>96</v>
      </c>
      <c r="C113" s="2201"/>
      <c r="D113" s="2202"/>
      <c r="E113" s="2202"/>
      <c r="F113" s="2202"/>
      <c r="G113" s="2202"/>
      <c r="H113" s="2202"/>
      <c r="I113" s="2202"/>
      <c r="J113" s="2202"/>
      <c r="K113" s="2202"/>
      <c r="L113" s="2202"/>
      <c r="M113" s="2202"/>
      <c r="N113" s="2202"/>
      <c r="O113" s="1651">
        <f t="shared" si="10"/>
        <v>0</v>
      </c>
    </row>
    <row r="114" spans="1:15">
      <c r="A114" s="1653"/>
      <c r="B114" s="2130" t="s">
        <v>585</v>
      </c>
      <c r="C114" s="2201"/>
      <c r="D114" s="2202"/>
      <c r="E114" s="2202"/>
      <c r="F114" s="2202"/>
      <c r="G114" s="2202"/>
      <c r="H114" s="2202"/>
      <c r="I114" s="2202"/>
      <c r="J114" s="2202"/>
      <c r="K114" s="2202"/>
      <c r="L114" s="2202"/>
      <c r="M114" s="2202"/>
      <c r="N114" s="2202"/>
      <c r="O114" s="1651">
        <f t="shared" si="10"/>
        <v>0</v>
      </c>
    </row>
    <row r="115" spans="1:15">
      <c r="A115" s="1653"/>
      <c r="B115" s="2130" t="s">
        <v>561</v>
      </c>
      <c r="C115" s="2204"/>
      <c r="D115" s="1637"/>
      <c r="E115" s="1637"/>
      <c r="F115" s="1637"/>
      <c r="G115" s="1637"/>
      <c r="H115" s="1637"/>
      <c r="I115" s="1637"/>
      <c r="J115" s="1637"/>
      <c r="K115" s="1637"/>
      <c r="L115" s="1637"/>
      <c r="M115" s="1637"/>
      <c r="N115" s="1637"/>
      <c r="O115" s="1651">
        <f t="shared" si="10"/>
        <v>0</v>
      </c>
    </row>
    <row r="116" spans="1:15">
      <c r="A116" s="1653"/>
      <c r="B116" s="2131" t="s">
        <v>586</v>
      </c>
      <c r="C116" s="2204"/>
      <c r="D116" s="1637"/>
      <c r="E116" s="1637"/>
      <c r="F116" s="1637"/>
      <c r="G116" s="1637"/>
      <c r="H116" s="1637"/>
      <c r="I116" s="1637"/>
      <c r="J116" s="1637"/>
      <c r="K116" s="1637"/>
      <c r="L116" s="1637"/>
      <c r="M116" s="1637"/>
      <c r="N116" s="1637"/>
      <c r="O116" s="1651">
        <f t="shared" si="10"/>
        <v>0</v>
      </c>
    </row>
    <row r="117" spans="1:15">
      <c r="A117" s="1653"/>
      <c r="B117" s="2130" t="s">
        <v>100</v>
      </c>
      <c r="C117" s="2201"/>
      <c r="D117" s="2202"/>
      <c r="E117" s="2202"/>
      <c r="F117" s="2202"/>
      <c r="G117" s="2202"/>
      <c r="H117" s="2202"/>
      <c r="I117" s="2202"/>
      <c r="J117" s="2202"/>
      <c r="K117" s="2202"/>
      <c r="L117" s="2202"/>
      <c r="M117" s="2202"/>
      <c r="N117" s="2203"/>
      <c r="O117" s="1651">
        <f t="shared" si="10"/>
        <v>0</v>
      </c>
    </row>
    <row r="118" spans="1:15">
      <c r="A118" s="1653"/>
      <c r="B118" s="2130" t="s">
        <v>102</v>
      </c>
      <c r="C118" s="2201"/>
      <c r="D118" s="2202"/>
      <c r="E118" s="2202"/>
      <c r="F118" s="2202"/>
      <c r="G118" s="2202"/>
      <c r="H118" s="2202"/>
      <c r="I118" s="2202"/>
      <c r="J118" s="2202"/>
      <c r="K118" s="2202"/>
      <c r="L118" s="2202"/>
      <c r="M118" s="2202"/>
      <c r="N118" s="2202"/>
      <c r="O118" s="1651">
        <f t="shared" si="10"/>
        <v>0</v>
      </c>
    </row>
    <row r="119" spans="1:15">
      <c r="A119" s="1653"/>
      <c r="B119" s="2130" t="s">
        <v>559</v>
      </c>
      <c r="C119" s="2201"/>
      <c r="D119" s="2202"/>
      <c r="E119" s="2202"/>
      <c r="F119" s="2202"/>
      <c r="G119" s="2202"/>
      <c r="H119" s="2202"/>
      <c r="I119" s="2202"/>
      <c r="J119" s="2202"/>
      <c r="K119" s="2202"/>
      <c r="L119" s="2202"/>
      <c r="M119" s="2202"/>
      <c r="N119" s="2202"/>
      <c r="O119" s="1651">
        <f t="shared" si="10"/>
        <v>0</v>
      </c>
    </row>
    <row r="120" spans="1:15" ht="13.8" thickBot="1">
      <c r="A120" s="1653"/>
      <c r="B120" s="2132" t="s">
        <v>488</v>
      </c>
      <c r="C120" s="2201"/>
      <c r="D120" s="2202"/>
      <c r="E120" s="2202"/>
      <c r="F120" s="2202"/>
      <c r="G120" s="2202"/>
      <c r="H120" s="2202"/>
      <c r="I120" s="2202"/>
      <c r="J120" s="2202"/>
      <c r="K120" s="2202"/>
      <c r="L120" s="2202"/>
      <c r="M120" s="2202"/>
      <c r="N120" s="2202"/>
      <c r="O120" s="1651">
        <f>SUM(C120:N120)</f>
        <v>0</v>
      </c>
    </row>
    <row r="121" spans="1:15" ht="13.8" thickBot="1">
      <c r="A121" s="1653"/>
      <c r="B121" s="1653"/>
      <c r="C121" s="1642">
        <f t="shared" ref="C121:N121" si="11">SUM(C107:C120)</f>
        <v>0</v>
      </c>
      <c r="D121" s="1642">
        <f t="shared" si="11"/>
        <v>0</v>
      </c>
      <c r="E121" s="1642">
        <f t="shared" si="11"/>
        <v>0</v>
      </c>
      <c r="F121" s="1642">
        <f t="shared" si="11"/>
        <v>0</v>
      </c>
      <c r="G121" s="1642">
        <f t="shared" si="11"/>
        <v>0</v>
      </c>
      <c r="H121" s="1642">
        <f t="shared" si="11"/>
        <v>0</v>
      </c>
      <c r="I121" s="1642">
        <f t="shared" si="11"/>
        <v>0</v>
      </c>
      <c r="J121" s="1642">
        <f t="shared" si="11"/>
        <v>0</v>
      </c>
      <c r="K121" s="1642">
        <f t="shared" si="11"/>
        <v>0</v>
      </c>
      <c r="L121" s="1642">
        <f t="shared" si="11"/>
        <v>0</v>
      </c>
      <c r="M121" s="1642">
        <f t="shared" si="11"/>
        <v>0</v>
      </c>
      <c r="N121" s="1642">
        <f t="shared" si="11"/>
        <v>0</v>
      </c>
      <c r="O121" s="1652">
        <f>SUM(C121:N121)</f>
        <v>0</v>
      </c>
    </row>
    <row r="122" spans="1:15">
      <c r="A122" s="1653"/>
      <c r="B122" s="1653"/>
      <c r="C122" s="1633"/>
      <c r="D122" s="1633"/>
      <c r="E122" s="1633"/>
      <c r="F122" s="1633"/>
      <c r="G122" s="1633"/>
      <c r="H122" s="1633"/>
      <c r="I122" s="1633"/>
      <c r="J122" s="1633"/>
      <c r="K122" s="1633"/>
      <c r="L122" s="1633"/>
      <c r="M122" s="1633"/>
      <c r="N122" s="1633"/>
      <c r="O122" s="1645"/>
    </row>
    <row r="123" spans="1:15" ht="13.8" thickBot="1">
      <c r="A123" s="1653"/>
      <c r="B123" s="1653"/>
      <c r="C123" s="1633"/>
      <c r="D123" s="1633"/>
      <c r="E123" s="1633"/>
      <c r="F123" s="1633"/>
      <c r="G123" s="1633"/>
      <c r="H123" s="1633"/>
      <c r="I123" s="1633"/>
      <c r="J123" s="1633"/>
      <c r="K123" s="1633"/>
      <c r="L123" s="1633"/>
      <c r="M123" s="1633"/>
      <c r="N123" s="1633"/>
      <c r="O123" s="1645"/>
    </row>
    <row r="124" spans="1:15" ht="13.8" thickBot="1">
      <c r="A124" s="1653"/>
      <c r="B124" s="2316" t="s">
        <v>494</v>
      </c>
      <c r="C124" s="2322" t="s">
        <v>490</v>
      </c>
      <c r="D124" s="2322"/>
      <c r="E124" s="2322"/>
      <c r="F124" s="2322"/>
      <c r="G124" s="2322"/>
      <c r="H124" s="2322"/>
      <c r="I124" s="2322"/>
      <c r="J124" s="2322"/>
      <c r="K124" s="2322"/>
      <c r="L124" s="2322"/>
      <c r="M124" s="2322"/>
      <c r="N124" s="1677" t="s">
        <v>437</v>
      </c>
      <c r="O124" s="2138" t="s">
        <v>475</v>
      </c>
    </row>
    <row r="125" spans="1:15">
      <c r="A125" s="1653"/>
      <c r="B125" s="2317"/>
      <c r="C125" s="2212" t="s">
        <v>328</v>
      </c>
      <c r="D125" s="2213" t="s">
        <v>2</v>
      </c>
      <c r="E125" s="2213" t="s">
        <v>3</v>
      </c>
      <c r="F125" s="2213" t="s">
        <v>4</v>
      </c>
      <c r="G125" s="2213" t="s">
        <v>5</v>
      </c>
      <c r="H125" s="2213" t="s">
        <v>6</v>
      </c>
      <c r="I125" s="2213" t="s">
        <v>7</v>
      </c>
      <c r="J125" s="2213" t="s">
        <v>8</v>
      </c>
      <c r="K125" s="2213" t="s">
        <v>9</v>
      </c>
      <c r="L125" s="2213" t="s">
        <v>10</v>
      </c>
      <c r="M125" s="2213" t="s">
        <v>11</v>
      </c>
      <c r="N125" s="2214" t="s">
        <v>12</v>
      </c>
      <c r="O125" s="1650">
        <f t="shared" ref="O125" si="12">SUM(C125:N125)</f>
        <v>0</v>
      </c>
    </row>
    <row r="126" spans="1:15">
      <c r="A126" s="1653"/>
      <c r="B126" s="2130" t="s">
        <v>159</v>
      </c>
      <c r="C126" s="2186"/>
      <c r="D126" s="2187"/>
      <c r="E126" s="2187"/>
      <c r="F126" s="2187"/>
      <c r="G126" s="2187"/>
      <c r="H126" s="2187"/>
      <c r="I126" s="2187"/>
      <c r="J126" s="2187"/>
      <c r="K126" s="2187"/>
      <c r="L126" s="2187"/>
      <c r="M126" s="2187"/>
      <c r="N126" s="2215"/>
      <c r="O126" s="2139">
        <f>SUM(C126:N126)</f>
        <v>0</v>
      </c>
    </row>
    <row r="127" spans="1:15">
      <c r="A127" s="1653"/>
      <c r="B127" s="2130" t="s">
        <v>90</v>
      </c>
      <c r="C127" s="2187"/>
      <c r="D127" s="2187"/>
      <c r="E127" s="2187"/>
      <c r="F127" s="2187"/>
      <c r="G127" s="2187"/>
      <c r="H127" s="2187"/>
      <c r="I127" s="2187"/>
      <c r="J127" s="2187"/>
      <c r="K127" s="2187"/>
      <c r="L127" s="2187"/>
      <c r="M127" s="2187"/>
      <c r="N127" s="2215"/>
      <c r="O127" s="2139">
        <f t="shared" ref="O127:O139" si="13">SUM(C127:N127)</f>
        <v>0</v>
      </c>
    </row>
    <row r="128" spans="1:15">
      <c r="A128" s="1653"/>
      <c r="B128" s="2130" t="s">
        <v>91</v>
      </c>
      <c r="C128" s="2190"/>
      <c r="D128" s="2134"/>
      <c r="E128" s="2134"/>
      <c r="F128" s="2134"/>
      <c r="G128" s="2134"/>
      <c r="H128" s="2134"/>
      <c r="I128" s="2134"/>
      <c r="J128" s="2134"/>
      <c r="K128" s="2134"/>
      <c r="L128" s="2134"/>
      <c r="M128" s="2134"/>
      <c r="N128" s="2143"/>
      <c r="O128" s="2139">
        <f t="shared" si="13"/>
        <v>0</v>
      </c>
    </row>
    <row r="129" spans="1:15">
      <c r="A129" s="1653"/>
      <c r="B129" s="2130" t="s">
        <v>104</v>
      </c>
      <c r="C129" s="2190"/>
      <c r="D129" s="2134"/>
      <c r="E129" s="2134"/>
      <c r="F129" s="2134"/>
      <c r="G129" s="2134"/>
      <c r="H129" s="2134"/>
      <c r="I129" s="2134"/>
      <c r="J129" s="2134"/>
      <c r="K129" s="2134"/>
      <c r="L129" s="2134"/>
      <c r="M129" s="2134"/>
      <c r="N129" s="2215"/>
      <c r="O129" s="2139">
        <f t="shared" si="13"/>
        <v>0</v>
      </c>
    </row>
    <row r="130" spans="1:15">
      <c r="A130" s="1653"/>
      <c r="B130" s="2130" t="s">
        <v>101</v>
      </c>
      <c r="C130" s="2186"/>
      <c r="D130" s="2187"/>
      <c r="E130" s="2187"/>
      <c r="F130" s="2187"/>
      <c r="G130" s="2187"/>
      <c r="H130" s="2187"/>
      <c r="I130" s="2187"/>
      <c r="J130" s="2187"/>
      <c r="K130" s="2187"/>
      <c r="L130" s="2187"/>
      <c r="M130" s="2187"/>
      <c r="N130" s="2215"/>
      <c r="O130" s="2139">
        <f t="shared" si="13"/>
        <v>0</v>
      </c>
    </row>
    <row r="131" spans="1:15">
      <c r="A131" s="1653"/>
      <c r="B131" s="2130" t="s">
        <v>486</v>
      </c>
      <c r="C131" s="2190"/>
      <c r="D131" s="2134"/>
      <c r="E131" s="2134"/>
      <c r="F131" s="2134"/>
      <c r="G131" s="2134"/>
      <c r="H131" s="2134"/>
      <c r="I131" s="2134"/>
      <c r="J131" s="2134"/>
      <c r="K131" s="2134"/>
      <c r="L131" s="2134"/>
      <c r="M131" s="2134"/>
      <c r="N131" s="2143"/>
      <c r="O131" s="2139">
        <f t="shared" si="13"/>
        <v>0</v>
      </c>
    </row>
    <row r="132" spans="1:15">
      <c r="A132" s="1653"/>
      <c r="B132" s="2130" t="s">
        <v>96</v>
      </c>
      <c r="C132" s="2186"/>
      <c r="D132" s="2187"/>
      <c r="E132" s="2187"/>
      <c r="F132" s="2187"/>
      <c r="G132" s="2187"/>
      <c r="H132" s="2187"/>
      <c r="I132" s="2187"/>
      <c r="J132" s="2187"/>
      <c r="K132" s="2187"/>
      <c r="L132" s="2187"/>
      <c r="M132" s="2187"/>
      <c r="N132" s="2215"/>
      <c r="O132" s="2139">
        <f t="shared" si="13"/>
        <v>0</v>
      </c>
    </row>
    <row r="133" spans="1:15">
      <c r="A133" s="1653"/>
      <c r="B133" s="2130" t="s">
        <v>585</v>
      </c>
      <c r="C133" s="2190"/>
      <c r="D133" s="2134"/>
      <c r="E133" s="2134"/>
      <c r="F133" s="2134"/>
      <c r="G133" s="2134"/>
      <c r="H133" s="2134"/>
      <c r="I133" s="2134"/>
      <c r="J133" s="2134"/>
      <c r="K133" s="2134"/>
      <c r="L133" s="2134"/>
      <c r="M133" s="2134"/>
      <c r="N133" s="2143"/>
      <c r="O133" s="2139">
        <f t="shared" si="13"/>
        <v>0</v>
      </c>
    </row>
    <row r="134" spans="1:15">
      <c r="A134" s="1653"/>
      <c r="B134" s="2130" t="s">
        <v>561</v>
      </c>
      <c r="C134" s="2190"/>
      <c r="D134" s="2134"/>
      <c r="E134" s="2134"/>
      <c r="F134" s="2134"/>
      <c r="G134" s="2134"/>
      <c r="H134" s="2134"/>
      <c r="I134" s="2134"/>
      <c r="J134" s="2134"/>
      <c r="K134" s="2134"/>
      <c r="L134" s="2134"/>
      <c r="M134" s="2134"/>
      <c r="N134" s="2143"/>
      <c r="O134" s="2139">
        <f t="shared" si="13"/>
        <v>0</v>
      </c>
    </row>
    <row r="135" spans="1:15">
      <c r="A135" s="1653"/>
      <c r="B135" s="2131" t="s">
        <v>589</v>
      </c>
      <c r="C135" s="2190"/>
      <c r="D135" s="2134"/>
      <c r="E135" s="2134"/>
      <c r="F135" s="2134"/>
      <c r="G135" s="2134"/>
      <c r="H135" s="2134"/>
      <c r="I135" s="2134"/>
      <c r="J135" s="2134"/>
      <c r="K135" s="2134"/>
      <c r="L135" s="2134"/>
      <c r="M135" s="2134"/>
      <c r="N135" s="2143"/>
      <c r="O135" s="2139">
        <f t="shared" si="13"/>
        <v>0</v>
      </c>
    </row>
    <row r="136" spans="1:15">
      <c r="A136" s="1653"/>
      <c r="B136" s="2130" t="s">
        <v>100</v>
      </c>
      <c r="C136" s="2190"/>
      <c r="D136" s="2134"/>
      <c r="E136" s="2134"/>
      <c r="F136" s="2134"/>
      <c r="G136" s="2134"/>
      <c r="H136" s="2134"/>
      <c r="I136" s="2134"/>
      <c r="J136" s="2134"/>
      <c r="K136" s="2187"/>
      <c r="L136" s="2134"/>
      <c r="M136" s="2134"/>
      <c r="N136" s="2143"/>
      <c r="O136" s="2139">
        <f t="shared" si="13"/>
        <v>0</v>
      </c>
    </row>
    <row r="137" spans="1:15">
      <c r="A137" s="1653"/>
      <c r="B137" s="2130" t="s">
        <v>102</v>
      </c>
      <c r="C137" s="2186"/>
      <c r="D137" s="2187"/>
      <c r="E137" s="2187"/>
      <c r="F137" s="2187"/>
      <c r="G137" s="2187"/>
      <c r="H137" s="2187"/>
      <c r="I137" s="2187"/>
      <c r="J137" s="2187"/>
      <c r="K137" s="2187"/>
      <c r="L137" s="2187"/>
      <c r="M137" s="2187"/>
      <c r="N137" s="2215"/>
      <c r="O137" s="2139">
        <f t="shared" si="13"/>
        <v>0</v>
      </c>
    </row>
    <row r="138" spans="1:15">
      <c r="A138" s="1653"/>
      <c r="B138" s="2130" t="s">
        <v>559</v>
      </c>
      <c r="C138" s="2186"/>
      <c r="D138" s="2187"/>
      <c r="E138" s="2187"/>
      <c r="F138" s="2187"/>
      <c r="G138" s="2187"/>
      <c r="H138" s="2187"/>
      <c r="I138" s="2187"/>
      <c r="J138" s="2187"/>
      <c r="K138" s="2187"/>
      <c r="L138" s="2187"/>
      <c r="M138" s="2187"/>
      <c r="N138" s="2215"/>
      <c r="O138" s="2139">
        <f t="shared" si="13"/>
        <v>0</v>
      </c>
    </row>
    <row r="139" spans="1:15" ht="13.8" thickBot="1">
      <c r="A139" s="1653"/>
      <c r="B139" s="2132" t="s">
        <v>488</v>
      </c>
      <c r="C139" s="2216"/>
      <c r="D139" s="2135"/>
      <c r="E139" s="2135"/>
      <c r="F139" s="2135"/>
      <c r="G139" s="2135"/>
      <c r="H139" s="2135"/>
      <c r="I139" s="2135"/>
      <c r="J139" s="2135"/>
      <c r="K139" s="2135"/>
      <c r="L139" s="2135"/>
      <c r="M139" s="2135"/>
      <c r="N139" s="2145"/>
      <c r="O139" s="2144">
        <f t="shared" si="13"/>
        <v>0</v>
      </c>
    </row>
    <row r="140" spans="1:15" ht="13.8" thickBot="1">
      <c r="A140" s="1653"/>
      <c r="B140" s="1653"/>
      <c r="C140" s="2217">
        <f t="shared" ref="C140:O140" si="14">SUM(C126:C139)</f>
        <v>0</v>
      </c>
      <c r="D140" s="2218">
        <f t="shared" si="14"/>
        <v>0</v>
      </c>
      <c r="E140" s="2218">
        <f t="shared" si="14"/>
        <v>0</v>
      </c>
      <c r="F140" s="2218">
        <f t="shared" si="14"/>
        <v>0</v>
      </c>
      <c r="G140" s="2218">
        <f t="shared" si="14"/>
        <v>0</v>
      </c>
      <c r="H140" s="2218">
        <f t="shared" si="14"/>
        <v>0</v>
      </c>
      <c r="I140" s="2218">
        <f t="shared" si="14"/>
        <v>0</v>
      </c>
      <c r="J140" s="2218">
        <f t="shared" si="14"/>
        <v>0</v>
      </c>
      <c r="K140" s="2218">
        <f t="shared" si="14"/>
        <v>0</v>
      </c>
      <c r="L140" s="2218">
        <f t="shared" si="14"/>
        <v>0</v>
      </c>
      <c r="M140" s="2218">
        <f t="shared" si="14"/>
        <v>0</v>
      </c>
      <c r="N140" s="2219">
        <f t="shared" si="14"/>
        <v>0</v>
      </c>
      <c r="O140" s="2220">
        <f t="shared" si="14"/>
        <v>0</v>
      </c>
    </row>
    <row r="141" spans="1:15">
      <c r="A141" s="1653"/>
      <c r="B141" s="1653"/>
      <c r="C141" s="1633"/>
      <c r="D141" s="1633"/>
      <c r="E141" s="1633"/>
      <c r="F141" s="1633"/>
      <c r="G141" s="1633"/>
      <c r="H141" s="1633"/>
      <c r="I141" s="1633"/>
      <c r="J141" s="1633"/>
      <c r="K141" s="1633"/>
      <c r="L141" s="1633"/>
      <c r="M141" s="1633"/>
      <c r="N141" s="1633"/>
      <c r="O141" s="1645"/>
    </row>
    <row r="142" spans="1:15">
      <c r="A142" s="1653"/>
      <c r="B142" s="1653"/>
      <c r="C142" s="1633"/>
      <c r="D142" s="1633"/>
      <c r="E142" s="1633"/>
      <c r="F142" s="1633"/>
      <c r="G142" s="1633"/>
      <c r="H142" s="1633"/>
      <c r="I142" s="1633"/>
      <c r="J142" s="1633"/>
      <c r="K142" s="1633"/>
      <c r="L142" s="1633"/>
      <c r="M142" s="1633"/>
      <c r="N142" s="1633"/>
      <c r="O142" s="1645"/>
    </row>
    <row r="143" spans="1:15" ht="13.8" thickBot="1">
      <c r="A143" s="1653"/>
      <c r="B143" s="1653"/>
      <c r="C143" s="1633"/>
      <c r="D143" s="1633"/>
      <c r="E143" s="1633"/>
      <c r="F143" s="1633"/>
      <c r="G143" s="1633"/>
      <c r="H143" s="1633"/>
      <c r="I143" s="1633"/>
      <c r="J143" s="1633"/>
      <c r="K143" s="1633"/>
      <c r="L143" s="1633"/>
      <c r="M143" s="1633"/>
      <c r="N143" s="1633"/>
      <c r="O143" s="1645"/>
    </row>
    <row r="144" spans="1:15" ht="13.8" thickBot="1">
      <c r="A144" s="1653"/>
      <c r="B144" s="2323" t="s">
        <v>494</v>
      </c>
      <c r="C144" s="2322" t="s">
        <v>491</v>
      </c>
      <c r="D144" s="2322"/>
      <c r="E144" s="2322"/>
      <c r="F144" s="2322"/>
      <c r="G144" s="2322"/>
      <c r="H144" s="2322"/>
      <c r="I144" s="2322"/>
      <c r="J144" s="2322"/>
      <c r="K144" s="2322"/>
      <c r="L144" s="2322"/>
      <c r="M144" s="2322"/>
      <c r="N144" s="1677" t="s">
        <v>437</v>
      </c>
      <c r="O144" s="2138" t="s">
        <v>438</v>
      </c>
    </row>
    <row r="145" spans="1:15" ht="13.8" thickBot="1">
      <c r="A145" s="1653"/>
      <c r="B145" s="2324"/>
      <c r="C145" s="2212" t="s">
        <v>328</v>
      </c>
      <c r="D145" s="2213" t="s">
        <v>2</v>
      </c>
      <c r="E145" s="2213" t="s">
        <v>3</v>
      </c>
      <c r="F145" s="2213" t="s">
        <v>4</v>
      </c>
      <c r="G145" s="2213" t="s">
        <v>5</v>
      </c>
      <c r="H145" s="2213" t="s">
        <v>6</v>
      </c>
      <c r="I145" s="2213" t="s">
        <v>7</v>
      </c>
      <c r="J145" s="2213" t="s">
        <v>8</v>
      </c>
      <c r="K145" s="2213" t="s">
        <v>9</v>
      </c>
      <c r="L145" s="2213" t="s">
        <v>10</v>
      </c>
      <c r="M145" s="2213" t="s">
        <v>11</v>
      </c>
      <c r="N145" s="2214" t="s">
        <v>12</v>
      </c>
      <c r="O145" s="1650"/>
    </row>
    <row r="146" spans="1:15">
      <c r="A146" s="1653"/>
      <c r="B146" s="2130" t="s">
        <v>159</v>
      </c>
      <c r="C146" s="2221"/>
      <c r="D146" s="2222"/>
      <c r="E146" s="2222"/>
      <c r="F146" s="2222"/>
      <c r="G146" s="2222"/>
      <c r="H146" s="2223"/>
      <c r="I146" s="2222"/>
      <c r="J146" s="2222"/>
      <c r="K146" s="2222"/>
      <c r="L146" s="2222"/>
      <c r="M146" s="2222"/>
      <c r="N146" s="2224"/>
      <c r="O146" s="2139">
        <f>SUM(C146:N146)</f>
        <v>0</v>
      </c>
    </row>
    <row r="147" spans="1:15">
      <c r="A147" s="1653"/>
      <c r="B147" s="2130" t="s">
        <v>90</v>
      </c>
      <c r="C147" s="2187"/>
      <c r="D147" s="2187"/>
      <c r="E147" s="2187"/>
      <c r="F147" s="2187"/>
      <c r="G147" s="2187"/>
      <c r="H147" s="2187"/>
      <c r="I147" s="2187"/>
      <c r="J147" s="2187"/>
      <c r="K147" s="2187"/>
      <c r="L147" s="2187"/>
      <c r="M147" s="2187"/>
      <c r="N147" s="2187"/>
      <c r="O147" s="2139">
        <f t="shared" ref="O147:O159" si="15">SUM(C147:N147)</f>
        <v>0</v>
      </c>
    </row>
    <row r="148" spans="1:15">
      <c r="A148" s="1653"/>
      <c r="B148" s="2130" t="s">
        <v>91</v>
      </c>
      <c r="C148" s="2133"/>
      <c r="D148" s="2134"/>
      <c r="E148" s="2134"/>
      <c r="F148" s="2134"/>
      <c r="G148" s="2134"/>
      <c r="H148" s="2134"/>
      <c r="I148" s="2134"/>
      <c r="J148" s="2134"/>
      <c r="K148" s="2134"/>
      <c r="L148" s="2134"/>
      <c r="M148" s="2134"/>
      <c r="N148" s="2136"/>
      <c r="O148" s="2139">
        <f t="shared" si="15"/>
        <v>0</v>
      </c>
    </row>
    <row r="149" spans="1:15">
      <c r="A149" s="1653"/>
      <c r="B149" s="2130" t="s">
        <v>104</v>
      </c>
      <c r="C149" s="2133"/>
      <c r="D149" s="2134"/>
      <c r="E149" s="2134"/>
      <c r="F149" s="2134"/>
      <c r="G149" s="2134"/>
      <c r="H149" s="2134"/>
      <c r="I149" s="2134"/>
      <c r="J149" s="2134"/>
      <c r="K149" s="2134"/>
      <c r="L149" s="2134"/>
      <c r="M149" s="2134"/>
      <c r="N149" s="2225"/>
      <c r="O149" s="2139">
        <f t="shared" si="15"/>
        <v>0</v>
      </c>
    </row>
    <row r="150" spans="1:15">
      <c r="A150" s="1653"/>
      <c r="B150" s="2130" t="s">
        <v>101</v>
      </c>
      <c r="C150" s="2189"/>
      <c r="D150" s="2187"/>
      <c r="E150" s="2187"/>
      <c r="F150" s="2187"/>
      <c r="G150" s="2187"/>
      <c r="H150" s="2187"/>
      <c r="I150" s="2187"/>
      <c r="J150" s="2187"/>
      <c r="K150" s="2187"/>
      <c r="L150" s="2187"/>
      <c r="M150" s="2187"/>
      <c r="N150" s="2225"/>
      <c r="O150" s="2139">
        <f t="shared" si="15"/>
        <v>0</v>
      </c>
    </row>
    <row r="151" spans="1:15">
      <c r="A151" s="1653"/>
      <c r="B151" s="2130" t="s">
        <v>486</v>
      </c>
      <c r="C151" s="2133"/>
      <c r="D151" s="2134"/>
      <c r="E151" s="2134"/>
      <c r="F151" s="2134"/>
      <c r="G151" s="2134"/>
      <c r="H151" s="2134"/>
      <c r="I151" s="2134"/>
      <c r="J151" s="2134"/>
      <c r="K151" s="2134"/>
      <c r="L151" s="2134"/>
      <c r="M151" s="2134"/>
      <c r="N151" s="2136"/>
      <c r="O151" s="2139">
        <f t="shared" si="15"/>
        <v>0</v>
      </c>
    </row>
    <row r="152" spans="1:15">
      <c r="A152" s="1653"/>
      <c r="B152" s="2130" t="s">
        <v>96</v>
      </c>
      <c r="C152" s="2189"/>
      <c r="D152" s="2187"/>
      <c r="E152" s="2187"/>
      <c r="F152" s="2187"/>
      <c r="G152" s="2187"/>
      <c r="H152" s="2187"/>
      <c r="I152" s="2187"/>
      <c r="J152" s="2187"/>
      <c r="K152" s="2187"/>
      <c r="L152" s="2187"/>
      <c r="M152" s="2187"/>
      <c r="N152" s="2225"/>
      <c r="O152" s="2139">
        <f t="shared" si="15"/>
        <v>0</v>
      </c>
    </row>
    <row r="153" spans="1:15">
      <c r="A153" s="1653"/>
      <c r="B153" s="2130" t="s">
        <v>585</v>
      </c>
      <c r="C153" s="2133"/>
      <c r="D153" s="2134"/>
      <c r="E153" s="2134"/>
      <c r="F153" s="2134"/>
      <c r="G153" s="2134"/>
      <c r="H153" s="2134"/>
      <c r="I153" s="2134"/>
      <c r="J153" s="2134"/>
      <c r="K153" s="2134"/>
      <c r="L153" s="2134"/>
      <c r="M153" s="2134"/>
      <c r="N153" s="2136"/>
      <c r="O153" s="2139">
        <f t="shared" si="15"/>
        <v>0</v>
      </c>
    </row>
    <row r="154" spans="1:15">
      <c r="A154" s="1653"/>
      <c r="B154" s="2130" t="s">
        <v>561</v>
      </c>
      <c r="C154" s="2133"/>
      <c r="D154" s="2134"/>
      <c r="E154" s="2134"/>
      <c r="F154" s="2134"/>
      <c r="G154" s="2134"/>
      <c r="H154" s="2134"/>
      <c r="I154" s="2134"/>
      <c r="J154" s="2134"/>
      <c r="K154" s="2134"/>
      <c r="L154" s="2134"/>
      <c r="M154" s="2134"/>
      <c r="N154" s="2136"/>
      <c r="O154" s="2139">
        <f t="shared" si="15"/>
        <v>0</v>
      </c>
    </row>
    <row r="155" spans="1:15">
      <c r="A155" s="1653"/>
      <c r="B155" s="2131" t="s">
        <v>586</v>
      </c>
      <c r="C155" s="2133"/>
      <c r="D155" s="2134"/>
      <c r="E155" s="2134"/>
      <c r="F155" s="2134"/>
      <c r="G155" s="2134"/>
      <c r="H155" s="2134"/>
      <c r="I155" s="2134"/>
      <c r="J155" s="2134"/>
      <c r="K155" s="2134"/>
      <c r="L155" s="2134"/>
      <c r="M155" s="2134"/>
      <c r="N155" s="2136"/>
      <c r="O155" s="2139">
        <f t="shared" si="15"/>
        <v>0</v>
      </c>
    </row>
    <row r="156" spans="1:15">
      <c r="A156" s="1653"/>
      <c r="B156" s="2130" t="s">
        <v>100</v>
      </c>
      <c r="C156" s="2133"/>
      <c r="D156" s="2134"/>
      <c r="E156" s="2134"/>
      <c r="F156" s="2134"/>
      <c r="G156" s="2134"/>
      <c r="H156" s="2134"/>
      <c r="I156" s="2134"/>
      <c r="J156" s="2134"/>
      <c r="K156" s="2187"/>
      <c r="L156" s="2134"/>
      <c r="M156" s="2134"/>
      <c r="N156" s="2136"/>
      <c r="O156" s="2139">
        <f t="shared" si="15"/>
        <v>0</v>
      </c>
    </row>
    <row r="157" spans="1:15">
      <c r="A157" s="1653"/>
      <c r="B157" s="2130" t="s">
        <v>102</v>
      </c>
      <c r="C157" s="2189"/>
      <c r="D157" s="2187"/>
      <c r="E157" s="2187"/>
      <c r="F157" s="2187"/>
      <c r="G157" s="2187"/>
      <c r="H157" s="2187"/>
      <c r="I157" s="2187"/>
      <c r="J157" s="2187"/>
      <c r="K157" s="2187"/>
      <c r="L157" s="2187"/>
      <c r="M157" s="2187"/>
      <c r="N157" s="2225"/>
      <c r="O157" s="2139">
        <f t="shared" si="15"/>
        <v>0</v>
      </c>
    </row>
    <row r="158" spans="1:15">
      <c r="A158" s="1653"/>
      <c r="B158" s="2226" t="s">
        <v>559</v>
      </c>
      <c r="C158" s="2189"/>
      <c r="D158" s="2187"/>
      <c r="E158" s="2187"/>
      <c r="F158" s="2187"/>
      <c r="G158" s="2187"/>
      <c r="H158" s="2187"/>
      <c r="I158" s="2187"/>
      <c r="J158" s="2187"/>
      <c r="K158" s="2187"/>
      <c r="L158" s="2187"/>
      <c r="M158" s="2187"/>
      <c r="N158" s="2225"/>
      <c r="O158" s="2139">
        <f>SUM(C158:N158)</f>
        <v>0</v>
      </c>
    </row>
    <row r="159" spans="1:15" ht="13.8" thickBot="1">
      <c r="A159" s="1653"/>
      <c r="B159" s="2132" t="s">
        <v>488</v>
      </c>
      <c r="C159" s="2227"/>
      <c r="D159" s="2228"/>
      <c r="E159" s="2228"/>
      <c r="F159" s="2228"/>
      <c r="G159" s="2228"/>
      <c r="H159" s="2228"/>
      <c r="I159" s="2228"/>
      <c r="J159" s="2228"/>
      <c r="K159" s="2228"/>
      <c r="L159" s="2228"/>
      <c r="M159" s="2228"/>
      <c r="N159" s="2229"/>
      <c r="O159" s="2144">
        <f t="shared" si="15"/>
        <v>0</v>
      </c>
    </row>
    <row r="160" spans="1:15" ht="13.8" thickBot="1">
      <c r="A160" s="1653"/>
      <c r="B160" s="1653"/>
      <c r="C160" s="2140">
        <f t="shared" ref="C160:O160" si="16">SUM(C146:C159)</f>
        <v>0</v>
      </c>
      <c r="D160" s="2141">
        <f t="shared" si="16"/>
        <v>0</v>
      </c>
      <c r="E160" s="2141">
        <f t="shared" si="16"/>
        <v>0</v>
      </c>
      <c r="F160" s="2141">
        <f t="shared" si="16"/>
        <v>0</v>
      </c>
      <c r="G160" s="2141">
        <f t="shared" si="16"/>
        <v>0</v>
      </c>
      <c r="H160" s="2141">
        <f t="shared" si="16"/>
        <v>0</v>
      </c>
      <c r="I160" s="2141">
        <f t="shared" si="16"/>
        <v>0</v>
      </c>
      <c r="J160" s="2141">
        <f t="shared" si="16"/>
        <v>0</v>
      </c>
      <c r="K160" s="2141">
        <f t="shared" si="16"/>
        <v>0</v>
      </c>
      <c r="L160" s="2141">
        <f t="shared" si="16"/>
        <v>0</v>
      </c>
      <c r="M160" s="2141">
        <f t="shared" si="16"/>
        <v>0</v>
      </c>
      <c r="N160" s="2142">
        <f t="shared" si="16"/>
        <v>0</v>
      </c>
      <c r="O160" s="2230">
        <f t="shared" si="16"/>
        <v>0</v>
      </c>
    </row>
    <row r="161" spans="1:15">
      <c r="A161" s="1653"/>
      <c r="B161" s="1653"/>
      <c r="C161" s="1633"/>
      <c r="D161" s="1633"/>
      <c r="E161" s="1633"/>
      <c r="F161" s="1633"/>
      <c r="G161" s="1633"/>
      <c r="H161" s="1633"/>
      <c r="I161" s="1633"/>
      <c r="J161" s="1633"/>
      <c r="K161" s="1633"/>
      <c r="L161" s="1633"/>
      <c r="M161" s="1633"/>
      <c r="N161" s="1633"/>
      <c r="O161" s="1645"/>
    </row>
    <row r="162" spans="1:15">
      <c r="A162" s="1653"/>
      <c r="B162" s="1653"/>
      <c r="C162" s="1633"/>
      <c r="D162" s="1633"/>
      <c r="E162" s="1633"/>
      <c r="F162" s="1633"/>
      <c r="G162" s="1633"/>
      <c r="H162" s="1633"/>
      <c r="I162" s="1633"/>
      <c r="J162" s="1633"/>
      <c r="K162" s="1633"/>
      <c r="L162" s="1633"/>
      <c r="M162" s="1633"/>
      <c r="N162" s="1633"/>
      <c r="O162" s="1645"/>
    </row>
    <row r="163" spans="1:15">
      <c r="A163" s="1653"/>
      <c r="B163" s="1653"/>
      <c r="C163" s="1633"/>
      <c r="D163" s="1633"/>
      <c r="E163" s="1633"/>
      <c r="F163" s="1633"/>
      <c r="G163" s="1633"/>
      <c r="H163" s="1633"/>
      <c r="I163" s="1633"/>
      <c r="J163" s="1633"/>
      <c r="K163" s="1633"/>
      <c r="L163" s="1633"/>
      <c r="M163" s="1633"/>
      <c r="N163" s="1633"/>
      <c r="O163" s="1645"/>
    </row>
    <row r="164" spans="1:15" ht="13.8" thickBot="1">
      <c r="A164" s="1653"/>
      <c r="B164" s="1653"/>
      <c r="C164" s="1633"/>
      <c r="D164" s="1633"/>
      <c r="E164" s="1633"/>
      <c r="F164" s="1633"/>
      <c r="G164" s="1633"/>
      <c r="H164" s="1633"/>
      <c r="I164" s="1633"/>
      <c r="J164" s="1633"/>
      <c r="K164" s="1633"/>
      <c r="L164" s="1633"/>
      <c r="M164" s="1633"/>
      <c r="N164" s="1633"/>
      <c r="O164" s="1645"/>
    </row>
    <row r="165" spans="1:15" ht="13.8" thickBot="1">
      <c r="A165" s="1653"/>
      <c r="B165" s="2316" t="s">
        <v>494</v>
      </c>
      <c r="C165" s="2318" t="s">
        <v>489</v>
      </c>
      <c r="D165" s="2318"/>
      <c r="E165" s="2318"/>
      <c r="F165" s="2318"/>
      <c r="G165" s="2318"/>
      <c r="H165" s="2318"/>
      <c r="I165" s="2318"/>
      <c r="J165" s="2318"/>
      <c r="K165" s="2318"/>
      <c r="L165" s="2318"/>
      <c r="M165" s="2318"/>
      <c r="N165" s="2318"/>
      <c r="O165" s="2319"/>
    </row>
    <row r="166" spans="1:15" ht="13.8" thickBot="1">
      <c r="A166" s="1653"/>
      <c r="B166" s="2317"/>
      <c r="C166" s="2182" t="s">
        <v>328</v>
      </c>
      <c r="D166" s="2183" t="s">
        <v>2</v>
      </c>
      <c r="E166" s="2183" t="s">
        <v>3</v>
      </c>
      <c r="F166" s="2183" t="s">
        <v>4</v>
      </c>
      <c r="G166" s="2183" t="s">
        <v>5</v>
      </c>
      <c r="H166" s="2183" t="s">
        <v>6</v>
      </c>
      <c r="I166" s="2183" t="s">
        <v>7</v>
      </c>
      <c r="J166" s="2183" t="s">
        <v>8</v>
      </c>
      <c r="K166" s="2183" t="s">
        <v>9</v>
      </c>
      <c r="L166" s="2183" t="s">
        <v>10</v>
      </c>
      <c r="M166" s="2183" t="s">
        <v>11</v>
      </c>
      <c r="N166" s="2184" t="s">
        <v>12</v>
      </c>
      <c r="O166" s="2147" t="s">
        <v>475</v>
      </c>
    </row>
    <row r="167" spans="1:15">
      <c r="A167" s="1653"/>
      <c r="B167" s="2130" t="s">
        <v>159</v>
      </c>
      <c r="C167" s="2231"/>
      <c r="D167" s="2232"/>
      <c r="E167" s="2232"/>
      <c r="F167" s="2232"/>
      <c r="G167" s="2232"/>
      <c r="H167" s="2232"/>
      <c r="I167" s="2232"/>
      <c r="J167" s="2232"/>
      <c r="K167" s="2232"/>
      <c r="L167" s="2232"/>
      <c r="M167" s="2232"/>
      <c r="N167" s="2233"/>
      <c r="O167" s="2234">
        <f>SUM(C167:N167)</f>
        <v>0</v>
      </c>
    </row>
    <row r="168" spans="1:15">
      <c r="A168" s="1653"/>
      <c r="B168" s="2130" t="s">
        <v>90</v>
      </c>
      <c r="C168" s="2235"/>
      <c r="D168" s="2202"/>
      <c r="E168" s="2202"/>
      <c r="F168" s="2202"/>
      <c r="G168" s="2202"/>
      <c r="H168" s="2202"/>
      <c r="I168" s="2202"/>
      <c r="J168" s="2202"/>
      <c r="K168" s="2202"/>
      <c r="L168" s="2202"/>
      <c r="M168" s="2202"/>
      <c r="N168" s="2203"/>
      <c r="O168" s="2234">
        <f t="shared" ref="O168:O180" si="17">SUM(C168:N168)</f>
        <v>0</v>
      </c>
    </row>
    <row r="169" spans="1:15">
      <c r="A169" s="1653"/>
      <c r="B169" s="2130" t="s">
        <v>91</v>
      </c>
      <c r="C169" s="2201"/>
      <c r="D169" s="2202"/>
      <c r="E169" s="2202"/>
      <c r="F169" s="2202"/>
      <c r="G169" s="2202"/>
      <c r="H169" s="2202"/>
      <c r="I169" s="2202"/>
      <c r="J169" s="2202"/>
      <c r="K169" s="2202"/>
      <c r="L169" s="2202"/>
      <c r="M169" s="2202"/>
      <c r="N169" s="2203"/>
      <c r="O169" s="2234">
        <f t="shared" si="17"/>
        <v>0</v>
      </c>
    </row>
    <row r="170" spans="1:15">
      <c r="A170" s="1653"/>
      <c r="B170" s="2130" t="s">
        <v>104</v>
      </c>
      <c r="C170" s="2204"/>
      <c r="D170" s="1637"/>
      <c r="E170" s="1637"/>
      <c r="F170" s="1637"/>
      <c r="G170" s="1637"/>
      <c r="H170" s="1637"/>
      <c r="I170" s="1637"/>
      <c r="J170" s="1637"/>
      <c r="K170" s="1637"/>
      <c r="L170" s="1637"/>
      <c r="M170" s="1637"/>
      <c r="N170" s="2203"/>
      <c r="O170" s="2234">
        <f t="shared" si="17"/>
        <v>0</v>
      </c>
    </row>
    <row r="171" spans="1:15">
      <c r="A171" s="1653"/>
      <c r="B171" s="2130" t="s">
        <v>101</v>
      </c>
      <c r="C171" s="2201"/>
      <c r="D171" s="2202"/>
      <c r="E171" s="2202"/>
      <c r="F171" s="2202"/>
      <c r="G171" s="2202"/>
      <c r="H171" s="2202"/>
      <c r="I171" s="2202"/>
      <c r="J171" s="2202"/>
      <c r="K171" s="2202"/>
      <c r="L171" s="2202"/>
      <c r="M171" s="2202"/>
      <c r="N171" s="2203"/>
      <c r="O171" s="2234">
        <f t="shared" si="17"/>
        <v>0</v>
      </c>
    </row>
    <row r="172" spans="1:15">
      <c r="A172" s="1653"/>
      <c r="B172" s="2130" t="s">
        <v>486</v>
      </c>
      <c r="C172" s="2204"/>
      <c r="D172" s="1637"/>
      <c r="E172" s="1637"/>
      <c r="F172" s="1637"/>
      <c r="G172" s="1637"/>
      <c r="H172" s="1637"/>
      <c r="I172" s="1637"/>
      <c r="J172" s="1637"/>
      <c r="K172" s="1637"/>
      <c r="L172" s="1637"/>
      <c r="M172" s="1637"/>
      <c r="N172" s="2099"/>
      <c r="O172" s="2234">
        <f t="shared" si="17"/>
        <v>0</v>
      </c>
    </row>
    <row r="173" spans="1:15">
      <c r="A173" s="1653"/>
      <c r="B173" s="2130" t="s">
        <v>96</v>
      </c>
      <c r="C173" s="2201"/>
      <c r="D173" s="2202"/>
      <c r="E173" s="2202"/>
      <c r="F173" s="2202"/>
      <c r="G173" s="2202"/>
      <c r="H173" s="2202"/>
      <c r="I173" s="2202"/>
      <c r="J173" s="2202"/>
      <c r="K173" s="2202"/>
      <c r="L173" s="2202"/>
      <c r="M173" s="2202"/>
      <c r="N173" s="2203"/>
      <c r="O173" s="2234">
        <f t="shared" si="17"/>
        <v>0</v>
      </c>
    </row>
    <row r="174" spans="1:15">
      <c r="A174" s="1653"/>
      <c r="B174" s="2130" t="s">
        <v>585</v>
      </c>
      <c r="C174" s="2204"/>
      <c r="D174" s="1637"/>
      <c r="E174" s="1637"/>
      <c r="F174" s="1637"/>
      <c r="G174" s="1637"/>
      <c r="H174" s="1637"/>
      <c r="I174" s="1637"/>
      <c r="J174" s="1637"/>
      <c r="K174" s="1637"/>
      <c r="L174" s="1637"/>
      <c r="M174" s="1637"/>
      <c r="N174" s="2099"/>
      <c r="O174" s="2234">
        <f t="shared" si="17"/>
        <v>0</v>
      </c>
    </row>
    <row r="175" spans="1:15">
      <c r="A175" s="1653"/>
      <c r="B175" s="2130" t="s">
        <v>561</v>
      </c>
      <c r="C175" s="2204"/>
      <c r="D175" s="1637"/>
      <c r="E175" s="1637"/>
      <c r="F175" s="1637"/>
      <c r="G175" s="1637"/>
      <c r="H175" s="1637"/>
      <c r="I175" s="1637"/>
      <c r="J175" s="1637"/>
      <c r="K175" s="1637"/>
      <c r="L175" s="1637"/>
      <c r="M175" s="1637"/>
      <c r="N175" s="2099"/>
      <c r="O175" s="2234">
        <f t="shared" si="17"/>
        <v>0</v>
      </c>
    </row>
    <row r="176" spans="1:15">
      <c r="A176" s="1653"/>
      <c r="B176" s="2131" t="s">
        <v>586</v>
      </c>
      <c r="C176" s="2204"/>
      <c r="D176" s="1637"/>
      <c r="E176" s="1637"/>
      <c r="F176" s="1637"/>
      <c r="G176" s="1637"/>
      <c r="H176" s="1637"/>
      <c r="I176" s="1637"/>
      <c r="J176" s="1637"/>
      <c r="K176" s="1637"/>
      <c r="L176" s="1637"/>
      <c r="M176" s="1637"/>
      <c r="N176" s="2099"/>
      <c r="O176" s="2234">
        <f t="shared" si="17"/>
        <v>0</v>
      </c>
    </row>
    <row r="177" spans="1:15">
      <c r="A177" s="1653"/>
      <c r="B177" s="2130" t="s">
        <v>100</v>
      </c>
      <c r="C177" s="2201"/>
      <c r="D177" s="2202"/>
      <c r="E177" s="2202"/>
      <c r="F177" s="2202"/>
      <c r="G177" s="2202"/>
      <c r="H177" s="2202"/>
      <c r="I177" s="2202"/>
      <c r="J177" s="2202"/>
      <c r="K177" s="2202"/>
      <c r="L177" s="2202"/>
      <c r="M177" s="2202"/>
      <c r="N177" s="2203"/>
      <c r="O177" s="2234">
        <f t="shared" si="17"/>
        <v>0</v>
      </c>
    </row>
    <row r="178" spans="1:15">
      <c r="A178" s="1653"/>
      <c r="B178" s="2130" t="s">
        <v>102</v>
      </c>
      <c r="C178" s="2186"/>
      <c r="D178" s="2187"/>
      <c r="E178" s="2187"/>
      <c r="F178" s="2202"/>
      <c r="G178" s="2202"/>
      <c r="H178" s="2202"/>
      <c r="I178" s="2202"/>
      <c r="J178" s="2202"/>
      <c r="K178" s="2202"/>
      <c r="L178" s="2187"/>
      <c r="M178" s="2187"/>
      <c r="N178" s="2203"/>
      <c r="O178" s="2234">
        <f t="shared" si="17"/>
        <v>0</v>
      </c>
    </row>
    <row r="179" spans="1:15">
      <c r="A179" s="1653"/>
      <c r="B179" s="2130" t="s">
        <v>559</v>
      </c>
      <c r="C179" s="2201"/>
      <c r="D179" s="2202"/>
      <c r="E179" s="2202"/>
      <c r="F179" s="2202"/>
      <c r="G179" s="2202"/>
      <c r="H179" s="2202"/>
      <c r="I179" s="2202"/>
      <c r="J179" s="2202"/>
      <c r="K179" s="2202"/>
      <c r="L179" s="2202"/>
      <c r="M179" s="2202"/>
      <c r="N179" s="2203"/>
      <c r="O179" s="2234">
        <f t="shared" si="17"/>
        <v>0</v>
      </c>
    </row>
    <row r="180" spans="1:15" ht="13.8" thickBot="1">
      <c r="A180" s="1653"/>
      <c r="B180" s="2132" t="s">
        <v>488</v>
      </c>
      <c r="C180" s="2236"/>
      <c r="D180" s="2237"/>
      <c r="E180" s="2237"/>
      <c r="F180" s="2237"/>
      <c r="G180" s="2237"/>
      <c r="H180" s="2237"/>
      <c r="I180" s="2237"/>
      <c r="J180" s="2237"/>
      <c r="K180" s="2237"/>
      <c r="L180" s="2237"/>
      <c r="M180" s="2237"/>
      <c r="N180" s="2238"/>
      <c r="O180" s="2239">
        <f t="shared" si="17"/>
        <v>0</v>
      </c>
    </row>
    <row r="181" spans="1:15" ht="13.8" thickBot="1">
      <c r="A181" s="1653"/>
      <c r="B181" s="1653"/>
      <c r="C181" s="1642">
        <f t="shared" ref="C181:O181" si="18">SUM(C167:C180)</f>
        <v>0</v>
      </c>
      <c r="D181" s="1642">
        <f t="shared" si="18"/>
        <v>0</v>
      </c>
      <c r="E181" s="1642">
        <f t="shared" si="18"/>
        <v>0</v>
      </c>
      <c r="F181" s="1642">
        <f t="shared" si="18"/>
        <v>0</v>
      </c>
      <c r="G181" s="1642">
        <f t="shared" si="18"/>
        <v>0</v>
      </c>
      <c r="H181" s="1642">
        <f t="shared" si="18"/>
        <v>0</v>
      </c>
      <c r="I181" s="1642">
        <f t="shared" si="18"/>
        <v>0</v>
      </c>
      <c r="J181" s="1642">
        <f t="shared" si="18"/>
        <v>0</v>
      </c>
      <c r="K181" s="1642">
        <f t="shared" si="18"/>
        <v>0</v>
      </c>
      <c r="L181" s="1642">
        <f t="shared" si="18"/>
        <v>0</v>
      </c>
      <c r="M181" s="1642">
        <f t="shared" si="18"/>
        <v>0</v>
      </c>
      <c r="N181" s="2146">
        <f t="shared" si="18"/>
        <v>0</v>
      </c>
      <c r="O181" s="1652">
        <f t="shared" si="18"/>
        <v>0</v>
      </c>
    </row>
    <row r="182" spans="1:15">
      <c r="A182" s="1653"/>
      <c r="B182" s="1653"/>
      <c r="C182" s="1633"/>
      <c r="D182" s="1633"/>
      <c r="E182" s="1633"/>
      <c r="F182" s="1633"/>
      <c r="G182" s="1633"/>
      <c r="H182" s="1633"/>
      <c r="I182" s="1633"/>
      <c r="J182" s="1633"/>
      <c r="K182" s="1633"/>
      <c r="L182" s="1633"/>
      <c r="M182" s="1633"/>
      <c r="N182" s="1633"/>
      <c r="O182" s="1645"/>
    </row>
    <row r="183" spans="1:15" ht="13.8" thickBot="1">
      <c r="A183" s="1653"/>
      <c r="B183" s="1653"/>
      <c r="C183" s="1633"/>
      <c r="D183" s="1633"/>
      <c r="E183" s="1633"/>
      <c r="F183" s="1633"/>
      <c r="G183" s="1633"/>
      <c r="H183" s="1633"/>
      <c r="I183" s="1633"/>
      <c r="J183" s="1633"/>
      <c r="K183" s="1633"/>
      <c r="L183" s="1633"/>
      <c r="M183" s="1633"/>
      <c r="N183" s="1633"/>
      <c r="O183" s="1645"/>
    </row>
    <row r="184" spans="1:15" ht="13.8" thickBot="1">
      <c r="A184" s="1653"/>
      <c r="B184" s="1653"/>
      <c r="C184" s="2320" t="s">
        <v>524</v>
      </c>
      <c r="D184" s="2321"/>
      <c r="E184" s="2321"/>
      <c r="F184" s="2321"/>
      <c r="G184" s="2321"/>
      <c r="H184" s="2321"/>
      <c r="I184" s="2321"/>
      <c r="J184" s="2321"/>
      <c r="K184" s="2321"/>
      <c r="L184" s="2321"/>
      <c r="M184" s="2321"/>
      <c r="N184" s="1949" t="s">
        <v>437</v>
      </c>
      <c r="O184" s="1649" t="s">
        <v>475</v>
      </c>
    </row>
    <row r="185" spans="1:15">
      <c r="A185" s="1653"/>
      <c r="B185" s="1653"/>
      <c r="C185" s="1950" t="s">
        <v>328</v>
      </c>
      <c r="D185" s="1951" t="s">
        <v>2</v>
      </c>
      <c r="E185" s="1951" t="s">
        <v>3</v>
      </c>
      <c r="F185" s="1951" t="s">
        <v>4</v>
      </c>
      <c r="G185" s="1951" t="s">
        <v>5</v>
      </c>
      <c r="H185" s="1951" t="s">
        <v>6</v>
      </c>
      <c r="I185" s="1951" t="s">
        <v>7</v>
      </c>
      <c r="J185" s="1951" t="s">
        <v>8</v>
      </c>
      <c r="K185" s="1951" t="s">
        <v>9</v>
      </c>
      <c r="L185" s="1951" t="s">
        <v>10</v>
      </c>
      <c r="M185" s="1951" t="s">
        <v>11</v>
      </c>
      <c r="N185" s="1951" t="s">
        <v>12</v>
      </c>
      <c r="O185" s="1953">
        <f>SUM(O186:O198)</f>
        <v>0</v>
      </c>
    </row>
    <row r="186" spans="1:15">
      <c r="A186" s="1653"/>
      <c r="B186" s="1653"/>
      <c r="C186" s="1954"/>
      <c r="D186" s="1952"/>
      <c r="E186" s="1952"/>
      <c r="F186" s="1952"/>
      <c r="G186" s="1952"/>
      <c r="H186" s="1952"/>
      <c r="I186" s="1952"/>
      <c r="J186" s="1952"/>
      <c r="K186" s="1952"/>
      <c r="L186" s="1952"/>
      <c r="M186" s="1952"/>
      <c r="N186" s="1952"/>
      <c r="O186" s="1955"/>
    </row>
    <row r="187" spans="1:15">
      <c r="A187" s="1653"/>
      <c r="B187" s="1653"/>
      <c r="C187" s="1954">
        <f>SUM($C$181*20/100)/12</f>
        <v>0</v>
      </c>
      <c r="D187" s="1952">
        <f>SUM($C$181*20/100)/12</f>
        <v>0</v>
      </c>
      <c r="E187" s="1952">
        <f t="shared" ref="E187:N187" si="19">SUM($C$181*20/100)/12</f>
        <v>0</v>
      </c>
      <c r="F187" s="1952">
        <f t="shared" si="19"/>
        <v>0</v>
      </c>
      <c r="G187" s="1952">
        <f t="shared" si="19"/>
        <v>0</v>
      </c>
      <c r="H187" s="1952">
        <f t="shared" si="19"/>
        <v>0</v>
      </c>
      <c r="I187" s="1952">
        <f t="shared" si="19"/>
        <v>0</v>
      </c>
      <c r="J187" s="1952">
        <f t="shared" si="19"/>
        <v>0</v>
      </c>
      <c r="K187" s="1952">
        <f t="shared" si="19"/>
        <v>0</v>
      </c>
      <c r="L187" s="1952">
        <f t="shared" si="19"/>
        <v>0</v>
      </c>
      <c r="M187" s="1952">
        <f t="shared" si="19"/>
        <v>0</v>
      </c>
      <c r="N187" s="1952">
        <f t="shared" si="19"/>
        <v>0</v>
      </c>
      <c r="O187" s="1955">
        <f>SUM(C187:N187)</f>
        <v>0</v>
      </c>
    </row>
    <row r="188" spans="1:15">
      <c r="A188" s="1653"/>
      <c r="B188" s="1653"/>
      <c r="C188" s="1954"/>
      <c r="D188" s="1952">
        <f>SUM($D$181*20/100)/12*2</f>
        <v>0</v>
      </c>
      <c r="E188" s="1952">
        <f>SUM($D$181*20/100)/12</f>
        <v>0</v>
      </c>
      <c r="F188" s="1952">
        <f>SUM($D$181*20/100)/12</f>
        <v>0</v>
      </c>
      <c r="G188" s="1952">
        <f t="shared" ref="G188:N188" si="20">SUM($D$181*20/100)/12</f>
        <v>0</v>
      </c>
      <c r="H188" s="1952">
        <f t="shared" si="20"/>
        <v>0</v>
      </c>
      <c r="I188" s="1952">
        <f t="shared" si="20"/>
        <v>0</v>
      </c>
      <c r="J188" s="1952">
        <f t="shared" si="20"/>
        <v>0</v>
      </c>
      <c r="K188" s="1952">
        <f t="shared" si="20"/>
        <v>0</v>
      </c>
      <c r="L188" s="1952">
        <f t="shared" si="20"/>
        <v>0</v>
      </c>
      <c r="M188" s="1952">
        <f t="shared" si="20"/>
        <v>0</v>
      </c>
      <c r="N188" s="1952">
        <f t="shared" si="20"/>
        <v>0</v>
      </c>
      <c r="O188" s="1955">
        <f t="shared" ref="O188:O198" si="21">SUM(C188:N188)</f>
        <v>0</v>
      </c>
    </row>
    <row r="189" spans="1:15">
      <c r="A189" s="1653"/>
      <c r="B189" s="1653"/>
      <c r="C189" s="1954"/>
      <c r="D189" s="1952"/>
      <c r="E189" s="1952">
        <f>SUM($E$181*20/100)/12*3</f>
        <v>0</v>
      </c>
      <c r="F189" s="1952">
        <f>SUM($E$181*20/100)/12</f>
        <v>0</v>
      </c>
      <c r="G189" s="1952">
        <f t="shared" ref="G189:N189" si="22">SUM($E$181*20/100)/12</f>
        <v>0</v>
      </c>
      <c r="H189" s="1952">
        <f t="shared" si="22"/>
        <v>0</v>
      </c>
      <c r="I189" s="1952">
        <f t="shared" si="22"/>
        <v>0</v>
      </c>
      <c r="J189" s="1952">
        <f t="shared" si="22"/>
        <v>0</v>
      </c>
      <c r="K189" s="1952">
        <f t="shared" si="22"/>
        <v>0</v>
      </c>
      <c r="L189" s="1952">
        <f t="shared" si="22"/>
        <v>0</v>
      </c>
      <c r="M189" s="1952">
        <f t="shared" si="22"/>
        <v>0</v>
      </c>
      <c r="N189" s="1952">
        <f t="shared" si="22"/>
        <v>0</v>
      </c>
      <c r="O189" s="1955">
        <f t="shared" si="21"/>
        <v>0</v>
      </c>
    </row>
    <row r="190" spans="1:15">
      <c r="A190" s="1653"/>
      <c r="B190" s="1653"/>
      <c r="C190" s="1954"/>
      <c r="D190" s="1952"/>
      <c r="E190" s="1952"/>
      <c r="F190" s="1952">
        <f>SUM($F$181*20/100)/12*4</f>
        <v>0</v>
      </c>
      <c r="G190" s="1952">
        <f>SUM($F$181*20/100)/12</f>
        <v>0</v>
      </c>
      <c r="H190" s="1952">
        <f t="shared" ref="H190:N190" si="23">SUM($F$181*20/100)/12</f>
        <v>0</v>
      </c>
      <c r="I190" s="1952">
        <f t="shared" si="23"/>
        <v>0</v>
      </c>
      <c r="J190" s="1952">
        <f t="shared" si="23"/>
        <v>0</v>
      </c>
      <c r="K190" s="1952">
        <f t="shared" si="23"/>
        <v>0</v>
      </c>
      <c r="L190" s="1952">
        <f t="shared" si="23"/>
        <v>0</v>
      </c>
      <c r="M190" s="1952">
        <f t="shared" si="23"/>
        <v>0</v>
      </c>
      <c r="N190" s="1952">
        <f t="shared" si="23"/>
        <v>0</v>
      </c>
      <c r="O190" s="1955">
        <f t="shared" si="21"/>
        <v>0</v>
      </c>
    </row>
    <row r="191" spans="1:15">
      <c r="A191" s="1653"/>
      <c r="B191" s="1653"/>
      <c r="C191" s="1954"/>
      <c r="D191" s="1952"/>
      <c r="E191" s="1952"/>
      <c r="F191" s="1952"/>
      <c r="G191" s="1952">
        <f>SUM($G$181*20/100)/12*5</f>
        <v>0</v>
      </c>
      <c r="H191" s="1952">
        <f>SUM($G$181*20/100)/12</f>
        <v>0</v>
      </c>
      <c r="I191" s="1952">
        <f t="shared" ref="I191:N191" si="24">SUM($G$181*20/100)/12</f>
        <v>0</v>
      </c>
      <c r="J191" s="1952">
        <f t="shared" si="24"/>
        <v>0</v>
      </c>
      <c r="K191" s="1952">
        <f t="shared" si="24"/>
        <v>0</v>
      </c>
      <c r="L191" s="1952">
        <f t="shared" si="24"/>
        <v>0</v>
      </c>
      <c r="M191" s="1952">
        <f t="shared" si="24"/>
        <v>0</v>
      </c>
      <c r="N191" s="1952">
        <f t="shared" si="24"/>
        <v>0</v>
      </c>
      <c r="O191" s="1955">
        <f t="shared" si="21"/>
        <v>0</v>
      </c>
    </row>
    <row r="192" spans="1:15">
      <c r="A192" s="1653"/>
      <c r="B192" s="1653"/>
      <c r="C192" s="1954"/>
      <c r="D192" s="1952"/>
      <c r="E192" s="1952"/>
      <c r="F192" s="1952"/>
      <c r="G192" s="1952"/>
      <c r="H192" s="1952">
        <f>SUM($H$181*20/100)/12*6</f>
        <v>0</v>
      </c>
      <c r="I192" s="1952">
        <f>SUM($H$181*20/100)/12</f>
        <v>0</v>
      </c>
      <c r="J192" s="1952">
        <f t="shared" ref="J192:N192" si="25">SUM($H$181*20/100)/12</f>
        <v>0</v>
      </c>
      <c r="K192" s="1952">
        <f t="shared" si="25"/>
        <v>0</v>
      </c>
      <c r="L192" s="1952">
        <f t="shared" si="25"/>
        <v>0</v>
      </c>
      <c r="M192" s="1952">
        <f t="shared" si="25"/>
        <v>0</v>
      </c>
      <c r="N192" s="1952">
        <f t="shared" si="25"/>
        <v>0</v>
      </c>
      <c r="O192" s="1955">
        <f t="shared" si="21"/>
        <v>0</v>
      </c>
    </row>
    <row r="193" spans="1:15">
      <c r="A193" s="1653"/>
      <c r="B193" s="1653"/>
      <c r="C193" s="1954"/>
      <c r="D193" s="1952"/>
      <c r="E193" s="1952"/>
      <c r="F193" s="1952"/>
      <c r="G193" s="1952"/>
      <c r="H193" s="1952"/>
      <c r="I193" s="1952">
        <f>SUM($I$181*20/100)/12*7</f>
        <v>0</v>
      </c>
      <c r="J193" s="1952">
        <f>SUM($I$181*20/100)/12</f>
        <v>0</v>
      </c>
      <c r="K193" s="1952">
        <f t="shared" ref="K193:N193" si="26">SUM($I$181*20/100)/12</f>
        <v>0</v>
      </c>
      <c r="L193" s="1952">
        <f t="shared" si="26"/>
        <v>0</v>
      </c>
      <c r="M193" s="1952">
        <f t="shared" si="26"/>
        <v>0</v>
      </c>
      <c r="N193" s="1952">
        <f t="shared" si="26"/>
        <v>0</v>
      </c>
      <c r="O193" s="1955">
        <f t="shared" si="21"/>
        <v>0</v>
      </c>
    </row>
    <row r="194" spans="1:15">
      <c r="A194" s="1653"/>
      <c r="B194" s="1653"/>
      <c r="C194" s="1954"/>
      <c r="D194" s="1952"/>
      <c r="E194" s="1952"/>
      <c r="F194" s="1952"/>
      <c r="G194" s="1952"/>
      <c r="H194" s="1952"/>
      <c r="I194" s="1952"/>
      <c r="J194" s="1952">
        <f>SUM($J$181*20/100)/12*8</f>
        <v>0</v>
      </c>
      <c r="K194" s="1952">
        <f>SUM($J$181*20/100)/12</f>
        <v>0</v>
      </c>
      <c r="L194" s="1952">
        <f t="shared" ref="L194:N194" si="27">SUM($J$181*20/100)/12</f>
        <v>0</v>
      </c>
      <c r="M194" s="1952">
        <f t="shared" si="27"/>
        <v>0</v>
      </c>
      <c r="N194" s="1952">
        <f t="shared" si="27"/>
        <v>0</v>
      </c>
      <c r="O194" s="1955">
        <f t="shared" si="21"/>
        <v>0</v>
      </c>
    </row>
    <row r="195" spans="1:15">
      <c r="A195" s="1653"/>
      <c r="B195" s="1653"/>
      <c r="C195" s="1954"/>
      <c r="D195" s="1952"/>
      <c r="E195" s="1952"/>
      <c r="F195" s="1952"/>
      <c r="G195" s="1952"/>
      <c r="H195" s="1952"/>
      <c r="I195" s="1952"/>
      <c r="J195" s="1952"/>
      <c r="K195" s="1952">
        <f>SUM($K$181*20/100)/12*9</f>
        <v>0</v>
      </c>
      <c r="L195" s="1952">
        <f>SUM($K$181*20/100)/12</f>
        <v>0</v>
      </c>
      <c r="M195" s="1952">
        <f t="shared" ref="M195:N195" si="28">SUM($K$181*20/100)/12</f>
        <v>0</v>
      </c>
      <c r="N195" s="1952">
        <f t="shared" si="28"/>
        <v>0</v>
      </c>
      <c r="O195" s="1955">
        <f t="shared" si="21"/>
        <v>0</v>
      </c>
    </row>
    <row r="196" spans="1:15">
      <c r="A196" s="1653"/>
      <c r="B196" s="1653"/>
      <c r="C196" s="1954"/>
      <c r="D196" s="1952"/>
      <c r="E196" s="1952"/>
      <c r="F196" s="1952"/>
      <c r="G196" s="1952"/>
      <c r="H196" s="1952"/>
      <c r="I196" s="1952"/>
      <c r="J196" s="1952"/>
      <c r="K196" s="1952"/>
      <c r="L196" s="1952">
        <f>SUM($L$181*20/100)/12*10</f>
        <v>0</v>
      </c>
      <c r="M196" s="1952">
        <f>SUM($L$181*20/100)/12</f>
        <v>0</v>
      </c>
      <c r="N196" s="1952">
        <f>SUM($L$181*20/100)/12</f>
        <v>0</v>
      </c>
      <c r="O196" s="1955">
        <f t="shared" si="21"/>
        <v>0</v>
      </c>
    </row>
    <row r="197" spans="1:15">
      <c r="A197" s="1653"/>
      <c r="B197" s="1653"/>
      <c r="C197" s="1954"/>
      <c r="D197" s="1952"/>
      <c r="E197" s="1952"/>
      <c r="F197" s="1952"/>
      <c r="G197" s="1952"/>
      <c r="H197" s="1952"/>
      <c r="I197" s="1952"/>
      <c r="J197" s="1952"/>
      <c r="K197" s="1952"/>
      <c r="L197" s="1952"/>
      <c r="M197" s="1952">
        <f>SUM($M$181*20/100)/12*11</f>
        <v>0</v>
      </c>
      <c r="N197" s="1952">
        <f>SUM($M$181*20/100)/12</f>
        <v>0</v>
      </c>
      <c r="O197" s="1955">
        <f>SUM(C197:N197)</f>
        <v>0</v>
      </c>
    </row>
    <row r="198" spans="1:15" ht="13.8" thickBot="1">
      <c r="A198" s="1653"/>
      <c r="B198" s="1653"/>
      <c r="C198" s="1958"/>
      <c r="D198" s="1959"/>
      <c r="E198" s="1959"/>
      <c r="F198" s="1959"/>
      <c r="G198" s="1959"/>
      <c r="H198" s="1959"/>
      <c r="I198" s="1959"/>
      <c r="J198" s="1959"/>
      <c r="K198" s="1959"/>
      <c r="L198" s="1959"/>
      <c r="M198" s="1959"/>
      <c r="N198" s="1959">
        <f>SUM($N$181*20/100)/12*12</f>
        <v>0</v>
      </c>
      <c r="O198" s="1960">
        <f t="shared" si="21"/>
        <v>0</v>
      </c>
    </row>
    <row r="199" spans="1:15" ht="13.8" thickBot="1">
      <c r="A199" s="1653"/>
      <c r="B199" s="1653" t="s">
        <v>525</v>
      </c>
      <c r="C199" s="1652">
        <f>SUM(C185:C198)</f>
        <v>0</v>
      </c>
      <c r="D199" s="1961">
        <f t="shared" ref="D199:N199" si="29">SUM(D185:D198)</f>
        <v>0</v>
      </c>
      <c r="E199" s="1652">
        <f t="shared" si="29"/>
        <v>0</v>
      </c>
      <c r="F199" s="1652">
        <f t="shared" si="29"/>
        <v>0</v>
      </c>
      <c r="G199" s="1652">
        <f t="shared" si="29"/>
        <v>0</v>
      </c>
      <c r="H199" s="1652">
        <f t="shared" si="29"/>
        <v>0</v>
      </c>
      <c r="I199" s="1652">
        <f t="shared" si="29"/>
        <v>0</v>
      </c>
      <c r="J199" s="1652">
        <f t="shared" si="29"/>
        <v>0</v>
      </c>
      <c r="K199" s="1652">
        <f t="shared" si="29"/>
        <v>0</v>
      </c>
      <c r="L199" s="1652">
        <f t="shared" si="29"/>
        <v>0</v>
      </c>
      <c r="M199" s="1652">
        <f t="shared" si="29"/>
        <v>0</v>
      </c>
      <c r="N199" s="1652">
        <f t="shared" si="29"/>
        <v>0</v>
      </c>
      <c r="O199" s="1962">
        <f>SUM(O185:O198)</f>
        <v>0</v>
      </c>
    </row>
    <row r="200" spans="1:15" ht="13.8" thickBot="1">
      <c r="A200" s="1653"/>
      <c r="B200" s="1653"/>
      <c r="C200" s="1963"/>
      <c r="D200" s="1963"/>
      <c r="E200" s="1963"/>
      <c r="F200" s="1963"/>
      <c r="G200" s="1963"/>
      <c r="H200" s="1963"/>
      <c r="I200" s="1963"/>
      <c r="J200" s="1963"/>
      <c r="K200" s="1963"/>
      <c r="L200" s="1963"/>
      <c r="M200" s="1963"/>
      <c r="N200" s="1963"/>
      <c r="O200" s="1964"/>
    </row>
    <row r="201" spans="1:15">
      <c r="A201" s="1653"/>
      <c r="B201" s="1653" t="s">
        <v>636</v>
      </c>
      <c r="C201" s="1965"/>
      <c r="D201" s="1965"/>
      <c r="E201" s="1965"/>
      <c r="F201" s="1965"/>
      <c r="G201" s="1965"/>
      <c r="H201" s="1965"/>
      <c r="I201" s="1965"/>
      <c r="J201" s="1965"/>
      <c r="K201" s="1965"/>
      <c r="L201" s="1965"/>
      <c r="M201" s="1965"/>
      <c r="N201" s="1965"/>
      <c r="O201" s="1967">
        <f>SUM(C201:N201)</f>
        <v>0</v>
      </c>
    </row>
    <row r="202" spans="1:15" ht="13.8" thickBot="1">
      <c r="A202" s="1653"/>
      <c r="B202" s="1653" t="s">
        <v>526</v>
      </c>
      <c r="C202" s="1956">
        <f>+C199+C201</f>
        <v>0</v>
      </c>
      <c r="D202" s="1957">
        <f t="shared" ref="D202:N202" si="30">+D199+D201</f>
        <v>0</v>
      </c>
      <c r="E202" s="1957">
        <f t="shared" si="30"/>
        <v>0</v>
      </c>
      <c r="F202" s="1957">
        <f t="shared" si="30"/>
        <v>0</v>
      </c>
      <c r="G202" s="1957">
        <f t="shared" si="30"/>
        <v>0</v>
      </c>
      <c r="H202" s="1957">
        <f t="shared" si="30"/>
        <v>0</v>
      </c>
      <c r="I202" s="1957">
        <f t="shared" si="30"/>
        <v>0</v>
      </c>
      <c r="J202" s="1957">
        <f t="shared" si="30"/>
        <v>0</v>
      </c>
      <c r="K202" s="1957">
        <f t="shared" si="30"/>
        <v>0</v>
      </c>
      <c r="L202" s="1957">
        <f t="shared" si="30"/>
        <v>0</v>
      </c>
      <c r="M202" s="1957">
        <f t="shared" si="30"/>
        <v>0</v>
      </c>
      <c r="N202" s="1966">
        <f t="shared" si="30"/>
        <v>0</v>
      </c>
      <c r="O202" s="1968">
        <f>+O199+O201</f>
        <v>0</v>
      </c>
    </row>
  </sheetData>
  <mergeCells count="21">
    <mergeCell ref="A43:N43"/>
    <mergeCell ref="B3:O3"/>
    <mergeCell ref="B7:B8"/>
    <mergeCell ref="C7:O7"/>
    <mergeCell ref="B25:B26"/>
    <mergeCell ref="C25:O25"/>
    <mergeCell ref="B44:B45"/>
    <mergeCell ref="C44:N44"/>
    <mergeCell ref="B64:B65"/>
    <mergeCell ref="C64:M64"/>
    <mergeCell ref="B84:B85"/>
    <mergeCell ref="C84:M84"/>
    <mergeCell ref="B165:B166"/>
    <mergeCell ref="C165:O165"/>
    <mergeCell ref="C184:M184"/>
    <mergeCell ref="B105:B106"/>
    <mergeCell ref="C105:M105"/>
    <mergeCell ref="B124:B125"/>
    <mergeCell ref="C124:M124"/>
    <mergeCell ref="B144:B145"/>
    <mergeCell ref="C144:M144"/>
  </mergeCells>
  <pageMargins left="0.7" right="0.7" top="0.75" bottom="0.75" header="0.3" footer="0.3"/>
  <pageSetup paperSize="9" scale="56" orientation="portrait" r:id="rId1"/>
  <rowBreaks count="1" manualBreakCount="1">
    <brk id="12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K204"/>
  <sheetViews>
    <sheetView showGridLines="0" topLeftCell="A155" zoomScaleNormal="100" workbookViewId="0">
      <pane xSplit="2" topLeftCell="C1" activePane="topRight" state="frozen"/>
      <selection activeCell="A29" sqref="A29"/>
      <selection pane="topRight" activeCell="R192" sqref="R192"/>
    </sheetView>
  </sheetViews>
  <sheetFormatPr defaultColWidth="9.109375" defaultRowHeight="10.199999999999999"/>
  <cols>
    <col min="1" max="1" width="2.5546875" style="1653" customWidth="1"/>
    <col min="2" max="2" width="10.33203125" style="1653" customWidth="1"/>
    <col min="3" max="3" width="10.44140625" style="1633" customWidth="1"/>
    <col min="4" max="4" width="10.88671875" style="1633" customWidth="1"/>
    <col min="5" max="6" width="10.44140625" style="1633" customWidth="1"/>
    <col min="7" max="7" width="10.33203125" style="1633" customWidth="1"/>
    <col min="8" max="8" width="11.109375" style="1633" customWidth="1"/>
    <col min="9" max="9" width="11.33203125" style="1633" customWidth="1"/>
    <col min="10" max="10" width="10.33203125" style="1633" customWidth="1"/>
    <col min="11" max="11" width="10.44140625" style="1633" customWidth="1"/>
    <col min="12" max="12" width="10.6640625" style="1633" customWidth="1"/>
    <col min="13" max="13" width="10.88671875" style="1633" customWidth="1"/>
    <col min="14" max="14" width="10.33203125" style="1633" customWidth="1"/>
    <col min="15" max="15" width="13.6640625" style="1645" bestFit="1" customWidth="1"/>
    <col min="16" max="16" width="12.88671875" style="1653" customWidth="1"/>
    <col min="17" max="17" width="12.44140625" style="1653" customWidth="1"/>
    <col min="18" max="18" width="8" style="1653" bestFit="1" customWidth="1"/>
    <col min="19" max="19" width="10.33203125" style="1653" bestFit="1" customWidth="1"/>
    <col min="20" max="20" width="7.88671875" style="1653" bestFit="1" customWidth="1"/>
    <col min="21" max="21" width="8.6640625" style="1653" bestFit="1" customWidth="1"/>
    <col min="22" max="24" width="4.5546875" style="1653" customWidth="1"/>
    <col min="25" max="25" width="9.109375" style="1653" customWidth="1"/>
    <col min="26" max="26" width="3.109375" style="1653" customWidth="1"/>
    <col min="27" max="31" width="2.5546875" style="1653" customWidth="1"/>
    <col min="32" max="32" width="4.88671875" style="1653" customWidth="1"/>
    <col min="33" max="34" width="2.5546875" style="1653" customWidth="1"/>
    <col min="35" max="35" width="12.44140625" style="1653" customWidth="1"/>
    <col min="36" max="36" width="11.109375" style="1673" bestFit="1" customWidth="1"/>
    <col min="37" max="37" width="15.109375" style="1653" customWidth="1"/>
    <col min="38" max="16384" width="9.109375" style="1653"/>
  </cols>
  <sheetData>
    <row r="1" spans="2:15" ht="12.75" customHeight="1"/>
    <row r="2" spans="2:15" ht="12.75" customHeight="1" thickBot="1"/>
    <row r="3" spans="2:15" ht="36" customHeight="1">
      <c r="B3" s="2330" t="s">
        <v>635</v>
      </c>
      <c r="C3" s="2331"/>
      <c r="D3" s="2331"/>
      <c r="E3" s="2331"/>
      <c r="F3" s="2331"/>
      <c r="G3" s="2331"/>
      <c r="H3" s="2331"/>
      <c r="I3" s="2331"/>
      <c r="J3" s="2331"/>
      <c r="K3" s="2331"/>
      <c r="L3" s="2331"/>
      <c r="M3" s="2331"/>
      <c r="N3" s="2331"/>
      <c r="O3" s="2332"/>
    </row>
    <row r="4" spans="2:15" ht="12.75" customHeight="1"/>
    <row r="5" spans="2:15" ht="18" customHeight="1">
      <c r="L5" s="1633" t="s">
        <v>587</v>
      </c>
    </row>
    <row r="6" spans="2:15" ht="10.8" thickBot="1"/>
    <row r="7" spans="2:15" ht="13.5" customHeight="1" thickBot="1">
      <c r="B7" s="2316" t="s">
        <v>494</v>
      </c>
      <c r="C7" s="2318" t="s">
        <v>331</v>
      </c>
      <c r="D7" s="2318"/>
      <c r="E7" s="2318"/>
      <c r="F7" s="2318"/>
      <c r="G7" s="2318"/>
      <c r="H7" s="2318"/>
      <c r="I7" s="2318"/>
      <c r="J7" s="2318"/>
      <c r="K7" s="2318"/>
      <c r="L7" s="2318"/>
      <c r="M7" s="2318"/>
      <c r="N7" s="2318"/>
      <c r="O7" s="2319"/>
    </row>
    <row r="8" spans="2:15" ht="10.8" thickBot="1">
      <c r="B8" s="2317"/>
      <c r="C8" s="2182" t="s">
        <v>328</v>
      </c>
      <c r="D8" s="2183" t="s">
        <v>2</v>
      </c>
      <c r="E8" s="2183" t="s">
        <v>3</v>
      </c>
      <c r="F8" s="2183" t="s">
        <v>4</v>
      </c>
      <c r="G8" s="2183" t="s">
        <v>5</v>
      </c>
      <c r="H8" s="2183" t="s">
        <v>6</v>
      </c>
      <c r="I8" s="2183" t="s">
        <v>7</v>
      </c>
      <c r="J8" s="2183" t="s">
        <v>8</v>
      </c>
      <c r="K8" s="2183" t="s">
        <v>9</v>
      </c>
      <c r="L8" s="2183" t="s">
        <v>10</v>
      </c>
      <c r="M8" s="2183" t="s">
        <v>11</v>
      </c>
      <c r="N8" s="2184" t="s">
        <v>12</v>
      </c>
      <c r="O8" s="2185" t="s">
        <v>13</v>
      </c>
    </row>
    <row r="9" spans="2:15">
      <c r="B9" s="2130" t="s">
        <v>159</v>
      </c>
      <c r="C9" s="2186"/>
      <c r="D9" s="2187"/>
      <c r="E9" s="2187"/>
      <c r="F9" s="2187"/>
      <c r="G9" s="2187"/>
      <c r="H9" s="2187"/>
      <c r="I9" s="2187"/>
      <c r="J9" s="2187"/>
      <c r="K9" s="2187"/>
      <c r="L9" s="2187"/>
      <c r="M9" s="2187"/>
      <c r="N9" s="2187"/>
      <c r="O9" s="2188">
        <f>SUM(C9:N9)</f>
        <v>0</v>
      </c>
    </row>
    <row r="10" spans="2:15">
      <c r="B10" s="2130" t="s">
        <v>90</v>
      </c>
      <c r="C10" s="2189"/>
      <c r="D10" s="2187"/>
      <c r="E10" s="2187"/>
      <c r="F10" s="2187"/>
      <c r="G10" s="2187"/>
      <c r="H10" s="2187"/>
      <c r="I10" s="2187"/>
      <c r="J10" s="2187"/>
      <c r="K10" s="2187"/>
      <c r="L10" s="2187"/>
      <c r="M10" s="2187"/>
      <c r="N10" s="2187"/>
      <c r="O10" s="2139">
        <f t="shared" ref="O10:O22" si="0">SUM(C10:N10)</f>
        <v>0</v>
      </c>
    </row>
    <row r="11" spans="2:15">
      <c r="B11" s="2130" t="s">
        <v>91</v>
      </c>
      <c r="C11" s="2186"/>
      <c r="D11" s="2187"/>
      <c r="E11" s="2187"/>
      <c r="F11" s="2187"/>
      <c r="G11" s="2187"/>
      <c r="H11" s="2187"/>
      <c r="I11" s="2187"/>
      <c r="J11" s="2187"/>
      <c r="K11" s="2187"/>
      <c r="L11" s="2187"/>
      <c r="M11" s="2187"/>
      <c r="N11" s="2187"/>
      <c r="O11" s="2139">
        <f t="shared" si="0"/>
        <v>0</v>
      </c>
    </row>
    <row r="12" spans="2:15">
      <c r="B12" s="2130" t="s">
        <v>104</v>
      </c>
      <c r="C12" s="2190"/>
      <c r="D12" s="2134"/>
      <c r="E12" s="2134"/>
      <c r="F12" s="2134"/>
      <c r="G12" s="2134"/>
      <c r="H12" s="2134"/>
      <c r="I12" s="2134"/>
      <c r="J12" s="2134"/>
      <c r="K12" s="2134"/>
      <c r="L12" s="2134"/>
      <c r="M12" s="2134"/>
      <c r="N12" s="2143"/>
      <c r="O12" s="2139">
        <f t="shared" si="0"/>
        <v>0</v>
      </c>
    </row>
    <row r="13" spans="2:15">
      <c r="B13" s="2130" t="s">
        <v>101</v>
      </c>
      <c r="C13" s="2186"/>
      <c r="D13" s="2187"/>
      <c r="E13" s="2187"/>
      <c r="F13" s="2187"/>
      <c r="G13" s="2187"/>
      <c r="H13" s="2187"/>
      <c r="I13" s="2187"/>
      <c r="J13" s="2187"/>
      <c r="K13" s="2187"/>
      <c r="L13" s="2187"/>
      <c r="M13" s="2187"/>
      <c r="N13" s="2187"/>
      <c r="O13" s="2139">
        <f t="shared" si="0"/>
        <v>0</v>
      </c>
    </row>
    <row r="14" spans="2:15">
      <c r="B14" s="2130" t="s">
        <v>486</v>
      </c>
      <c r="C14" s="2190"/>
      <c r="D14" s="2134"/>
      <c r="E14" s="2134"/>
      <c r="F14" s="2134"/>
      <c r="G14" s="2134"/>
      <c r="H14" s="2134"/>
      <c r="I14" s="2134"/>
      <c r="J14" s="2134"/>
      <c r="K14" s="2134"/>
      <c r="L14" s="2134"/>
      <c r="M14" s="2134"/>
      <c r="N14" s="2143"/>
      <c r="O14" s="2139">
        <f t="shared" si="0"/>
        <v>0</v>
      </c>
    </row>
    <row r="15" spans="2:15">
      <c r="B15" s="2130" t="s">
        <v>96</v>
      </c>
      <c r="C15" s="2186"/>
      <c r="D15" s="2187"/>
      <c r="E15" s="2187"/>
      <c r="F15" s="2187"/>
      <c r="G15" s="2187"/>
      <c r="H15" s="2187"/>
      <c r="I15" s="2187"/>
      <c r="J15" s="2187"/>
      <c r="K15" s="2187"/>
      <c r="L15" s="2187"/>
      <c r="M15" s="2187"/>
      <c r="N15" s="2187"/>
      <c r="O15" s="2139">
        <f t="shared" si="0"/>
        <v>0</v>
      </c>
    </row>
    <row r="16" spans="2:15">
      <c r="B16" s="2130" t="s">
        <v>585</v>
      </c>
      <c r="C16" s="2190"/>
      <c r="D16" s="2134"/>
      <c r="E16" s="2134"/>
      <c r="F16" s="2134"/>
      <c r="G16" s="2134"/>
      <c r="H16" s="2134"/>
      <c r="I16" s="2134"/>
      <c r="J16" s="2134"/>
      <c r="K16" s="2134"/>
      <c r="L16" s="2134"/>
      <c r="M16" s="2134"/>
      <c r="N16" s="2143"/>
      <c r="O16" s="2139">
        <f t="shared" si="0"/>
        <v>0</v>
      </c>
    </row>
    <row r="17" spans="2:35">
      <c r="B17" s="2130" t="s">
        <v>561</v>
      </c>
      <c r="C17" s="2190"/>
      <c r="D17" s="2134"/>
      <c r="E17" s="2134"/>
      <c r="F17" s="2134"/>
      <c r="G17" s="2134"/>
      <c r="H17" s="2134"/>
      <c r="I17" s="2134"/>
      <c r="J17" s="2134"/>
      <c r="K17" s="2134"/>
      <c r="L17" s="2134"/>
      <c r="M17" s="2134"/>
      <c r="N17" s="2143"/>
      <c r="O17" s="2139">
        <f t="shared" si="0"/>
        <v>0</v>
      </c>
    </row>
    <row r="18" spans="2:35">
      <c r="B18" s="2131" t="s">
        <v>586</v>
      </c>
      <c r="C18" s="2190"/>
      <c r="D18" s="2134"/>
      <c r="E18" s="2134"/>
      <c r="F18" s="2134"/>
      <c r="G18" s="2134"/>
      <c r="H18" s="2134"/>
      <c r="I18" s="2134"/>
      <c r="J18" s="2134"/>
      <c r="K18" s="2134"/>
      <c r="L18" s="2134"/>
      <c r="M18" s="2134"/>
      <c r="N18" s="2143"/>
      <c r="O18" s="2139">
        <f t="shared" si="0"/>
        <v>0</v>
      </c>
    </row>
    <row r="19" spans="2:35">
      <c r="B19" s="2130" t="s">
        <v>100</v>
      </c>
      <c r="C19" s="2186"/>
      <c r="D19" s="2187"/>
      <c r="E19" s="2187"/>
      <c r="F19" s="2187"/>
      <c r="G19" s="2187"/>
      <c r="H19" s="2187"/>
      <c r="I19" s="2187"/>
      <c r="J19" s="2187"/>
      <c r="K19" s="2187"/>
      <c r="L19" s="2187"/>
      <c r="M19" s="2187"/>
      <c r="N19" s="2187"/>
      <c r="O19" s="2139">
        <f t="shared" si="0"/>
        <v>0</v>
      </c>
    </row>
    <row r="20" spans="2:35">
      <c r="B20" s="2130" t="s">
        <v>102</v>
      </c>
      <c r="C20" s="2186"/>
      <c r="D20" s="2187"/>
      <c r="E20" s="2187"/>
      <c r="F20" s="2187"/>
      <c r="G20" s="2187"/>
      <c r="H20" s="2187"/>
      <c r="I20" s="2187"/>
      <c r="J20" s="2187"/>
      <c r="K20" s="2187"/>
      <c r="L20" s="2187"/>
      <c r="M20" s="2187"/>
      <c r="N20" s="2187"/>
      <c r="O20" s="2139">
        <f t="shared" si="0"/>
        <v>0</v>
      </c>
    </row>
    <row r="21" spans="2:35">
      <c r="B21" s="2130" t="s">
        <v>559</v>
      </c>
      <c r="C21" s="2186"/>
      <c r="D21" s="2187"/>
      <c r="E21" s="2187"/>
      <c r="F21" s="2187"/>
      <c r="G21" s="2187"/>
      <c r="H21" s="2187"/>
      <c r="I21" s="2187"/>
      <c r="J21" s="2187"/>
      <c r="K21" s="2187"/>
      <c r="L21" s="2187"/>
      <c r="M21" s="2187"/>
      <c r="N21" s="2187"/>
      <c r="O21" s="2139">
        <f t="shared" si="0"/>
        <v>0</v>
      </c>
    </row>
    <row r="22" spans="2:35" ht="10.8" thickBot="1">
      <c r="B22" s="2132" t="s">
        <v>488</v>
      </c>
      <c r="C22" s="2191"/>
      <c r="D22" s="2192"/>
      <c r="E22" s="2192"/>
      <c r="F22" s="2192"/>
      <c r="G22" s="2192"/>
      <c r="H22" s="2192"/>
      <c r="I22" s="2192"/>
      <c r="J22" s="2192"/>
      <c r="K22" s="2192"/>
      <c r="L22" s="2192"/>
      <c r="M22" s="2192"/>
      <c r="N22" s="2192"/>
      <c r="O22" s="2193">
        <f t="shared" si="0"/>
        <v>0</v>
      </c>
    </row>
    <row r="23" spans="2:35" ht="12.75" customHeight="1" thickBot="1">
      <c r="C23" s="2194">
        <f t="shared" ref="C23:O23" si="1">SUM(C9:C22)</f>
        <v>0</v>
      </c>
      <c r="D23" s="2195">
        <f t="shared" si="1"/>
        <v>0</v>
      </c>
      <c r="E23" s="2195">
        <f t="shared" si="1"/>
        <v>0</v>
      </c>
      <c r="F23" s="2195">
        <f t="shared" si="1"/>
        <v>0</v>
      </c>
      <c r="G23" s="2195">
        <f t="shared" si="1"/>
        <v>0</v>
      </c>
      <c r="H23" s="2195">
        <f t="shared" si="1"/>
        <v>0</v>
      </c>
      <c r="I23" s="2195">
        <f t="shared" si="1"/>
        <v>0</v>
      </c>
      <c r="J23" s="2195">
        <f t="shared" si="1"/>
        <v>0</v>
      </c>
      <c r="K23" s="2195">
        <f t="shared" si="1"/>
        <v>0</v>
      </c>
      <c r="L23" s="2195">
        <f t="shared" si="1"/>
        <v>0</v>
      </c>
      <c r="M23" s="2195">
        <f t="shared" si="1"/>
        <v>0</v>
      </c>
      <c r="N23" s="2196">
        <f t="shared" si="1"/>
        <v>0</v>
      </c>
      <c r="O23" s="2197">
        <f t="shared" si="1"/>
        <v>0</v>
      </c>
    </row>
    <row r="24" spans="2:35" ht="10.8" thickBot="1"/>
    <row r="25" spans="2:35" ht="20.25" customHeight="1" thickBot="1">
      <c r="B25" s="2323" t="s">
        <v>494</v>
      </c>
      <c r="C25" s="2333" t="s">
        <v>332</v>
      </c>
      <c r="D25" s="2318"/>
      <c r="E25" s="2318"/>
      <c r="F25" s="2318"/>
      <c r="G25" s="2318"/>
      <c r="H25" s="2318"/>
      <c r="I25" s="2318"/>
      <c r="J25" s="2318"/>
      <c r="K25" s="2318"/>
      <c r="L25" s="2318"/>
      <c r="M25" s="2318"/>
      <c r="N25" s="2318"/>
      <c r="O25" s="2319"/>
      <c r="Q25" s="1673"/>
    </row>
    <row r="26" spans="2:35" ht="14.25" customHeight="1">
      <c r="B26" s="2324"/>
      <c r="C26" s="2198" t="s">
        <v>328</v>
      </c>
      <c r="D26" s="1951" t="s">
        <v>2</v>
      </c>
      <c r="E26" s="1951" t="s">
        <v>3</v>
      </c>
      <c r="F26" s="1951" t="s">
        <v>4</v>
      </c>
      <c r="G26" s="1951" t="s">
        <v>5</v>
      </c>
      <c r="H26" s="1951" t="s">
        <v>6</v>
      </c>
      <c r="I26" s="1951" t="s">
        <v>7</v>
      </c>
      <c r="J26" s="1951" t="s">
        <v>8</v>
      </c>
      <c r="K26" s="1951" t="s">
        <v>9</v>
      </c>
      <c r="L26" s="1951" t="s">
        <v>10</v>
      </c>
      <c r="M26" s="1951" t="s">
        <v>11</v>
      </c>
      <c r="N26" s="1951" t="s">
        <v>12</v>
      </c>
      <c r="O26" s="2148"/>
      <c r="P26" s="1654"/>
    </row>
    <row r="27" spans="2:35">
      <c r="B27" s="2130" t="s">
        <v>159</v>
      </c>
      <c r="C27" s="2186"/>
      <c r="D27" s="2187"/>
      <c r="E27" s="2187"/>
      <c r="F27" s="2187"/>
      <c r="G27" s="2187"/>
      <c r="H27" s="2187"/>
      <c r="I27" s="2187"/>
      <c r="J27" s="2187"/>
      <c r="K27" s="2187"/>
      <c r="L27" s="2187"/>
      <c r="M27" s="2187"/>
      <c r="N27" s="2187"/>
      <c r="O27" s="2136">
        <f>SUM(C27:N27)</f>
        <v>0</v>
      </c>
      <c r="P27" s="1646"/>
      <c r="Q27" s="1672"/>
      <c r="AI27" s="1673"/>
    </row>
    <row r="28" spans="2:35">
      <c r="B28" s="2130" t="s">
        <v>90</v>
      </c>
      <c r="C28" s="2189"/>
      <c r="D28" s="2187"/>
      <c r="E28" s="2187"/>
      <c r="F28" s="2187"/>
      <c r="G28" s="2187"/>
      <c r="H28" s="2187"/>
      <c r="I28" s="2187"/>
      <c r="J28" s="2187"/>
      <c r="K28" s="2187"/>
      <c r="L28" s="2187"/>
      <c r="M28" s="2187"/>
      <c r="N28" s="2187"/>
      <c r="O28" s="2136">
        <f t="shared" ref="O28:O40" si="2">SUM(C28:N28)</f>
        <v>0</v>
      </c>
      <c r="P28" s="1646"/>
      <c r="Q28" s="1672"/>
      <c r="AI28" s="1673"/>
    </row>
    <row r="29" spans="2:35">
      <c r="B29" s="2130" t="s">
        <v>91</v>
      </c>
      <c r="C29" s="2186"/>
      <c r="D29" s="2187"/>
      <c r="E29" s="2187"/>
      <c r="F29" s="2187"/>
      <c r="G29" s="2187"/>
      <c r="H29" s="2187"/>
      <c r="I29" s="2187"/>
      <c r="J29" s="2187"/>
      <c r="K29" s="2187"/>
      <c r="L29" s="2187"/>
      <c r="M29" s="2187"/>
      <c r="N29" s="2187"/>
      <c r="O29" s="2136">
        <f t="shared" si="2"/>
        <v>0</v>
      </c>
      <c r="P29" s="1646"/>
      <c r="Q29" s="1672"/>
      <c r="AI29" s="1673"/>
    </row>
    <row r="30" spans="2:35" ht="11.25" customHeight="1">
      <c r="B30" s="2130" t="s">
        <v>104</v>
      </c>
      <c r="C30" s="2186"/>
      <c r="D30" s="2187"/>
      <c r="E30" s="2187"/>
      <c r="F30" s="2187"/>
      <c r="G30" s="2187"/>
      <c r="H30" s="2187"/>
      <c r="I30" s="2187"/>
      <c r="J30" s="2187"/>
      <c r="K30" s="2187"/>
      <c r="L30" s="2187"/>
      <c r="M30" s="2187"/>
      <c r="N30" s="2187"/>
      <c r="O30" s="2136">
        <f t="shared" si="2"/>
        <v>0</v>
      </c>
      <c r="P30" s="1646"/>
      <c r="Q30" s="1672"/>
      <c r="AI30" s="1673"/>
    </row>
    <row r="31" spans="2:35" ht="11.25" customHeight="1">
      <c r="B31" s="2130" t="s">
        <v>101</v>
      </c>
      <c r="C31" s="2186"/>
      <c r="D31" s="2187"/>
      <c r="E31" s="2187"/>
      <c r="F31" s="2187"/>
      <c r="G31" s="2187"/>
      <c r="H31" s="2187"/>
      <c r="I31" s="2187"/>
      <c r="J31" s="2187"/>
      <c r="K31" s="2187"/>
      <c r="L31" s="2187"/>
      <c r="M31" s="2187"/>
      <c r="N31" s="2187"/>
      <c r="O31" s="2136">
        <f t="shared" si="2"/>
        <v>0</v>
      </c>
      <c r="P31" s="1646"/>
      <c r="Q31" s="1672"/>
      <c r="AI31" s="1673"/>
    </row>
    <row r="32" spans="2:35">
      <c r="B32" s="2130" t="s">
        <v>486</v>
      </c>
      <c r="C32" s="2190"/>
      <c r="D32" s="2134"/>
      <c r="E32" s="2134"/>
      <c r="F32" s="2134"/>
      <c r="G32" s="2134"/>
      <c r="H32" s="2134"/>
      <c r="I32" s="2134"/>
      <c r="J32" s="2134"/>
      <c r="K32" s="2134"/>
      <c r="L32" s="2134"/>
      <c r="M32" s="2134"/>
      <c r="N32" s="2134"/>
      <c r="O32" s="2136">
        <f t="shared" si="2"/>
        <v>0</v>
      </c>
      <c r="P32" s="1646"/>
      <c r="Q32" s="1672"/>
      <c r="AI32" s="1673"/>
    </row>
    <row r="33" spans="1:37">
      <c r="B33" s="2130" t="s">
        <v>96</v>
      </c>
      <c r="C33" s="2186"/>
      <c r="D33" s="2187"/>
      <c r="E33" s="2187"/>
      <c r="F33" s="2187"/>
      <c r="G33" s="2187"/>
      <c r="H33" s="2187"/>
      <c r="I33" s="2187"/>
      <c r="J33" s="2187"/>
      <c r="K33" s="2187"/>
      <c r="L33" s="2187"/>
      <c r="M33" s="2187"/>
      <c r="N33" s="2187"/>
      <c r="O33" s="2136">
        <f t="shared" si="2"/>
        <v>0</v>
      </c>
      <c r="P33" s="1646"/>
      <c r="Q33" s="1672"/>
      <c r="AI33" s="1673"/>
    </row>
    <row r="34" spans="1:37">
      <c r="B34" s="2130" t="s">
        <v>585</v>
      </c>
      <c r="C34" s="2186"/>
      <c r="D34" s="2187"/>
      <c r="E34" s="2187"/>
      <c r="F34" s="2187"/>
      <c r="G34" s="2187"/>
      <c r="H34" s="2187"/>
      <c r="I34" s="2187"/>
      <c r="J34" s="2187"/>
      <c r="K34" s="2187"/>
      <c r="L34" s="2187"/>
      <c r="M34" s="2187"/>
      <c r="N34" s="2187"/>
      <c r="O34" s="2136">
        <f t="shared" si="2"/>
        <v>0</v>
      </c>
      <c r="P34" s="1646"/>
      <c r="Q34" s="1672"/>
      <c r="AI34" s="1673"/>
    </row>
    <row r="35" spans="1:37" ht="11.25" customHeight="1">
      <c r="B35" s="2130" t="s">
        <v>561</v>
      </c>
      <c r="C35" s="2190"/>
      <c r="D35" s="2134"/>
      <c r="E35" s="2134"/>
      <c r="F35" s="2134"/>
      <c r="G35" s="2134"/>
      <c r="H35" s="2134"/>
      <c r="I35" s="2134"/>
      <c r="J35" s="2134"/>
      <c r="K35" s="2134"/>
      <c r="L35" s="2134"/>
      <c r="M35" s="2134"/>
      <c r="N35" s="2134"/>
      <c r="O35" s="2136">
        <f t="shared" si="2"/>
        <v>0</v>
      </c>
      <c r="P35" s="1646"/>
      <c r="Q35" s="1672"/>
      <c r="AI35" s="1673"/>
    </row>
    <row r="36" spans="1:37" ht="11.25" customHeight="1">
      <c r="B36" s="2131" t="s">
        <v>586</v>
      </c>
      <c r="C36" s="2190"/>
      <c r="D36" s="2134"/>
      <c r="E36" s="2134"/>
      <c r="F36" s="2134"/>
      <c r="G36" s="2134"/>
      <c r="H36" s="2134"/>
      <c r="I36" s="2134"/>
      <c r="J36" s="2134"/>
      <c r="K36" s="2134"/>
      <c r="L36" s="2134"/>
      <c r="M36" s="2134"/>
      <c r="N36" s="2134"/>
      <c r="O36" s="2136">
        <f t="shared" si="2"/>
        <v>0</v>
      </c>
      <c r="P36" s="1646"/>
      <c r="Q36" s="1672"/>
      <c r="AI36" s="1673"/>
    </row>
    <row r="37" spans="1:37">
      <c r="B37" s="2130" t="s">
        <v>100</v>
      </c>
      <c r="C37" s="2186"/>
      <c r="D37" s="2187"/>
      <c r="E37" s="2187"/>
      <c r="F37" s="2187"/>
      <c r="G37" s="2187"/>
      <c r="H37" s="2187"/>
      <c r="I37" s="2187"/>
      <c r="J37" s="2187"/>
      <c r="K37" s="2187"/>
      <c r="L37" s="2187"/>
      <c r="M37" s="2187"/>
      <c r="N37" s="2187"/>
      <c r="O37" s="2136">
        <f t="shared" si="2"/>
        <v>0</v>
      </c>
      <c r="P37" s="1646"/>
      <c r="Q37" s="1672"/>
      <c r="AI37" s="1673"/>
    </row>
    <row r="38" spans="1:37">
      <c r="B38" s="2130" t="s">
        <v>102</v>
      </c>
      <c r="C38" s="2186"/>
      <c r="D38" s="2187"/>
      <c r="E38" s="2187"/>
      <c r="F38" s="2187"/>
      <c r="G38" s="2187"/>
      <c r="H38" s="2187"/>
      <c r="I38" s="2187"/>
      <c r="J38" s="2187"/>
      <c r="K38" s="2187"/>
      <c r="L38" s="2187"/>
      <c r="M38" s="2187"/>
      <c r="N38" s="2187"/>
      <c r="O38" s="2136">
        <f t="shared" si="2"/>
        <v>0</v>
      </c>
      <c r="P38" s="1646"/>
      <c r="Q38" s="1672"/>
      <c r="AI38" s="1673"/>
    </row>
    <row r="39" spans="1:37" ht="12" customHeight="1">
      <c r="B39" s="2130" t="s">
        <v>559</v>
      </c>
      <c r="C39" s="2186"/>
      <c r="D39" s="2187"/>
      <c r="E39" s="2187"/>
      <c r="F39" s="2187"/>
      <c r="G39" s="2187"/>
      <c r="H39" s="2187"/>
      <c r="I39" s="2187"/>
      <c r="J39" s="2187"/>
      <c r="K39" s="2187"/>
      <c r="L39" s="2187"/>
      <c r="M39" s="2187"/>
      <c r="N39" s="2187"/>
      <c r="O39" s="2136">
        <f t="shared" si="2"/>
        <v>0</v>
      </c>
      <c r="P39" s="1646"/>
      <c r="Q39" s="1672"/>
      <c r="AI39" s="1673"/>
    </row>
    <row r="40" spans="1:37" ht="12" customHeight="1" thickBot="1">
      <c r="B40" s="2132" t="s">
        <v>488</v>
      </c>
      <c r="C40" s="2191"/>
      <c r="D40" s="2192"/>
      <c r="E40" s="2192"/>
      <c r="F40" s="2192"/>
      <c r="G40" s="2192"/>
      <c r="H40" s="2192"/>
      <c r="I40" s="2192"/>
      <c r="J40" s="2192"/>
      <c r="K40" s="2192"/>
      <c r="L40" s="2192"/>
      <c r="M40" s="2192"/>
      <c r="N40" s="2192"/>
      <c r="O40" s="2137">
        <f t="shared" si="2"/>
        <v>0</v>
      </c>
      <c r="P40" s="1646"/>
      <c r="Q40" s="1672"/>
      <c r="AI40" s="1673"/>
    </row>
    <row r="41" spans="1:37" ht="10.8" thickBot="1">
      <c r="C41" s="2194">
        <f t="shared" ref="C41:O41" si="3">SUM(C27:C40)</f>
        <v>0</v>
      </c>
      <c r="D41" s="2195">
        <f t="shared" si="3"/>
        <v>0</v>
      </c>
      <c r="E41" s="2195">
        <f t="shared" si="3"/>
        <v>0</v>
      </c>
      <c r="F41" s="2195">
        <f t="shared" si="3"/>
        <v>0</v>
      </c>
      <c r="G41" s="2195">
        <f t="shared" si="3"/>
        <v>0</v>
      </c>
      <c r="H41" s="2195">
        <f t="shared" si="3"/>
        <v>0</v>
      </c>
      <c r="I41" s="2195">
        <f t="shared" si="3"/>
        <v>0</v>
      </c>
      <c r="J41" s="2195">
        <f t="shared" si="3"/>
        <v>0</v>
      </c>
      <c r="K41" s="2195">
        <f t="shared" si="3"/>
        <v>0</v>
      </c>
      <c r="L41" s="2195">
        <f t="shared" si="3"/>
        <v>0</v>
      </c>
      <c r="M41" s="2195">
        <f t="shared" si="3"/>
        <v>0</v>
      </c>
      <c r="N41" s="2199">
        <f t="shared" si="3"/>
        <v>0</v>
      </c>
      <c r="O41" s="2197">
        <f t="shared" si="3"/>
        <v>0</v>
      </c>
      <c r="P41" s="1655"/>
      <c r="Q41" s="1673"/>
      <c r="AI41" s="1673"/>
      <c r="AK41" s="1674"/>
    </row>
    <row r="42" spans="1:37">
      <c r="C42" s="1636"/>
      <c r="D42" s="1636"/>
      <c r="E42" s="1636"/>
      <c r="F42" s="1636"/>
      <c r="G42" s="1636"/>
      <c r="H42" s="1636"/>
      <c r="I42" s="1636"/>
      <c r="J42" s="1636"/>
      <c r="K42" s="1636"/>
      <c r="L42" s="1636"/>
      <c r="M42" s="1636"/>
      <c r="N42" s="1636"/>
      <c r="O42" s="1636"/>
      <c r="P42" s="1646"/>
    </row>
    <row r="43" spans="1:37" s="1656" customFormat="1" ht="33.75" hidden="1" customHeight="1" thickBot="1">
      <c r="A43" s="2330" t="s">
        <v>577</v>
      </c>
      <c r="B43" s="2331"/>
      <c r="C43" s="2331"/>
      <c r="D43" s="2331"/>
      <c r="E43" s="2331"/>
      <c r="F43" s="2331"/>
      <c r="G43" s="2331"/>
      <c r="H43" s="2331"/>
      <c r="I43" s="2331"/>
      <c r="J43" s="2331"/>
      <c r="K43" s="2331"/>
      <c r="L43" s="2331"/>
      <c r="M43" s="2331"/>
      <c r="N43" s="2332"/>
      <c r="O43" s="1646"/>
      <c r="P43" s="1646"/>
      <c r="AJ43" s="1673"/>
    </row>
    <row r="44" spans="1:37" s="1656" customFormat="1" hidden="1">
      <c r="B44" s="2325" t="s">
        <v>494</v>
      </c>
      <c r="C44" s="2327"/>
      <c r="D44" s="2328"/>
      <c r="E44" s="2328"/>
      <c r="F44" s="2328"/>
      <c r="G44" s="2328"/>
      <c r="H44" s="2328"/>
      <c r="I44" s="2328"/>
      <c r="J44" s="2328"/>
      <c r="K44" s="2328"/>
      <c r="L44" s="2328"/>
      <c r="M44" s="2328"/>
      <c r="N44" s="2329"/>
      <c r="O44" s="1646"/>
      <c r="AJ44" s="1673"/>
    </row>
    <row r="45" spans="1:37" s="1656" customFormat="1" hidden="1">
      <c r="B45" s="2326"/>
      <c r="C45" s="2160" t="s">
        <v>328</v>
      </c>
      <c r="D45" s="1638" t="s">
        <v>2</v>
      </c>
      <c r="E45" s="1638" t="s">
        <v>3</v>
      </c>
      <c r="F45" s="1638" t="s">
        <v>4</v>
      </c>
      <c r="G45" s="1638" t="s">
        <v>5</v>
      </c>
      <c r="H45" s="1638" t="s">
        <v>6</v>
      </c>
      <c r="I45" s="1638" t="s">
        <v>7</v>
      </c>
      <c r="J45" s="1638" t="s">
        <v>8</v>
      </c>
      <c r="K45" s="1638" t="s">
        <v>9</v>
      </c>
      <c r="L45" s="1638" t="s">
        <v>10</v>
      </c>
      <c r="M45" s="1638" t="s">
        <v>11</v>
      </c>
      <c r="N45" s="1639" t="s">
        <v>12</v>
      </c>
      <c r="O45" s="1647" t="s">
        <v>37</v>
      </c>
      <c r="AJ45" s="1673"/>
    </row>
    <row r="46" spans="1:37" s="1656" customFormat="1" hidden="1">
      <c r="B46" s="1657" t="s">
        <v>159</v>
      </c>
      <c r="C46" s="2161"/>
      <c r="D46" s="2100"/>
      <c r="E46" s="2100"/>
      <c r="F46" s="2100"/>
      <c r="G46" s="2100"/>
      <c r="H46" s="2100"/>
      <c r="I46" s="2100"/>
      <c r="J46" s="2100"/>
      <c r="K46" s="2100"/>
      <c r="L46" s="2100"/>
      <c r="M46" s="2100"/>
      <c r="N46" s="2101"/>
      <c r="O46" s="1648">
        <f>SUM(C46:N46)</f>
        <v>0</v>
      </c>
      <c r="AJ46" s="1673"/>
    </row>
    <row r="47" spans="1:37" s="1656" customFormat="1" hidden="1">
      <c r="B47" s="1657" t="s">
        <v>90</v>
      </c>
      <c r="C47" s="2161"/>
      <c r="D47" s="2100"/>
      <c r="E47" s="2100"/>
      <c r="F47" s="2100"/>
      <c r="G47" s="2100"/>
      <c r="H47" s="2100"/>
      <c r="I47" s="2100"/>
      <c r="J47" s="2100"/>
      <c r="K47" s="2100"/>
      <c r="L47" s="2100"/>
      <c r="M47" s="2100"/>
      <c r="N47" s="2101"/>
      <c r="O47" s="1648">
        <f t="shared" ref="O47:O59" si="4">SUM(C47:N47)</f>
        <v>0</v>
      </c>
      <c r="AJ47" s="1673"/>
    </row>
    <row r="48" spans="1:37" s="1656" customFormat="1" hidden="1">
      <c r="B48" s="1657" t="s">
        <v>91</v>
      </c>
      <c r="C48" s="2161"/>
      <c r="D48" s="2100"/>
      <c r="E48" s="2100"/>
      <c r="F48" s="2100"/>
      <c r="G48" s="2100"/>
      <c r="H48" s="2100"/>
      <c r="I48" s="2100"/>
      <c r="J48" s="2100"/>
      <c r="K48" s="2100"/>
      <c r="L48" s="2100"/>
      <c r="M48" s="2100"/>
      <c r="N48" s="2101"/>
      <c r="O48" s="1648">
        <f t="shared" si="4"/>
        <v>0</v>
      </c>
      <c r="AJ48" s="1673"/>
    </row>
    <row r="49" spans="2:36" s="1656" customFormat="1" hidden="1">
      <c r="B49" s="1657" t="s">
        <v>104</v>
      </c>
      <c r="C49" s="2161"/>
      <c r="D49" s="2100"/>
      <c r="E49" s="2100"/>
      <c r="F49" s="2100"/>
      <c r="G49" s="2100"/>
      <c r="H49" s="2100"/>
      <c r="I49" s="2100"/>
      <c r="J49" s="2100"/>
      <c r="K49" s="2100"/>
      <c r="L49" s="2100"/>
      <c r="M49" s="2100"/>
      <c r="N49" s="2101"/>
      <c r="O49" s="1648">
        <f t="shared" si="4"/>
        <v>0</v>
      </c>
      <c r="AJ49" s="1673"/>
    </row>
    <row r="50" spans="2:36" s="1656" customFormat="1" hidden="1">
      <c r="B50" s="1657" t="s">
        <v>101</v>
      </c>
      <c r="C50" s="2161"/>
      <c r="D50" s="2100"/>
      <c r="E50" s="2100"/>
      <c r="F50" s="2100"/>
      <c r="G50" s="2100"/>
      <c r="H50" s="2100"/>
      <c r="I50" s="2100"/>
      <c r="J50" s="2100"/>
      <c r="K50" s="2100"/>
      <c r="L50" s="2100"/>
      <c r="M50" s="2100"/>
      <c r="N50" s="2101"/>
      <c r="O50" s="1648">
        <f t="shared" si="4"/>
        <v>0</v>
      </c>
      <c r="AJ50" s="1673"/>
    </row>
    <row r="51" spans="2:36" s="1656" customFormat="1" hidden="1">
      <c r="B51" s="1657" t="s">
        <v>486</v>
      </c>
      <c r="C51" s="2161"/>
      <c r="D51" s="2100"/>
      <c r="E51" s="2100"/>
      <c r="F51" s="2100"/>
      <c r="G51" s="2100"/>
      <c r="H51" s="2100"/>
      <c r="I51" s="2100"/>
      <c r="J51" s="2100"/>
      <c r="K51" s="2100"/>
      <c r="L51" s="2100"/>
      <c r="M51" s="2100"/>
      <c r="N51" s="2101"/>
      <c r="O51" s="1648">
        <f t="shared" si="4"/>
        <v>0</v>
      </c>
      <c r="AJ51" s="1673"/>
    </row>
    <row r="52" spans="2:36" s="1656" customFormat="1" hidden="1">
      <c r="B52" s="1657" t="s">
        <v>96</v>
      </c>
      <c r="C52" s="2161"/>
      <c r="D52" s="2100"/>
      <c r="E52" s="2100"/>
      <c r="F52" s="2100"/>
      <c r="G52" s="2100"/>
      <c r="H52" s="2100"/>
      <c r="I52" s="2100"/>
      <c r="J52" s="2100"/>
      <c r="K52" s="2100"/>
      <c r="L52" s="2100"/>
      <c r="M52" s="2100"/>
      <c r="N52" s="2101"/>
      <c r="O52" s="1648">
        <f t="shared" si="4"/>
        <v>0</v>
      </c>
      <c r="AJ52" s="1673"/>
    </row>
    <row r="53" spans="2:36" s="1656" customFormat="1" hidden="1">
      <c r="B53" s="1657" t="s">
        <v>585</v>
      </c>
      <c r="C53" s="2161"/>
      <c r="D53" s="2100"/>
      <c r="E53" s="2100"/>
      <c r="F53" s="2100"/>
      <c r="G53" s="2100"/>
      <c r="H53" s="2100"/>
      <c r="I53" s="2100"/>
      <c r="J53" s="2100"/>
      <c r="K53" s="2100"/>
      <c r="L53" s="2100"/>
      <c r="M53" s="2100"/>
      <c r="N53" s="2101"/>
      <c r="O53" s="1648">
        <f t="shared" si="4"/>
        <v>0</v>
      </c>
      <c r="AJ53" s="1673"/>
    </row>
    <row r="54" spans="2:36" s="1656" customFormat="1" hidden="1">
      <c r="B54" s="1657" t="s">
        <v>561</v>
      </c>
      <c r="C54" s="2161"/>
      <c r="D54" s="2100"/>
      <c r="E54" s="2100"/>
      <c r="F54" s="2100"/>
      <c r="G54" s="2100"/>
      <c r="H54" s="2100"/>
      <c r="I54" s="2100"/>
      <c r="J54" s="2100"/>
      <c r="K54" s="2100"/>
      <c r="L54" s="2100"/>
      <c r="M54" s="2100"/>
      <c r="N54" s="2101"/>
      <c r="O54" s="1648">
        <f t="shared" si="4"/>
        <v>0</v>
      </c>
      <c r="AJ54" s="1673"/>
    </row>
    <row r="55" spans="2:36" s="1656" customFormat="1" hidden="1">
      <c r="B55" s="2159" t="s">
        <v>586</v>
      </c>
      <c r="C55" s="2161"/>
      <c r="D55" s="2100"/>
      <c r="E55" s="2100"/>
      <c r="F55" s="2100"/>
      <c r="G55" s="2100"/>
      <c r="H55" s="2100"/>
      <c r="I55" s="2100"/>
      <c r="J55" s="2100"/>
      <c r="K55" s="2100"/>
      <c r="L55" s="2100"/>
      <c r="M55" s="2100"/>
      <c r="N55" s="2101"/>
      <c r="O55" s="1648">
        <f t="shared" si="4"/>
        <v>0</v>
      </c>
      <c r="AJ55" s="1673"/>
    </row>
    <row r="56" spans="2:36" s="1656" customFormat="1" hidden="1">
      <c r="B56" s="1657" t="s">
        <v>100</v>
      </c>
      <c r="C56" s="2161"/>
      <c r="D56" s="2100"/>
      <c r="E56" s="2100"/>
      <c r="F56" s="2100"/>
      <c r="G56" s="2100"/>
      <c r="H56" s="2100"/>
      <c r="I56" s="2100"/>
      <c r="J56" s="2100"/>
      <c r="K56" s="2100"/>
      <c r="L56" s="2100"/>
      <c r="M56" s="2100"/>
      <c r="N56" s="2101"/>
      <c r="O56" s="1648">
        <f t="shared" si="4"/>
        <v>0</v>
      </c>
      <c r="AJ56" s="1673"/>
    </row>
    <row r="57" spans="2:36" s="1656" customFormat="1" hidden="1">
      <c r="B57" s="1657" t="s">
        <v>102</v>
      </c>
      <c r="C57" s="2161"/>
      <c r="D57" s="2100"/>
      <c r="E57" s="2100"/>
      <c r="F57" s="2100"/>
      <c r="G57" s="2100"/>
      <c r="H57" s="2100"/>
      <c r="I57" s="2100"/>
      <c r="J57" s="2100"/>
      <c r="K57" s="2100"/>
      <c r="L57" s="2100"/>
      <c r="M57" s="2100"/>
      <c r="N57" s="2101"/>
      <c r="O57" s="1648">
        <f t="shared" si="4"/>
        <v>0</v>
      </c>
      <c r="AJ57" s="1673"/>
    </row>
    <row r="58" spans="2:36" s="1656" customFormat="1" ht="10.8" hidden="1" thickBot="1">
      <c r="B58" s="1678" t="s">
        <v>559</v>
      </c>
      <c r="C58" s="2162"/>
      <c r="D58" s="2102"/>
      <c r="E58" s="2102"/>
      <c r="F58" s="2102"/>
      <c r="G58" s="2102"/>
      <c r="H58" s="2102"/>
      <c r="I58" s="2102"/>
      <c r="J58" s="2102"/>
      <c r="K58" s="2102"/>
      <c r="L58" s="2102"/>
      <c r="M58" s="2102"/>
      <c r="N58" s="2103"/>
      <c r="O58" s="1648">
        <f t="shared" si="4"/>
        <v>0</v>
      </c>
      <c r="AJ58" s="1673"/>
    </row>
    <row r="59" spans="2:36" s="1656" customFormat="1" ht="10.8" hidden="1" thickBot="1">
      <c r="B59" s="1678" t="s">
        <v>488</v>
      </c>
      <c r="C59" s="2157"/>
      <c r="D59" s="2157"/>
      <c r="E59" s="2157"/>
      <c r="F59" s="2157"/>
      <c r="G59" s="2157"/>
      <c r="H59" s="2157"/>
      <c r="I59" s="2157"/>
      <c r="J59" s="2157"/>
      <c r="K59" s="2157"/>
      <c r="L59" s="2157"/>
      <c r="M59" s="2157"/>
      <c r="N59" s="2158"/>
      <c r="O59" s="1648">
        <f t="shared" si="4"/>
        <v>0</v>
      </c>
      <c r="AJ59" s="1673"/>
    </row>
    <row r="60" spans="2:36" s="1656" customFormat="1" hidden="1">
      <c r="C60" s="1640">
        <f t="shared" ref="C60:N60" si="5">SUM(C46:C59)</f>
        <v>0</v>
      </c>
      <c r="D60" s="1640">
        <f t="shared" si="5"/>
        <v>0</v>
      </c>
      <c r="E60" s="1640">
        <f t="shared" si="5"/>
        <v>0</v>
      </c>
      <c r="F60" s="1640">
        <f t="shared" si="5"/>
        <v>0</v>
      </c>
      <c r="G60" s="1640">
        <f t="shared" si="5"/>
        <v>0</v>
      </c>
      <c r="H60" s="1640">
        <f t="shared" si="5"/>
        <v>0</v>
      </c>
      <c r="I60" s="1640">
        <f t="shared" si="5"/>
        <v>0</v>
      </c>
      <c r="J60" s="1640">
        <f t="shared" si="5"/>
        <v>0</v>
      </c>
      <c r="K60" s="1640">
        <f t="shared" si="5"/>
        <v>0</v>
      </c>
      <c r="L60" s="1640">
        <f t="shared" si="5"/>
        <v>0</v>
      </c>
      <c r="M60" s="1640">
        <f t="shared" si="5"/>
        <v>0</v>
      </c>
      <c r="N60" s="1640">
        <f t="shared" si="5"/>
        <v>0</v>
      </c>
      <c r="O60" s="1640">
        <f>SUM(O46:O59)</f>
        <v>0</v>
      </c>
      <c r="AJ60" s="1673"/>
    </row>
    <row r="63" spans="2:36" ht="10.8" thickBot="1"/>
    <row r="64" spans="2:36" ht="28.5" customHeight="1" thickBot="1">
      <c r="B64" s="2316" t="s">
        <v>494</v>
      </c>
      <c r="C64" s="2322" t="s">
        <v>436</v>
      </c>
      <c r="D64" s="2322"/>
      <c r="E64" s="2322"/>
      <c r="F64" s="2322"/>
      <c r="G64" s="2322"/>
      <c r="H64" s="2322"/>
      <c r="I64" s="2322"/>
      <c r="J64" s="2322"/>
      <c r="K64" s="2322"/>
      <c r="L64" s="2322"/>
      <c r="M64" s="2322"/>
      <c r="N64" s="1677" t="s">
        <v>437</v>
      </c>
      <c r="O64" s="1649" t="s">
        <v>438</v>
      </c>
    </row>
    <row r="65" spans="2:21">
      <c r="B65" s="2317"/>
      <c r="C65" s="2200" t="s">
        <v>328</v>
      </c>
      <c r="D65" s="1634" t="s">
        <v>2</v>
      </c>
      <c r="E65" s="1634" t="s">
        <v>3</v>
      </c>
      <c r="F65" s="1634" t="s">
        <v>4</v>
      </c>
      <c r="G65" s="1634" t="s">
        <v>5</v>
      </c>
      <c r="H65" s="1634" t="s">
        <v>6</v>
      </c>
      <c r="I65" s="1634" t="s">
        <v>7</v>
      </c>
      <c r="J65" s="1634" t="s">
        <v>8</v>
      </c>
      <c r="K65" s="1634" t="s">
        <v>9</v>
      </c>
      <c r="L65" s="1634" t="s">
        <v>10</v>
      </c>
      <c r="M65" s="1634" t="s">
        <v>11</v>
      </c>
      <c r="N65" s="1635" t="s">
        <v>12</v>
      </c>
      <c r="O65" s="1650"/>
      <c r="P65" s="1653" t="s">
        <v>581</v>
      </c>
      <c r="Q65" s="1653" t="s">
        <v>582</v>
      </c>
    </row>
    <row r="66" spans="2:21">
      <c r="B66" s="2130" t="s">
        <v>159</v>
      </c>
      <c r="C66" s="2201"/>
      <c r="D66" s="2202"/>
      <c r="E66" s="2202"/>
      <c r="F66" s="2202"/>
      <c r="G66" s="2202"/>
      <c r="H66" s="2202"/>
      <c r="I66" s="2202"/>
      <c r="J66" s="2202"/>
      <c r="K66" s="2202"/>
      <c r="L66" s="2202"/>
      <c r="M66" s="2202"/>
      <c r="N66" s="2203"/>
      <c r="O66" s="1651">
        <f>SUM(C66:N66)</f>
        <v>0</v>
      </c>
      <c r="P66" s="2164">
        <f>O80+O100+O121</f>
        <v>0</v>
      </c>
      <c r="Q66" s="2165">
        <f>O140+O160+O181</f>
        <v>0</v>
      </c>
      <c r="R66" s="2164"/>
      <c r="S66" s="1672"/>
      <c r="T66" s="2166"/>
      <c r="U66" s="2166"/>
    </row>
    <row r="67" spans="2:21">
      <c r="B67" s="2130" t="s">
        <v>90</v>
      </c>
      <c r="C67" s="2202"/>
      <c r="D67" s="2202"/>
      <c r="E67" s="2202"/>
      <c r="F67" s="2202"/>
      <c r="G67" s="2202"/>
      <c r="H67" s="2202"/>
      <c r="I67" s="2202"/>
      <c r="J67" s="2202"/>
      <c r="K67" s="2202"/>
      <c r="L67" s="2202"/>
      <c r="M67" s="2202"/>
      <c r="N67" s="2202"/>
      <c r="O67" s="1651">
        <f t="shared" ref="O67:O78" si="6">SUM(C67:N67)</f>
        <v>0</v>
      </c>
      <c r="P67" s="2164">
        <v>125</v>
      </c>
      <c r="Q67" s="2165">
        <v>66</v>
      </c>
      <c r="R67" s="2164"/>
      <c r="S67" s="1672"/>
      <c r="T67" s="2166"/>
      <c r="U67" s="2166"/>
    </row>
    <row r="68" spans="2:21">
      <c r="B68" s="2130" t="s">
        <v>91</v>
      </c>
      <c r="C68" s="2201"/>
      <c r="D68" s="2202"/>
      <c r="E68" s="2202"/>
      <c r="F68" s="2202"/>
      <c r="G68" s="2202"/>
      <c r="H68" s="2202"/>
      <c r="I68" s="2202"/>
      <c r="J68" s="2202"/>
      <c r="K68" s="2202"/>
      <c r="L68" s="2202"/>
      <c r="M68" s="2202"/>
      <c r="N68" s="2203"/>
      <c r="O68" s="1651">
        <f t="shared" si="6"/>
        <v>0</v>
      </c>
      <c r="P68" s="2164">
        <f>P66/P67</f>
        <v>0</v>
      </c>
      <c r="Q68" s="2165">
        <f>Q66/Q67</f>
        <v>0</v>
      </c>
      <c r="R68" s="2164"/>
      <c r="S68" s="1672"/>
      <c r="T68" s="2166"/>
      <c r="U68" s="2166"/>
    </row>
    <row r="69" spans="2:21">
      <c r="B69" s="2130" t="s">
        <v>104</v>
      </c>
      <c r="C69" s="2201"/>
      <c r="D69" s="2202"/>
      <c r="E69" s="2202"/>
      <c r="F69" s="2202"/>
      <c r="G69" s="2202"/>
      <c r="H69" s="2202"/>
      <c r="I69" s="2202"/>
      <c r="J69" s="2202"/>
      <c r="K69" s="2202"/>
      <c r="L69" s="2202"/>
      <c r="M69" s="2202"/>
      <c r="N69" s="2203"/>
      <c r="O69" s="1651">
        <f t="shared" si="6"/>
        <v>0</v>
      </c>
      <c r="P69" s="2164">
        <f>P66/100</f>
        <v>0</v>
      </c>
      <c r="Q69" s="2165">
        <f>Q66/40</f>
        <v>0</v>
      </c>
      <c r="R69" s="2164"/>
      <c r="S69" s="1672"/>
      <c r="T69" s="2166"/>
      <c r="U69" s="2166"/>
    </row>
    <row r="70" spans="2:21">
      <c r="B70" s="2130" t="s">
        <v>101</v>
      </c>
      <c r="C70" s="2201"/>
      <c r="D70" s="2202"/>
      <c r="E70" s="2202"/>
      <c r="F70" s="2202"/>
      <c r="G70" s="2202"/>
      <c r="H70" s="2202"/>
      <c r="I70" s="2202"/>
      <c r="J70" s="2202"/>
      <c r="K70" s="2202"/>
      <c r="L70" s="2202"/>
      <c r="M70" s="2202"/>
      <c r="N70" s="2203"/>
      <c r="O70" s="1651">
        <f t="shared" si="6"/>
        <v>0</v>
      </c>
      <c r="P70" s="2168">
        <f>(P66/44000000)*1000</f>
        <v>0</v>
      </c>
      <c r="Q70" s="2165"/>
      <c r="R70" s="2164"/>
      <c r="S70" s="1672"/>
      <c r="T70" s="2166"/>
      <c r="U70" s="2166"/>
    </row>
    <row r="71" spans="2:21">
      <c r="B71" s="2130" t="s">
        <v>486</v>
      </c>
      <c r="C71" s="2204"/>
      <c r="D71" s="1637"/>
      <c r="E71" s="1637"/>
      <c r="F71" s="1637"/>
      <c r="G71" s="1637"/>
      <c r="H71" s="1637"/>
      <c r="I71" s="1637"/>
      <c r="J71" s="1637"/>
      <c r="K71" s="1637"/>
      <c r="L71" s="1637"/>
      <c r="M71" s="1637"/>
      <c r="N71" s="1637"/>
      <c r="O71" s="1651">
        <f t="shared" si="6"/>
        <v>0</v>
      </c>
      <c r="P71" s="2164"/>
      <c r="Q71" s="2165"/>
      <c r="R71" s="2164"/>
      <c r="S71" s="1672"/>
      <c r="T71" s="2166"/>
      <c r="U71" s="2166"/>
    </row>
    <row r="72" spans="2:21">
      <c r="B72" s="2130" t="s">
        <v>96</v>
      </c>
      <c r="C72" s="2201"/>
      <c r="D72" s="2202"/>
      <c r="E72" s="2202"/>
      <c r="F72" s="2202"/>
      <c r="G72" s="2202"/>
      <c r="H72" s="2202"/>
      <c r="I72" s="2202"/>
      <c r="J72" s="2202"/>
      <c r="K72" s="2202"/>
      <c r="L72" s="2202"/>
      <c r="M72" s="2202"/>
      <c r="N72" s="2203"/>
      <c r="O72" s="1651">
        <f t="shared" si="6"/>
        <v>0</v>
      </c>
      <c r="P72" s="2164"/>
      <c r="Q72" s="2165"/>
      <c r="R72" s="2164"/>
      <c r="S72" s="1672"/>
      <c r="T72" s="2166"/>
      <c r="U72" s="2166"/>
    </row>
    <row r="73" spans="2:21">
      <c r="B73" s="2130" t="s">
        <v>585</v>
      </c>
      <c r="C73" s="2201"/>
      <c r="D73" s="2202"/>
      <c r="E73" s="2202"/>
      <c r="F73" s="2202"/>
      <c r="G73" s="2202"/>
      <c r="H73" s="2202"/>
      <c r="I73" s="2202"/>
      <c r="J73" s="2202"/>
      <c r="K73" s="2202"/>
      <c r="L73" s="2202"/>
      <c r="M73" s="2202"/>
      <c r="N73" s="2203"/>
      <c r="O73" s="1651">
        <f t="shared" si="6"/>
        <v>0</v>
      </c>
      <c r="P73" s="2164"/>
      <c r="Q73" s="2165"/>
      <c r="R73" s="2164"/>
      <c r="S73" s="1672"/>
      <c r="T73" s="2166"/>
      <c r="U73" s="2166"/>
    </row>
    <row r="74" spans="2:21">
      <c r="B74" s="2130" t="s">
        <v>561</v>
      </c>
      <c r="C74" s="2204"/>
      <c r="D74" s="1637"/>
      <c r="E74" s="1637"/>
      <c r="F74" s="1637"/>
      <c r="G74" s="1637"/>
      <c r="H74" s="1637"/>
      <c r="I74" s="1637"/>
      <c r="J74" s="1637"/>
      <c r="K74" s="1637"/>
      <c r="L74" s="1637"/>
      <c r="M74" s="1637"/>
      <c r="N74" s="1637"/>
      <c r="O74" s="1651">
        <f t="shared" si="6"/>
        <v>0</v>
      </c>
      <c r="P74" s="2164"/>
      <c r="Q74" s="2165"/>
      <c r="R74" s="2164"/>
      <c r="S74" s="1672"/>
      <c r="T74" s="2166"/>
      <c r="U74" s="2166"/>
    </row>
    <row r="75" spans="2:21">
      <c r="B75" s="2131" t="s">
        <v>586</v>
      </c>
      <c r="C75" s="2204"/>
      <c r="D75" s="1637"/>
      <c r="E75" s="1637"/>
      <c r="F75" s="1637"/>
      <c r="G75" s="1637"/>
      <c r="H75" s="1637"/>
      <c r="I75" s="1637"/>
      <c r="J75" s="1637"/>
      <c r="K75" s="1637"/>
      <c r="L75" s="1637"/>
      <c r="M75" s="1637"/>
      <c r="N75" s="2099"/>
      <c r="O75" s="1651">
        <f t="shared" si="6"/>
        <v>0</v>
      </c>
      <c r="P75" s="2164"/>
      <c r="Q75" s="2165"/>
      <c r="R75" s="2164"/>
      <c r="S75" s="1672"/>
      <c r="T75" s="2166"/>
      <c r="U75" s="2166"/>
    </row>
    <row r="76" spans="2:21">
      <c r="B76" s="2130" t="s">
        <v>100</v>
      </c>
      <c r="C76" s="2201"/>
      <c r="D76" s="2202"/>
      <c r="E76" s="2202"/>
      <c r="F76" s="2202"/>
      <c r="G76" s="2202"/>
      <c r="H76" s="2202"/>
      <c r="I76" s="2202"/>
      <c r="J76" s="2202"/>
      <c r="K76" s="2202"/>
      <c r="L76" s="2202"/>
      <c r="M76" s="2202"/>
      <c r="N76" s="2203"/>
      <c r="O76" s="1651">
        <f t="shared" si="6"/>
        <v>0</v>
      </c>
      <c r="P76" s="2164"/>
      <c r="Q76" s="2165"/>
      <c r="R76" s="2164"/>
      <c r="S76" s="1672"/>
      <c r="T76" s="2166"/>
      <c r="U76" s="2166"/>
    </row>
    <row r="77" spans="2:21">
      <c r="B77" s="2130" t="s">
        <v>102</v>
      </c>
      <c r="C77" s="2205"/>
      <c r="D77" s="2206"/>
      <c r="E77" s="2206"/>
      <c r="F77" s="2206"/>
      <c r="G77" s="2206"/>
      <c r="H77" s="2206"/>
      <c r="I77" s="2206"/>
      <c r="J77" s="2206"/>
      <c r="K77" s="2206"/>
      <c r="L77" s="2206"/>
      <c r="M77" s="2206"/>
      <c r="N77" s="2207"/>
      <c r="O77" s="1651">
        <f t="shared" si="6"/>
        <v>0</v>
      </c>
      <c r="P77" s="2164"/>
      <c r="Q77" s="2165"/>
      <c r="R77" s="2164"/>
      <c r="S77" s="1672"/>
      <c r="T77" s="2166"/>
      <c r="U77" s="2166"/>
    </row>
    <row r="78" spans="2:21">
      <c r="B78" s="2130" t="s">
        <v>559</v>
      </c>
      <c r="C78" s="2201"/>
      <c r="D78" s="2202"/>
      <c r="E78" s="2202"/>
      <c r="F78" s="2202"/>
      <c r="G78" s="2202"/>
      <c r="H78" s="2202"/>
      <c r="I78" s="2202"/>
      <c r="J78" s="2202"/>
      <c r="K78" s="2202"/>
      <c r="L78" s="2202"/>
      <c r="M78" s="2202"/>
      <c r="N78" s="2203"/>
      <c r="O78" s="1651">
        <f t="shared" si="6"/>
        <v>0</v>
      </c>
      <c r="P78" s="2164"/>
      <c r="Q78" s="2165"/>
      <c r="R78" s="2164"/>
      <c r="S78" s="1672"/>
      <c r="T78" s="2166"/>
      <c r="U78" s="2166"/>
    </row>
    <row r="79" spans="2:21" ht="10.8" thickBot="1">
      <c r="B79" s="2132" t="s">
        <v>488</v>
      </c>
      <c r="C79" s="2208"/>
      <c r="D79" s="2209"/>
      <c r="E79" s="2209"/>
      <c r="F79" s="2209"/>
      <c r="G79" s="2209"/>
      <c r="H79" s="2209"/>
      <c r="I79" s="2209"/>
      <c r="J79" s="2209"/>
      <c r="K79" s="2209"/>
      <c r="L79" s="2209"/>
      <c r="M79" s="2209"/>
      <c r="N79" s="2210"/>
      <c r="O79" s="1651">
        <f>SUM(C79:N79)</f>
        <v>0</v>
      </c>
      <c r="P79" s="2164"/>
      <c r="Q79" s="2165"/>
      <c r="R79" s="2164"/>
      <c r="S79" s="1672"/>
      <c r="T79" s="2166"/>
      <c r="U79" s="2166"/>
    </row>
    <row r="80" spans="2:21" ht="10.8" thickBot="1">
      <c r="C80" s="1642">
        <f t="shared" ref="C80:O80" si="7">SUM(C66:C79)</f>
        <v>0</v>
      </c>
      <c r="D80" s="1643">
        <f t="shared" si="7"/>
        <v>0</v>
      </c>
      <c r="E80" s="1643">
        <f t="shared" si="7"/>
        <v>0</v>
      </c>
      <c r="F80" s="1643">
        <f t="shared" si="7"/>
        <v>0</v>
      </c>
      <c r="G80" s="1643">
        <f t="shared" si="7"/>
        <v>0</v>
      </c>
      <c r="H80" s="1643">
        <f t="shared" si="7"/>
        <v>0</v>
      </c>
      <c r="I80" s="1643">
        <f t="shared" si="7"/>
        <v>0</v>
      </c>
      <c r="J80" s="1643">
        <f t="shared" si="7"/>
        <v>0</v>
      </c>
      <c r="K80" s="1643">
        <f t="shared" si="7"/>
        <v>0</v>
      </c>
      <c r="L80" s="1643">
        <f t="shared" si="7"/>
        <v>0</v>
      </c>
      <c r="M80" s="1643">
        <f t="shared" si="7"/>
        <v>0</v>
      </c>
      <c r="N80" s="2211">
        <f t="shared" si="7"/>
        <v>0</v>
      </c>
      <c r="O80" s="1652">
        <f t="shared" si="7"/>
        <v>0</v>
      </c>
      <c r="P80" s="2164"/>
      <c r="Q80" s="2165"/>
      <c r="R80" s="2164"/>
      <c r="S80" s="1672"/>
      <c r="T80" s="2166"/>
      <c r="U80" s="2166"/>
    </row>
    <row r="83" spans="2:15" ht="10.8" thickBot="1"/>
    <row r="84" spans="2:15" ht="35.25" customHeight="1" thickBot="1">
      <c r="B84" s="2316" t="s">
        <v>494</v>
      </c>
      <c r="C84" s="2322" t="s">
        <v>493</v>
      </c>
      <c r="D84" s="2322"/>
      <c r="E84" s="2322"/>
      <c r="F84" s="2322"/>
      <c r="G84" s="2322"/>
      <c r="H84" s="2322"/>
      <c r="I84" s="2322"/>
      <c r="J84" s="2322"/>
      <c r="K84" s="2322"/>
      <c r="L84" s="2322"/>
      <c r="M84" s="2322"/>
      <c r="N84" s="1677" t="s">
        <v>437</v>
      </c>
      <c r="O84" s="1649" t="s">
        <v>475</v>
      </c>
    </row>
    <row r="85" spans="2:15">
      <c r="B85" s="2317"/>
      <c r="C85" s="2200" t="s">
        <v>328</v>
      </c>
      <c r="D85" s="1634" t="s">
        <v>2</v>
      </c>
      <c r="E85" s="1634" t="s">
        <v>3</v>
      </c>
      <c r="F85" s="1634" t="s">
        <v>4</v>
      </c>
      <c r="G85" s="1634" t="s">
        <v>5</v>
      </c>
      <c r="H85" s="1634" t="s">
        <v>6</v>
      </c>
      <c r="I85" s="1634" t="s">
        <v>7</v>
      </c>
      <c r="J85" s="1634" t="s">
        <v>8</v>
      </c>
      <c r="K85" s="1634" t="s">
        <v>9</v>
      </c>
      <c r="L85" s="1634" t="s">
        <v>10</v>
      </c>
      <c r="M85" s="1634" t="s">
        <v>11</v>
      </c>
      <c r="N85" s="1641" t="s">
        <v>12</v>
      </c>
      <c r="O85" s="1650"/>
    </row>
    <row r="86" spans="2:15">
      <c r="B86" s="2130" t="s">
        <v>159</v>
      </c>
      <c r="C86" s="2201"/>
      <c r="D86" s="2202"/>
      <c r="E86" s="2202"/>
      <c r="F86" s="2202"/>
      <c r="G86" s="2202"/>
      <c r="H86" s="2202"/>
      <c r="I86" s="2202"/>
      <c r="J86" s="2202"/>
      <c r="K86" s="2202"/>
      <c r="L86" s="2202"/>
      <c r="M86" s="2202"/>
      <c r="N86" s="2202"/>
      <c r="O86" s="1651">
        <f>SUM(C86:N86)</f>
        <v>0</v>
      </c>
    </row>
    <row r="87" spans="2:15">
      <c r="B87" s="2130" t="s">
        <v>90</v>
      </c>
      <c r="C87" s="2202"/>
      <c r="D87" s="2202"/>
      <c r="E87" s="2202"/>
      <c r="F87" s="2202"/>
      <c r="G87" s="2202"/>
      <c r="H87" s="2202"/>
      <c r="I87" s="2202"/>
      <c r="J87" s="2202"/>
      <c r="K87" s="2202"/>
      <c r="L87" s="2202"/>
      <c r="M87" s="2202"/>
      <c r="N87" s="2202"/>
      <c r="O87" s="1651">
        <f t="shared" ref="O87:O99" si="8">SUM(C87:N87)</f>
        <v>0</v>
      </c>
    </row>
    <row r="88" spans="2:15">
      <c r="B88" s="2130" t="s">
        <v>91</v>
      </c>
      <c r="C88" s="2201"/>
      <c r="D88" s="2202"/>
      <c r="E88" s="2202"/>
      <c r="F88" s="2202"/>
      <c r="G88" s="2202"/>
      <c r="H88" s="2202"/>
      <c r="I88" s="2202"/>
      <c r="J88" s="2202"/>
      <c r="K88" s="2202"/>
      <c r="L88" s="2202"/>
      <c r="M88" s="2202"/>
      <c r="N88" s="2202"/>
      <c r="O88" s="1651">
        <f t="shared" si="8"/>
        <v>0</v>
      </c>
    </row>
    <row r="89" spans="2:15">
      <c r="B89" s="2130" t="s">
        <v>104</v>
      </c>
      <c r="C89" s="2201"/>
      <c r="D89" s="2202"/>
      <c r="E89" s="2202"/>
      <c r="F89" s="2202"/>
      <c r="G89" s="2202"/>
      <c r="H89" s="2202"/>
      <c r="I89" s="2202"/>
      <c r="J89" s="2202"/>
      <c r="K89" s="2202"/>
      <c r="L89" s="2202"/>
      <c r="M89" s="2202"/>
      <c r="N89" s="2202"/>
      <c r="O89" s="1651">
        <f t="shared" si="8"/>
        <v>0</v>
      </c>
    </row>
    <row r="90" spans="2:15">
      <c r="B90" s="2130" t="s">
        <v>101</v>
      </c>
      <c r="C90" s="2201"/>
      <c r="D90" s="2202"/>
      <c r="E90" s="2202"/>
      <c r="F90" s="2202"/>
      <c r="G90" s="2202"/>
      <c r="H90" s="2202"/>
      <c r="I90" s="2202"/>
      <c r="J90" s="2202"/>
      <c r="K90" s="2202"/>
      <c r="L90" s="2202"/>
      <c r="M90" s="2202"/>
      <c r="N90" s="2202"/>
      <c r="O90" s="1651">
        <f t="shared" si="8"/>
        <v>0</v>
      </c>
    </row>
    <row r="91" spans="2:15">
      <c r="B91" s="2130" t="s">
        <v>486</v>
      </c>
      <c r="C91" s="2204"/>
      <c r="D91" s="1637"/>
      <c r="E91" s="1637"/>
      <c r="F91" s="1637"/>
      <c r="G91" s="1637"/>
      <c r="H91" s="1637"/>
      <c r="I91" s="1637"/>
      <c r="J91" s="1637"/>
      <c r="K91" s="1637"/>
      <c r="L91" s="1637"/>
      <c r="M91" s="1637"/>
      <c r="N91" s="1637"/>
      <c r="O91" s="1651">
        <f t="shared" si="8"/>
        <v>0</v>
      </c>
    </row>
    <row r="92" spans="2:15">
      <c r="B92" s="2130" t="s">
        <v>96</v>
      </c>
      <c r="C92" s="2201"/>
      <c r="D92" s="2202"/>
      <c r="E92" s="2202"/>
      <c r="F92" s="2202"/>
      <c r="G92" s="2202"/>
      <c r="H92" s="2202"/>
      <c r="I92" s="2202"/>
      <c r="J92" s="2202"/>
      <c r="K92" s="2202"/>
      <c r="L92" s="2202"/>
      <c r="M92" s="2202"/>
      <c r="N92" s="2202"/>
      <c r="O92" s="1651">
        <f t="shared" si="8"/>
        <v>0</v>
      </c>
    </row>
    <row r="93" spans="2:15">
      <c r="B93" s="2130" t="s">
        <v>585</v>
      </c>
      <c r="C93" s="2201"/>
      <c r="D93" s="2202"/>
      <c r="E93" s="2202"/>
      <c r="F93" s="2202"/>
      <c r="G93" s="2202"/>
      <c r="H93" s="2202"/>
      <c r="I93" s="2202"/>
      <c r="J93" s="2202"/>
      <c r="K93" s="2202"/>
      <c r="L93" s="2202"/>
      <c r="M93" s="2202"/>
      <c r="N93" s="2202"/>
      <c r="O93" s="1651">
        <f t="shared" si="8"/>
        <v>0</v>
      </c>
    </row>
    <row r="94" spans="2:15">
      <c r="B94" s="2130" t="s">
        <v>561</v>
      </c>
      <c r="C94" s="2204"/>
      <c r="D94" s="1637"/>
      <c r="E94" s="1637"/>
      <c r="F94" s="1637"/>
      <c r="G94" s="1637"/>
      <c r="H94" s="1637"/>
      <c r="I94" s="1637"/>
      <c r="J94" s="1637"/>
      <c r="K94" s="1637"/>
      <c r="L94" s="1637"/>
      <c r="M94" s="1637"/>
      <c r="N94" s="1637"/>
      <c r="O94" s="1651">
        <f t="shared" si="8"/>
        <v>0</v>
      </c>
    </row>
    <row r="95" spans="2:15">
      <c r="B95" s="2131" t="s">
        <v>586</v>
      </c>
      <c r="C95" s="2204"/>
      <c r="D95" s="1637"/>
      <c r="E95" s="1637"/>
      <c r="F95" s="1637"/>
      <c r="G95" s="1637"/>
      <c r="H95" s="1637"/>
      <c r="I95" s="1637"/>
      <c r="J95" s="1637"/>
      <c r="K95" s="1637"/>
      <c r="L95" s="1637"/>
      <c r="M95" s="1637"/>
      <c r="N95" s="1637"/>
      <c r="O95" s="1651">
        <f t="shared" si="8"/>
        <v>0</v>
      </c>
    </row>
    <row r="96" spans="2:15">
      <c r="B96" s="2130" t="s">
        <v>100</v>
      </c>
      <c r="C96" s="2201"/>
      <c r="D96" s="2202"/>
      <c r="E96" s="2202"/>
      <c r="F96" s="2202"/>
      <c r="G96" s="2202"/>
      <c r="H96" s="2202"/>
      <c r="I96" s="2202"/>
      <c r="J96" s="2202"/>
      <c r="K96" s="2202"/>
      <c r="L96" s="2202"/>
      <c r="M96" s="2202"/>
      <c r="N96" s="2202"/>
      <c r="O96" s="1651">
        <f t="shared" si="8"/>
        <v>0</v>
      </c>
    </row>
    <row r="97" spans="2:15">
      <c r="B97" s="2130" t="s">
        <v>102</v>
      </c>
      <c r="C97" s="2205"/>
      <c r="D97" s="2206"/>
      <c r="E97" s="2206"/>
      <c r="F97" s="2206"/>
      <c r="G97" s="2206"/>
      <c r="H97" s="2206"/>
      <c r="I97" s="2206"/>
      <c r="J97" s="2206"/>
      <c r="K97" s="2206"/>
      <c r="L97" s="2206"/>
      <c r="M97" s="2206"/>
      <c r="N97" s="2206"/>
      <c r="O97" s="1651">
        <f t="shared" si="8"/>
        <v>0</v>
      </c>
    </row>
    <row r="98" spans="2:15">
      <c r="B98" s="2130" t="s">
        <v>559</v>
      </c>
      <c r="C98" s="2201"/>
      <c r="D98" s="2202"/>
      <c r="E98" s="2202"/>
      <c r="F98" s="2202"/>
      <c r="G98" s="2202"/>
      <c r="H98" s="2202"/>
      <c r="I98" s="2202"/>
      <c r="J98" s="2202"/>
      <c r="K98" s="2202"/>
      <c r="L98" s="2202"/>
      <c r="M98" s="2202"/>
      <c r="N98" s="2202"/>
      <c r="O98" s="1651">
        <f t="shared" si="8"/>
        <v>0</v>
      </c>
    </row>
    <row r="99" spans="2:15" ht="10.8" thickBot="1">
      <c r="B99" s="2132" t="s">
        <v>488</v>
      </c>
      <c r="C99" s="2201"/>
      <c r="D99" s="2202"/>
      <c r="E99" s="2202"/>
      <c r="F99" s="2202"/>
      <c r="G99" s="2202"/>
      <c r="H99" s="2202"/>
      <c r="I99" s="2202"/>
      <c r="J99" s="2202"/>
      <c r="K99" s="2202"/>
      <c r="L99" s="2202"/>
      <c r="M99" s="2202"/>
      <c r="N99" s="2202"/>
      <c r="O99" s="1651">
        <f t="shared" si="8"/>
        <v>0</v>
      </c>
    </row>
    <row r="100" spans="2:15" ht="10.8" thickBot="1">
      <c r="C100" s="1642">
        <f t="shared" ref="C100:O100" si="9">SUM(C86:C99)</f>
        <v>0</v>
      </c>
      <c r="D100" s="1643">
        <f t="shared" si="9"/>
        <v>0</v>
      </c>
      <c r="E100" s="1643">
        <f t="shared" si="9"/>
        <v>0</v>
      </c>
      <c r="F100" s="1643">
        <f t="shared" si="9"/>
        <v>0</v>
      </c>
      <c r="G100" s="1643">
        <f t="shared" si="9"/>
        <v>0</v>
      </c>
      <c r="H100" s="1643">
        <f t="shared" si="9"/>
        <v>0</v>
      </c>
      <c r="I100" s="1643">
        <f t="shared" si="9"/>
        <v>0</v>
      </c>
      <c r="J100" s="1643">
        <f t="shared" si="9"/>
        <v>0</v>
      </c>
      <c r="K100" s="1643">
        <f t="shared" si="9"/>
        <v>0</v>
      </c>
      <c r="L100" s="1643">
        <f t="shared" si="9"/>
        <v>0</v>
      </c>
      <c r="M100" s="1643">
        <f t="shared" si="9"/>
        <v>0</v>
      </c>
      <c r="N100" s="1644">
        <f t="shared" si="9"/>
        <v>0</v>
      </c>
      <c r="O100" s="1652">
        <f t="shared" si="9"/>
        <v>0</v>
      </c>
    </row>
    <row r="104" spans="2:15" ht="10.8" thickBot="1"/>
    <row r="105" spans="2:15" ht="33" customHeight="1" thickBot="1">
      <c r="B105" s="2316" t="s">
        <v>494</v>
      </c>
      <c r="C105" s="2322" t="s">
        <v>492</v>
      </c>
      <c r="D105" s="2322"/>
      <c r="E105" s="2322"/>
      <c r="F105" s="2322"/>
      <c r="G105" s="2322"/>
      <c r="H105" s="2322"/>
      <c r="I105" s="2322"/>
      <c r="J105" s="2322"/>
      <c r="K105" s="2322"/>
      <c r="L105" s="2322"/>
      <c r="M105" s="2322"/>
      <c r="N105" s="1677" t="s">
        <v>437</v>
      </c>
      <c r="O105" s="1649" t="s">
        <v>475</v>
      </c>
    </row>
    <row r="106" spans="2:15">
      <c r="B106" s="2317"/>
      <c r="C106" s="2200" t="s">
        <v>328</v>
      </c>
      <c r="D106" s="1634" t="s">
        <v>2</v>
      </c>
      <c r="E106" s="1634" t="s">
        <v>3</v>
      </c>
      <c r="F106" s="1634" t="s">
        <v>4</v>
      </c>
      <c r="G106" s="1634" t="s">
        <v>5</v>
      </c>
      <c r="H106" s="1634" t="s">
        <v>6</v>
      </c>
      <c r="I106" s="1634" t="s">
        <v>7</v>
      </c>
      <c r="J106" s="1634" t="s">
        <v>8</v>
      </c>
      <c r="K106" s="1634" t="s">
        <v>9</v>
      </c>
      <c r="L106" s="1634" t="s">
        <v>10</v>
      </c>
      <c r="M106" s="1634" t="s">
        <v>11</v>
      </c>
      <c r="N106" s="1641" t="s">
        <v>12</v>
      </c>
      <c r="O106" s="1650"/>
    </row>
    <row r="107" spans="2:15">
      <c r="B107" s="2130" t="s">
        <v>159</v>
      </c>
      <c r="C107" s="2201"/>
      <c r="D107" s="2202"/>
      <c r="E107" s="2202"/>
      <c r="F107" s="2202"/>
      <c r="G107" s="2202"/>
      <c r="H107" s="2202"/>
      <c r="I107" s="2202"/>
      <c r="J107" s="2202"/>
      <c r="K107" s="2202"/>
      <c r="L107" s="2202"/>
      <c r="M107" s="2202"/>
      <c r="N107" s="2202"/>
      <c r="O107" s="1651">
        <f>SUM(C107:N107)</f>
        <v>0</v>
      </c>
    </row>
    <row r="108" spans="2:15">
      <c r="B108" s="2130" t="s">
        <v>90</v>
      </c>
      <c r="C108" s="2202"/>
      <c r="D108" s="2202"/>
      <c r="E108" s="2202"/>
      <c r="F108" s="2202"/>
      <c r="G108" s="2202"/>
      <c r="H108" s="2202"/>
      <c r="I108" s="2202"/>
      <c r="J108" s="2202"/>
      <c r="K108" s="2202"/>
      <c r="L108" s="2202"/>
      <c r="M108" s="2202"/>
      <c r="N108" s="2202"/>
      <c r="O108" s="1651">
        <f>SUM(C108:N108)</f>
        <v>0</v>
      </c>
    </row>
    <row r="109" spans="2:15">
      <c r="B109" s="2130" t="s">
        <v>91</v>
      </c>
      <c r="C109" s="2201"/>
      <c r="D109" s="2202"/>
      <c r="E109" s="2187"/>
      <c r="F109" s="2187"/>
      <c r="G109" s="2187"/>
      <c r="H109" s="2187"/>
      <c r="I109" s="2187"/>
      <c r="J109" s="2187"/>
      <c r="K109" s="2187"/>
      <c r="L109" s="2187"/>
      <c r="M109" s="2187"/>
      <c r="N109" s="2202"/>
      <c r="O109" s="1651">
        <f t="shared" ref="O109:O119" si="10">SUM(C109:N109)</f>
        <v>0</v>
      </c>
    </row>
    <row r="110" spans="2:15">
      <c r="B110" s="2130" t="s">
        <v>104</v>
      </c>
      <c r="C110" s="2201"/>
      <c r="D110" s="2202"/>
      <c r="E110" s="2202"/>
      <c r="F110" s="2202"/>
      <c r="G110" s="2202"/>
      <c r="H110" s="2202"/>
      <c r="I110" s="2202"/>
      <c r="J110" s="2202"/>
      <c r="K110" s="2202"/>
      <c r="L110" s="2202"/>
      <c r="M110" s="2202"/>
      <c r="N110" s="2202"/>
      <c r="O110" s="1651">
        <f t="shared" si="10"/>
        <v>0</v>
      </c>
    </row>
    <row r="111" spans="2:15">
      <c r="B111" s="2130" t="s">
        <v>101</v>
      </c>
      <c r="C111" s="2201"/>
      <c r="D111" s="2202"/>
      <c r="E111" s="2202"/>
      <c r="F111" s="2202"/>
      <c r="G111" s="2202"/>
      <c r="H111" s="2202"/>
      <c r="I111" s="2202"/>
      <c r="J111" s="2202"/>
      <c r="K111" s="2202"/>
      <c r="L111" s="2202"/>
      <c r="M111" s="2202"/>
      <c r="N111" s="2202"/>
      <c r="O111" s="1651">
        <f t="shared" si="10"/>
        <v>0</v>
      </c>
    </row>
    <row r="112" spans="2:15">
      <c r="B112" s="2130" t="s">
        <v>486</v>
      </c>
      <c r="C112" s="2201"/>
      <c r="D112" s="2202"/>
      <c r="E112" s="2202"/>
      <c r="F112" s="2202"/>
      <c r="G112" s="2202"/>
      <c r="H112" s="2202"/>
      <c r="I112" s="2202"/>
      <c r="J112" s="2202"/>
      <c r="K112" s="2202"/>
      <c r="L112" s="2202"/>
      <c r="M112" s="2202"/>
      <c r="N112" s="2202"/>
      <c r="O112" s="1651">
        <f t="shared" si="10"/>
        <v>0</v>
      </c>
    </row>
    <row r="113" spans="2:15">
      <c r="B113" s="2130" t="s">
        <v>96</v>
      </c>
      <c r="C113" s="2201"/>
      <c r="D113" s="2202"/>
      <c r="E113" s="2202"/>
      <c r="F113" s="2202"/>
      <c r="G113" s="2202"/>
      <c r="H113" s="2202"/>
      <c r="I113" s="2202"/>
      <c r="J113" s="2202"/>
      <c r="K113" s="2202"/>
      <c r="L113" s="2202"/>
      <c r="M113" s="2202"/>
      <c r="N113" s="2202"/>
      <c r="O113" s="1651">
        <f t="shared" si="10"/>
        <v>0</v>
      </c>
    </row>
    <row r="114" spans="2:15">
      <c r="B114" s="2130" t="s">
        <v>585</v>
      </c>
      <c r="C114" s="2201"/>
      <c r="D114" s="2202"/>
      <c r="E114" s="2202"/>
      <c r="F114" s="2202"/>
      <c r="G114" s="2202"/>
      <c r="H114" s="2202"/>
      <c r="I114" s="2202"/>
      <c r="J114" s="2202"/>
      <c r="K114" s="2202"/>
      <c r="L114" s="2202"/>
      <c r="M114" s="2202"/>
      <c r="N114" s="2202"/>
      <c r="O114" s="1651">
        <f t="shared" si="10"/>
        <v>0</v>
      </c>
    </row>
    <row r="115" spans="2:15">
      <c r="B115" s="2130" t="s">
        <v>561</v>
      </c>
      <c r="C115" s="2204"/>
      <c r="D115" s="1637"/>
      <c r="E115" s="1637"/>
      <c r="F115" s="1637"/>
      <c r="G115" s="1637"/>
      <c r="H115" s="1637"/>
      <c r="I115" s="1637"/>
      <c r="J115" s="1637"/>
      <c r="K115" s="1637"/>
      <c r="L115" s="1637"/>
      <c r="M115" s="1637"/>
      <c r="N115" s="1637"/>
      <c r="O115" s="1651">
        <f t="shared" si="10"/>
        <v>0</v>
      </c>
    </row>
    <row r="116" spans="2:15">
      <c r="B116" s="2131" t="s">
        <v>586</v>
      </c>
      <c r="C116" s="2204"/>
      <c r="D116" s="1637"/>
      <c r="E116" s="1637"/>
      <c r="F116" s="1637"/>
      <c r="G116" s="1637"/>
      <c r="H116" s="1637"/>
      <c r="I116" s="1637"/>
      <c r="J116" s="1637"/>
      <c r="K116" s="1637"/>
      <c r="L116" s="1637"/>
      <c r="M116" s="1637"/>
      <c r="N116" s="1637"/>
      <c r="O116" s="1651">
        <f t="shared" si="10"/>
        <v>0</v>
      </c>
    </row>
    <row r="117" spans="2:15">
      <c r="B117" s="2130" t="s">
        <v>100</v>
      </c>
      <c r="C117" s="2201"/>
      <c r="D117" s="2202"/>
      <c r="E117" s="2202"/>
      <c r="F117" s="2202"/>
      <c r="G117" s="2202"/>
      <c r="H117" s="2202"/>
      <c r="I117" s="2202"/>
      <c r="J117" s="2202"/>
      <c r="K117" s="2202"/>
      <c r="L117" s="2202"/>
      <c r="M117" s="2202"/>
      <c r="N117" s="2203"/>
      <c r="O117" s="1651">
        <f t="shared" si="10"/>
        <v>0</v>
      </c>
    </row>
    <row r="118" spans="2:15">
      <c r="B118" s="2130" t="s">
        <v>102</v>
      </c>
      <c r="C118" s="2201"/>
      <c r="D118" s="2202"/>
      <c r="E118" s="2202"/>
      <c r="F118" s="2202"/>
      <c r="G118" s="2202"/>
      <c r="H118" s="2202"/>
      <c r="I118" s="2202"/>
      <c r="J118" s="2202"/>
      <c r="K118" s="2202"/>
      <c r="L118" s="2202"/>
      <c r="M118" s="2202"/>
      <c r="N118" s="2202"/>
      <c r="O118" s="1651">
        <f t="shared" si="10"/>
        <v>0</v>
      </c>
    </row>
    <row r="119" spans="2:15">
      <c r="B119" s="2130" t="s">
        <v>559</v>
      </c>
      <c r="C119" s="2201"/>
      <c r="D119" s="2202"/>
      <c r="E119" s="2202"/>
      <c r="F119" s="2202"/>
      <c r="G119" s="2202"/>
      <c r="H119" s="2202"/>
      <c r="I119" s="2202"/>
      <c r="J119" s="2202"/>
      <c r="K119" s="2202"/>
      <c r="L119" s="2202"/>
      <c r="M119" s="2202"/>
      <c r="N119" s="2202"/>
      <c r="O119" s="1651">
        <f t="shared" si="10"/>
        <v>0</v>
      </c>
    </row>
    <row r="120" spans="2:15" ht="10.8" thickBot="1">
      <c r="B120" s="2132" t="s">
        <v>488</v>
      </c>
      <c r="C120" s="2201"/>
      <c r="D120" s="2202"/>
      <c r="E120" s="2202"/>
      <c r="F120" s="2202"/>
      <c r="G120" s="2202"/>
      <c r="H120" s="2202"/>
      <c r="I120" s="2202"/>
      <c r="J120" s="2202"/>
      <c r="K120" s="2202"/>
      <c r="L120" s="2202"/>
      <c r="M120" s="2202"/>
      <c r="N120" s="2202"/>
      <c r="O120" s="1651">
        <f>SUM(C120:N120)</f>
        <v>0</v>
      </c>
    </row>
    <row r="121" spans="2:15" ht="10.8" thickBot="1">
      <c r="C121" s="1642">
        <f t="shared" ref="C121:N121" si="11">SUM(C107:C120)</f>
        <v>0</v>
      </c>
      <c r="D121" s="1642">
        <f t="shared" si="11"/>
        <v>0</v>
      </c>
      <c r="E121" s="1642">
        <f t="shared" si="11"/>
        <v>0</v>
      </c>
      <c r="F121" s="1642">
        <f t="shared" si="11"/>
        <v>0</v>
      </c>
      <c r="G121" s="1642">
        <f t="shared" si="11"/>
        <v>0</v>
      </c>
      <c r="H121" s="1642">
        <f t="shared" si="11"/>
        <v>0</v>
      </c>
      <c r="I121" s="1642">
        <f t="shared" si="11"/>
        <v>0</v>
      </c>
      <c r="J121" s="1642">
        <f t="shared" si="11"/>
        <v>0</v>
      </c>
      <c r="K121" s="1642">
        <f t="shared" si="11"/>
        <v>0</v>
      </c>
      <c r="L121" s="1642">
        <f t="shared" si="11"/>
        <v>0</v>
      </c>
      <c r="M121" s="1642">
        <f t="shared" si="11"/>
        <v>0</v>
      </c>
      <c r="N121" s="1642">
        <f t="shared" si="11"/>
        <v>0</v>
      </c>
      <c r="O121" s="1652">
        <f>SUM(C121:N121)</f>
        <v>0</v>
      </c>
    </row>
    <row r="123" spans="2:15" ht="10.8" thickBot="1"/>
    <row r="124" spans="2:15" ht="28.5" customHeight="1" thickBot="1">
      <c r="B124" s="2316" t="s">
        <v>494</v>
      </c>
      <c r="C124" s="2322" t="s">
        <v>490</v>
      </c>
      <c r="D124" s="2322"/>
      <c r="E124" s="2322"/>
      <c r="F124" s="2322"/>
      <c r="G124" s="2322"/>
      <c r="H124" s="2322"/>
      <c r="I124" s="2322"/>
      <c r="J124" s="2322"/>
      <c r="K124" s="2322"/>
      <c r="L124" s="2322"/>
      <c r="M124" s="2322"/>
      <c r="N124" s="1677" t="s">
        <v>437</v>
      </c>
      <c r="O124" s="2138" t="s">
        <v>475</v>
      </c>
    </row>
    <row r="125" spans="2:15">
      <c r="B125" s="2317"/>
      <c r="C125" s="2212" t="s">
        <v>328</v>
      </c>
      <c r="D125" s="2213" t="s">
        <v>2</v>
      </c>
      <c r="E125" s="2213" t="s">
        <v>3</v>
      </c>
      <c r="F125" s="2213" t="s">
        <v>4</v>
      </c>
      <c r="G125" s="2213" t="s">
        <v>5</v>
      </c>
      <c r="H125" s="2213" t="s">
        <v>6</v>
      </c>
      <c r="I125" s="2213" t="s">
        <v>7</v>
      </c>
      <c r="J125" s="2213" t="s">
        <v>8</v>
      </c>
      <c r="K125" s="2213" t="s">
        <v>9</v>
      </c>
      <c r="L125" s="2213" t="s">
        <v>10</v>
      </c>
      <c r="M125" s="2213" t="s">
        <v>11</v>
      </c>
      <c r="N125" s="2214" t="s">
        <v>12</v>
      </c>
      <c r="O125" s="1650">
        <f t="shared" ref="O125" si="12">SUM(C125:N125)</f>
        <v>0</v>
      </c>
    </row>
    <row r="126" spans="2:15">
      <c r="B126" s="2130" t="s">
        <v>159</v>
      </c>
      <c r="C126" s="2186"/>
      <c r="D126" s="2187"/>
      <c r="E126" s="2187"/>
      <c r="F126" s="2187"/>
      <c r="G126" s="2187"/>
      <c r="H126" s="2187"/>
      <c r="I126" s="2187"/>
      <c r="J126" s="2187"/>
      <c r="K126" s="2187"/>
      <c r="L126" s="2187"/>
      <c r="M126" s="2187"/>
      <c r="N126" s="2215"/>
      <c r="O126" s="2139">
        <f>SUM(C126:N126)</f>
        <v>0</v>
      </c>
    </row>
    <row r="127" spans="2:15">
      <c r="B127" s="2130" t="s">
        <v>90</v>
      </c>
      <c r="C127" s="2187"/>
      <c r="D127" s="2187"/>
      <c r="E127" s="2187"/>
      <c r="F127" s="2187"/>
      <c r="G127" s="2187"/>
      <c r="H127" s="2187"/>
      <c r="I127" s="2187"/>
      <c r="J127" s="2187"/>
      <c r="K127" s="2187"/>
      <c r="L127" s="2187"/>
      <c r="M127" s="2187"/>
      <c r="N127" s="2215"/>
      <c r="O127" s="2139">
        <f t="shared" ref="O127:O139" si="13">SUM(C127:N127)</f>
        <v>0</v>
      </c>
    </row>
    <row r="128" spans="2:15">
      <c r="B128" s="2130" t="s">
        <v>91</v>
      </c>
      <c r="C128" s="2190"/>
      <c r="D128" s="2134"/>
      <c r="E128" s="2134"/>
      <c r="F128" s="2134"/>
      <c r="G128" s="2134"/>
      <c r="H128" s="2134"/>
      <c r="I128" s="2134"/>
      <c r="J128" s="2134"/>
      <c r="K128" s="2134"/>
      <c r="L128" s="2134"/>
      <c r="M128" s="2134"/>
      <c r="N128" s="2143"/>
      <c r="O128" s="2139">
        <f t="shared" si="13"/>
        <v>0</v>
      </c>
    </row>
    <row r="129" spans="2:15">
      <c r="B129" s="2130" t="s">
        <v>104</v>
      </c>
      <c r="C129" s="2190"/>
      <c r="D129" s="2134"/>
      <c r="E129" s="2134"/>
      <c r="F129" s="2134"/>
      <c r="G129" s="2134"/>
      <c r="H129" s="2134"/>
      <c r="I129" s="2134"/>
      <c r="J129" s="2134"/>
      <c r="K129" s="2134"/>
      <c r="L129" s="2134"/>
      <c r="M129" s="2134"/>
      <c r="N129" s="2215"/>
      <c r="O129" s="2139">
        <f t="shared" si="13"/>
        <v>0</v>
      </c>
    </row>
    <row r="130" spans="2:15">
      <c r="B130" s="2130" t="s">
        <v>101</v>
      </c>
      <c r="C130" s="2186"/>
      <c r="D130" s="2187"/>
      <c r="E130" s="2187"/>
      <c r="F130" s="2187"/>
      <c r="G130" s="2187"/>
      <c r="H130" s="2187"/>
      <c r="I130" s="2187"/>
      <c r="J130" s="2187"/>
      <c r="K130" s="2187"/>
      <c r="L130" s="2187"/>
      <c r="M130" s="2187"/>
      <c r="N130" s="2215"/>
      <c r="O130" s="2139">
        <f t="shared" si="13"/>
        <v>0</v>
      </c>
    </row>
    <row r="131" spans="2:15">
      <c r="B131" s="2130" t="s">
        <v>486</v>
      </c>
      <c r="C131" s="2190"/>
      <c r="D131" s="2134"/>
      <c r="E131" s="2134"/>
      <c r="F131" s="2134"/>
      <c r="G131" s="2134"/>
      <c r="H131" s="2134"/>
      <c r="I131" s="2134"/>
      <c r="J131" s="2134"/>
      <c r="K131" s="2134"/>
      <c r="L131" s="2134"/>
      <c r="M131" s="2134"/>
      <c r="N131" s="2143"/>
      <c r="O131" s="2139">
        <f t="shared" si="13"/>
        <v>0</v>
      </c>
    </row>
    <row r="132" spans="2:15">
      <c r="B132" s="2130" t="s">
        <v>96</v>
      </c>
      <c r="C132" s="2186"/>
      <c r="D132" s="2187"/>
      <c r="E132" s="2187"/>
      <c r="F132" s="2187"/>
      <c r="G132" s="2187"/>
      <c r="H132" s="2187"/>
      <c r="I132" s="2187"/>
      <c r="J132" s="2187"/>
      <c r="K132" s="2187"/>
      <c r="L132" s="2187"/>
      <c r="M132" s="2187"/>
      <c r="N132" s="2215"/>
      <c r="O132" s="2139">
        <f t="shared" si="13"/>
        <v>0</v>
      </c>
    </row>
    <row r="133" spans="2:15">
      <c r="B133" s="2130" t="s">
        <v>585</v>
      </c>
      <c r="C133" s="2190"/>
      <c r="D133" s="2134"/>
      <c r="E133" s="2134"/>
      <c r="F133" s="2134"/>
      <c r="G133" s="2134"/>
      <c r="H133" s="2134"/>
      <c r="I133" s="2134"/>
      <c r="J133" s="2134"/>
      <c r="K133" s="2134"/>
      <c r="L133" s="2134"/>
      <c r="M133" s="2134"/>
      <c r="N133" s="2143"/>
      <c r="O133" s="2139">
        <f t="shared" si="13"/>
        <v>0</v>
      </c>
    </row>
    <row r="134" spans="2:15">
      <c r="B134" s="2130" t="s">
        <v>561</v>
      </c>
      <c r="C134" s="2190"/>
      <c r="D134" s="2134"/>
      <c r="E134" s="2134"/>
      <c r="F134" s="2134"/>
      <c r="G134" s="2134"/>
      <c r="H134" s="2134"/>
      <c r="I134" s="2134"/>
      <c r="J134" s="2134"/>
      <c r="K134" s="2134"/>
      <c r="L134" s="2134"/>
      <c r="M134" s="2134"/>
      <c r="N134" s="2143"/>
      <c r="O134" s="2139">
        <f t="shared" si="13"/>
        <v>0</v>
      </c>
    </row>
    <row r="135" spans="2:15">
      <c r="B135" s="2131" t="s">
        <v>589</v>
      </c>
      <c r="C135" s="2190"/>
      <c r="D135" s="2134"/>
      <c r="E135" s="2134"/>
      <c r="F135" s="2134"/>
      <c r="G135" s="2134"/>
      <c r="H135" s="2134"/>
      <c r="I135" s="2134"/>
      <c r="J135" s="2134"/>
      <c r="K135" s="2134"/>
      <c r="L135" s="2134"/>
      <c r="M135" s="2134"/>
      <c r="N135" s="2143"/>
      <c r="O135" s="2139">
        <f t="shared" si="13"/>
        <v>0</v>
      </c>
    </row>
    <row r="136" spans="2:15">
      <c r="B136" s="2130" t="s">
        <v>100</v>
      </c>
      <c r="C136" s="2190"/>
      <c r="D136" s="2134"/>
      <c r="E136" s="2134"/>
      <c r="F136" s="2134"/>
      <c r="G136" s="2134"/>
      <c r="H136" s="2134"/>
      <c r="I136" s="2134"/>
      <c r="J136" s="2134"/>
      <c r="K136" s="2187"/>
      <c r="L136" s="2134"/>
      <c r="M136" s="2134"/>
      <c r="N136" s="2143"/>
      <c r="O136" s="2139">
        <f t="shared" si="13"/>
        <v>0</v>
      </c>
    </row>
    <row r="137" spans="2:15">
      <c r="B137" s="2130" t="s">
        <v>102</v>
      </c>
      <c r="C137" s="2186"/>
      <c r="D137" s="2187"/>
      <c r="E137" s="2187"/>
      <c r="F137" s="2187"/>
      <c r="G137" s="2187"/>
      <c r="H137" s="2187"/>
      <c r="I137" s="2187"/>
      <c r="J137" s="2187"/>
      <c r="K137" s="2187"/>
      <c r="L137" s="2187"/>
      <c r="M137" s="2187"/>
      <c r="N137" s="2215"/>
      <c r="O137" s="2139">
        <f t="shared" si="13"/>
        <v>0</v>
      </c>
    </row>
    <row r="138" spans="2:15">
      <c r="B138" s="2130" t="s">
        <v>559</v>
      </c>
      <c r="C138" s="2186"/>
      <c r="D138" s="2187"/>
      <c r="E138" s="2187"/>
      <c r="F138" s="2187"/>
      <c r="G138" s="2187"/>
      <c r="H138" s="2187"/>
      <c r="I138" s="2187"/>
      <c r="J138" s="2187"/>
      <c r="K138" s="2187"/>
      <c r="L138" s="2187"/>
      <c r="M138" s="2187"/>
      <c r="N138" s="2215"/>
      <c r="O138" s="2139">
        <f t="shared" si="13"/>
        <v>0</v>
      </c>
    </row>
    <row r="139" spans="2:15" ht="10.8" thickBot="1">
      <c r="B139" s="2132" t="s">
        <v>488</v>
      </c>
      <c r="C139" s="2216"/>
      <c r="D139" s="2135"/>
      <c r="E139" s="2135"/>
      <c r="F139" s="2135"/>
      <c r="G139" s="2135"/>
      <c r="H139" s="2135"/>
      <c r="I139" s="2135"/>
      <c r="J139" s="2135"/>
      <c r="K139" s="2135"/>
      <c r="L139" s="2135"/>
      <c r="M139" s="2135"/>
      <c r="N139" s="2145"/>
      <c r="O139" s="2144">
        <f t="shared" si="13"/>
        <v>0</v>
      </c>
    </row>
    <row r="140" spans="2:15" ht="10.8" thickBot="1">
      <c r="C140" s="2217">
        <f t="shared" ref="C140:O140" si="14">SUM(C126:C139)</f>
        <v>0</v>
      </c>
      <c r="D140" s="2218">
        <f t="shared" si="14"/>
        <v>0</v>
      </c>
      <c r="E140" s="2218">
        <f t="shared" si="14"/>
        <v>0</v>
      </c>
      <c r="F140" s="2218">
        <f t="shared" si="14"/>
        <v>0</v>
      </c>
      <c r="G140" s="2218">
        <f t="shared" si="14"/>
        <v>0</v>
      </c>
      <c r="H140" s="2218">
        <f t="shared" si="14"/>
        <v>0</v>
      </c>
      <c r="I140" s="2218">
        <f t="shared" si="14"/>
        <v>0</v>
      </c>
      <c r="J140" s="2218">
        <f t="shared" si="14"/>
        <v>0</v>
      </c>
      <c r="K140" s="2218">
        <f t="shared" si="14"/>
        <v>0</v>
      </c>
      <c r="L140" s="2218">
        <f t="shared" si="14"/>
        <v>0</v>
      </c>
      <c r="M140" s="2218">
        <f t="shared" si="14"/>
        <v>0</v>
      </c>
      <c r="N140" s="2219">
        <f t="shared" si="14"/>
        <v>0</v>
      </c>
      <c r="O140" s="2220">
        <f t="shared" si="14"/>
        <v>0</v>
      </c>
    </row>
    <row r="143" spans="2:15" ht="10.8" thickBot="1"/>
    <row r="144" spans="2:15" ht="35.25" customHeight="1" thickBot="1">
      <c r="B144" s="2323" t="s">
        <v>494</v>
      </c>
      <c r="C144" s="2322" t="s">
        <v>491</v>
      </c>
      <c r="D144" s="2322"/>
      <c r="E144" s="2322"/>
      <c r="F144" s="2322"/>
      <c r="G144" s="2322"/>
      <c r="H144" s="2322"/>
      <c r="I144" s="2322"/>
      <c r="J144" s="2322"/>
      <c r="K144" s="2322"/>
      <c r="L144" s="2322"/>
      <c r="M144" s="2322"/>
      <c r="N144" s="1677" t="s">
        <v>437</v>
      </c>
      <c r="O144" s="2138" t="s">
        <v>438</v>
      </c>
    </row>
    <row r="145" spans="2:15" ht="10.8" thickBot="1">
      <c r="B145" s="2324"/>
      <c r="C145" s="2212" t="s">
        <v>328</v>
      </c>
      <c r="D145" s="2213" t="s">
        <v>2</v>
      </c>
      <c r="E145" s="2213" t="s">
        <v>3</v>
      </c>
      <c r="F145" s="2213" t="s">
        <v>4</v>
      </c>
      <c r="G145" s="2213" t="s">
        <v>5</v>
      </c>
      <c r="H145" s="2213" t="s">
        <v>6</v>
      </c>
      <c r="I145" s="2213" t="s">
        <v>7</v>
      </c>
      <c r="J145" s="2213" t="s">
        <v>8</v>
      </c>
      <c r="K145" s="2213" t="s">
        <v>9</v>
      </c>
      <c r="L145" s="2213" t="s">
        <v>10</v>
      </c>
      <c r="M145" s="2213" t="s">
        <v>11</v>
      </c>
      <c r="N145" s="2214" t="s">
        <v>12</v>
      </c>
      <c r="O145" s="1650"/>
    </row>
    <row r="146" spans="2:15">
      <c r="B146" s="2130" t="s">
        <v>159</v>
      </c>
      <c r="C146" s="2221"/>
      <c r="D146" s="2222"/>
      <c r="E146" s="2222"/>
      <c r="F146" s="2222"/>
      <c r="G146" s="2222"/>
      <c r="H146" s="2223"/>
      <c r="I146" s="2222"/>
      <c r="J146" s="2222"/>
      <c r="K146" s="2222"/>
      <c r="L146" s="2222"/>
      <c r="M146" s="2222"/>
      <c r="N146" s="2224"/>
      <c r="O146" s="2139">
        <f>SUM(C146:N146)</f>
        <v>0</v>
      </c>
    </row>
    <row r="147" spans="2:15">
      <c r="B147" s="2130" t="s">
        <v>90</v>
      </c>
      <c r="C147" s="2187"/>
      <c r="D147" s="2187"/>
      <c r="E147" s="2187"/>
      <c r="F147" s="2187"/>
      <c r="G147" s="2187"/>
      <c r="H147" s="2187"/>
      <c r="I147" s="2187"/>
      <c r="J147" s="2187"/>
      <c r="K147" s="2187"/>
      <c r="L147" s="2187"/>
      <c r="M147" s="2187"/>
      <c r="N147" s="2187"/>
      <c r="O147" s="2139">
        <f t="shared" ref="O147:O159" si="15">SUM(C147:N147)</f>
        <v>0</v>
      </c>
    </row>
    <row r="148" spans="2:15">
      <c r="B148" s="2130" t="s">
        <v>91</v>
      </c>
      <c r="C148" s="2133"/>
      <c r="D148" s="2134"/>
      <c r="E148" s="2134"/>
      <c r="F148" s="2134"/>
      <c r="G148" s="2134"/>
      <c r="H148" s="2134"/>
      <c r="I148" s="2134"/>
      <c r="J148" s="2134"/>
      <c r="K148" s="2134"/>
      <c r="L148" s="2134"/>
      <c r="M148" s="2134"/>
      <c r="N148" s="2136"/>
      <c r="O148" s="2139">
        <f t="shared" si="15"/>
        <v>0</v>
      </c>
    </row>
    <row r="149" spans="2:15">
      <c r="B149" s="2130" t="s">
        <v>104</v>
      </c>
      <c r="C149" s="2133"/>
      <c r="D149" s="2134"/>
      <c r="E149" s="2134"/>
      <c r="F149" s="2134"/>
      <c r="G149" s="2134"/>
      <c r="H149" s="2134"/>
      <c r="I149" s="2134"/>
      <c r="J149" s="2134"/>
      <c r="K149" s="2134"/>
      <c r="L149" s="2134"/>
      <c r="M149" s="2134"/>
      <c r="N149" s="2225"/>
      <c r="O149" s="2139">
        <f t="shared" si="15"/>
        <v>0</v>
      </c>
    </row>
    <row r="150" spans="2:15">
      <c r="B150" s="2130" t="s">
        <v>101</v>
      </c>
      <c r="C150" s="2189"/>
      <c r="D150" s="2187"/>
      <c r="E150" s="2187"/>
      <c r="F150" s="2187"/>
      <c r="G150" s="2187"/>
      <c r="H150" s="2187"/>
      <c r="I150" s="2187"/>
      <c r="J150" s="2187"/>
      <c r="K150" s="2187"/>
      <c r="L150" s="2187"/>
      <c r="M150" s="2187"/>
      <c r="N150" s="2225"/>
      <c r="O150" s="2139">
        <f t="shared" si="15"/>
        <v>0</v>
      </c>
    </row>
    <row r="151" spans="2:15">
      <c r="B151" s="2130" t="s">
        <v>486</v>
      </c>
      <c r="C151" s="2133"/>
      <c r="D151" s="2134"/>
      <c r="E151" s="2134"/>
      <c r="F151" s="2134"/>
      <c r="G151" s="2134"/>
      <c r="H151" s="2134"/>
      <c r="I151" s="2134"/>
      <c r="J151" s="2134"/>
      <c r="K151" s="2134"/>
      <c r="L151" s="2134"/>
      <c r="M151" s="2134"/>
      <c r="N151" s="2136"/>
      <c r="O151" s="2139">
        <f t="shared" si="15"/>
        <v>0</v>
      </c>
    </row>
    <row r="152" spans="2:15">
      <c r="B152" s="2130" t="s">
        <v>96</v>
      </c>
      <c r="C152" s="2189"/>
      <c r="D152" s="2187"/>
      <c r="E152" s="2187"/>
      <c r="F152" s="2187"/>
      <c r="G152" s="2187"/>
      <c r="H152" s="2187"/>
      <c r="I152" s="2187"/>
      <c r="J152" s="2187"/>
      <c r="K152" s="2187"/>
      <c r="L152" s="2187"/>
      <c r="M152" s="2187"/>
      <c r="N152" s="2225"/>
      <c r="O152" s="2139">
        <f t="shared" si="15"/>
        <v>0</v>
      </c>
    </row>
    <row r="153" spans="2:15">
      <c r="B153" s="2130" t="s">
        <v>585</v>
      </c>
      <c r="C153" s="2133"/>
      <c r="D153" s="2134"/>
      <c r="E153" s="2134"/>
      <c r="F153" s="2134"/>
      <c r="G153" s="2134"/>
      <c r="H153" s="2134"/>
      <c r="I153" s="2134"/>
      <c r="J153" s="2134"/>
      <c r="K153" s="2134"/>
      <c r="L153" s="2134"/>
      <c r="M153" s="2134"/>
      <c r="N153" s="2136"/>
      <c r="O153" s="2139">
        <f t="shared" si="15"/>
        <v>0</v>
      </c>
    </row>
    <row r="154" spans="2:15">
      <c r="B154" s="2130" t="s">
        <v>561</v>
      </c>
      <c r="C154" s="2133"/>
      <c r="D154" s="2134"/>
      <c r="E154" s="2134"/>
      <c r="F154" s="2134"/>
      <c r="G154" s="2134"/>
      <c r="H154" s="2134"/>
      <c r="I154" s="2134"/>
      <c r="J154" s="2134"/>
      <c r="K154" s="2134"/>
      <c r="L154" s="2134"/>
      <c r="M154" s="2134"/>
      <c r="N154" s="2136"/>
      <c r="O154" s="2139">
        <f t="shared" si="15"/>
        <v>0</v>
      </c>
    </row>
    <row r="155" spans="2:15">
      <c r="B155" s="2131" t="s">
        <v>586</v>
      </c>
      <c r="C155" s="2133"/>
      <c r="D155" s="2134"/>
      <c r="E155" s="2134"/>
      <c r="F155" s="2134"/>
      <c r="G155" s="2134"/>
      <c r="H155" s="2134"/>
      <c r="I155" s="2134"/>
      <c r="J155" s="2134"/>
      <c r="K155" s="2134"/>
      <c r="L155" s="2134"/>
      <c r="M155" s="2134"/>
      <c r="N155" s="2136"/>
      <c r="O155" s="2139">
        <f t="shared" si="15"/>
        <v>0</v>
      </c>
    </row>
    <row r="156" spans="2:15">
      <c r="B156" s="2130" t="s">
        <v>100</v>
      </c>
      <c r="C156" s="2133"/>
      <c r="D156" s="2134"/>
      <c r="E156" s="2134"/>
      <c r="F156" s="2134"/>
      <c r="G156" s="2134"/>
      <c r="H156" s="2134"/>
      <c r="I156" s="2134"/>
      <c r="J156" s="2134"/>
      <c r="K156" s="2187"/>
      <c r="L156" s="2134"/>
      <c r="M156" s="2134"/>
      <c r="N156" s="2136"/>
      <c r="O156" s="2139">
        <f t="shared" si="15"/>
        <v>0</v>
      </c>
    </row>
    <row r="157" spans="2:15">
      <c r="B157" s="2130" t="s">
        <v>102</v>
      </c>
      <c r="C157" s="2189"/>
      <c r="D157" s="2187"/>
      <c r="E157" s="2187"/>
      <c r="F157" s="2187"/>
      <c r="G157" s="2187"/>
      <c r="H157" s="2187"/>
      <c r="I157" s="2187"/>
      <c r="J157" s="2187"/>
      <c r="K157" s="2187"/>
      <c r="L157" s="2187"/>
      <c r="M157" s="2187"/>
      <c r="N157" s="2225"/>
      <c r="O157" s="2139">
        <f t="shared" si="15"/>
        <v>0</v>
      </c>
    </row>
    <row r="158" spans="2:15">
      <c r="B158" s="2226" t="s">
        <v>559</v>
      </c>
      <c r="C158" s="2189"/>
      <c r="D158" s="2187"/>
      <c r="E158" s="2187"/>
      <c r="F158" s="2187"/>
      <c r="G158" s="2187"/>
      <c r="H158" s="2187"/>
      <c r="I158" s="2187"/>
      <c r="J158" s="2187"/>
      <c r="K158" s="2187"/>
      <c r="L158" s="2187"/>
      <c r="M158" s="2187"/>
      <c r="N158" s="2225"/>
      <c r="O158" s="2139">
        <f>SUM(C158:N158)</f>
        <v>0</v>
      </c>
    </row>
    <row r="159" spans="2:15" ht="10.8" thickBot="1">
      <c r="B159" s="2132" t="s">
        <v>488</v>
      </c>
      <c r="C159" s="2227"/>
      <c r="D159" s="2228"/>
      <c r="E159" s="2228"/>
      <c r="F159" s="2228"/>
      <c r="G159" s="2228"/>
      <c r="H159" s="2228"/>
      <c r="I159" s="2228"/>
      <c r="J159" s="2228"/>
      <c r="K159" s="2228"/>
      <c r="L159" s="2228"/>
      <c r="M159" s="2228"/>
      <c r="N159" s="2229"/>
      <c r="O159" s="2144">
        <f t="shared" si="15"/>
        <v>0</v>
      </c>
    </row>
    <row r="160" spans="2:15" ht="10.8" thickBot="1">
      <c r="C160" s="2140">
        <f t="shared" ref="C160:O160" si="16">SUM(C146:C159)</f>
        <v>0</v>
      </c>
      <c r="D160" s="2141">
        <f t="shared" si="16"/>
        <v>0</v>
      </c>
      <c r="E160" s="2141">
        <f t="shared" si="16"/>
        <v>0</v>
      </c>
      <c r="F160" s="2141">
        <f t="shared" si="16"/>
        <v>0</v>
      </c>
      <c r="G160" s="2141">
        <f t="shared" si="16"/>
        <v>0</v>
      </c>
      <c r="H160" s="2141">
        <f t="shared" si="16"/>
        <v>0</v>
      </c>
      <c r="I160" s="2141">
        <f t="shared" si="16"/>
        <v>0</v>
      </c>
      <c r="J160" s="2141">
        <f t="shared" si="16"/>
        <v>0</v>
      </c>
      <c r="K160" s="2141">
        <f t="shared" si="16"/>
        <v>0</v>
      </c>
      <c r="L160" s="2141">
        <f t="shared" si="16"/>
        <v>0</v>
      </c>
      <c r="M160" s="2141">
        <f t="shared" si="16"/>
        <v>0</v>
      </c>
      <c r="N160" s="2142">
        <f t="shared" si="16"/>
        <v>0</v>
      </c>
      <c r="O160" s="2230">
        <f t="shared" si="16"/>
        <v>0</v>
      </c>
    </row>
    <row r="164" spans="2:15" ht="10.8" thickBot="1"/>
    <row r="165" spans="2:15" ht="14.25" customHeight="1" thickBot="1">
      <c r="B165" s="2316" t="s">
        <v>494</v>
      </c>
      <c r="C165" s="2318" t="s">
        <v>489</v>
      </c>
      <c r="D165" s="2318"/>
      <c r="E165" s="2318"/>
      <c r="F165" s="2318"/>
      <c r="G165" s="2318"/>
      <c r="H165" s="2318"/>
      <c r="I165" s="2318"/>
      <c r="J165" s="2318"/>
      <c r="K165" s="2318"/>
      <c r="L165" s="2318"/>
      <c r="M165" s="2318"/>
      <c r="N165" s="2318"/>
      <c r="O165" s="2319"/>
    </row>
    <row r="166" spans="2:15" ht="10.8" thickBot="1">
      <c r="B166" s="2317"/>
      <c r="C166" s="2182" t="s">
        <v>328</v>
      </c>
      <c r="D166" s="2183" t="s">
        <v>2</v>
      </c>
      <c r="E166" s="2183" t="s">
        <v>3</v>
      </c>
      <c r="F166" s="2183" t="s">
        <v>4</v>
      </c>
      <c r="G166" s="2183" t="s">
        <v>5</v>
      </c>
      <c r="H166" s="2183" t="s">
        <v>6</v>
      </c>
      <c r="I166" s="2183" t="s">
        <v>7</v>
      </c>
      <c r="J166" s="2183" t="s">
        <v>8</v>
      </c>
      <c r="K166" s="2183" t="s">
        <v>9</v>
      </c>
      <c r="L166" s="2183" t="s">
        <v>10</v>
      </c>
      <c r="M166" s="2183" t="s">
        <v>11</v>
      </c>
      <c r="N166" s="2184" t="s">
        <v>12</v>
      </c>
      <c r="O166" s="2147" t="s">
        <v>475</v>
      </c>
    </row>
    <row r="167" spans="2:15">
      <c r="B167" s="2130" t="s">
        <v>159</v>
      </c>
      <c r="C167" s="2231"/>
      <c r="D167" s="2232"/>
      <c r="E167" s="2232"/>
      <c r="F167" s="2232"/>
      <c r="G167" s="2232"/>
      <c r="H167" s="2232"/>
      <c r="I167" s="2232"/>
      <c r="J167" s="2232"/>
      <c r="K167" s="2232"/>
      <c r="L167" s="2232"/>
      <c r="M167" s="2232"/>
      <c r="N167" s="2233"/>
      <c r="O167" s="2234">
        <f>SUM(C167:N167)</f>
        <v>0</v>
      </c>
    </row>
    <row r="168" spans="2:15">
      <c r="B168" s="2130" t="s">
        <v>90</v>
      </c>
      <c r="C168" s="2235"/>
      <c r="D168" s="2202"/>
      <c r="E168" s="2202"/>
      <c r="F168" s="2202"/>
      <c r="G168" s="2202"/>
      <c r="H168" s="2202"/>
      <c r="I168" s="2202"/>
      <c r="J168" s="2202"/>
      <c r="K168" s="2202"/>
      <c r="L168" s="2202"/>
      <c r="M168" s="2202"/>
      <c r="N168" s="2203"/>
      <c r="O168" s="2234">
        <f t="shared" ref="O168:O180" si="17">SUM(C168:N168)</f>
        <v>0</v>
      </c>
    </row>
    <row r="169" spans="2:15">
      <c r="B169" s="2130" t="s">
        <v>91</v>
      </c>
      <c r="C169" s="2201"/>
      <c r="D169" s="2202"/>
      <c r="E169" s="2202"/>
      <c r="F169" s="2202"/>
      <c r="G169" s="2202"/>
      <c r="H169" s="2202"/>
      <c r="I169" s="2202"/>
      <c r="J169" s="2202"/>
      <c r="K169" s="2202"/>
      <c r="L169" s="2202"/>
      <c r="M169" s="2202"/>
      <c r="N169" s="2203"/>
      <c r="O169" s="2234">
        <f t="shared" si="17"/>
        <v>0</v>
      </c>
    </row>
    <row r="170" spans="2:15">
      <c r="B170" s="2130" t="s">
        <v>104</v>
      </c>
      <c r="C170" s="2204"/>
      <c r="D170" s="1637"/>
      <c r="E170" s="1637"/>
      <c r="F170" s="1637"/>
      <c r="G170" s="1637"/>
      <c r="H170" s="1637"/>
      <c r="I170" s="1637"/>
      <c r="J170" s="1637"/>
      <c r="K170" s="1637"/>
      <c r="L170" s="1637"/>
      <c r="M170" s="1637"/>
      <c r="N170" s="2203"/>
      <c r="O170" s="2234">
        <f t="shared" si="17"/>
        <v>0</v>
      </c>
    </row>
    <row r="171" spans="2:15">
      <c r="B171" s="2130" t="s">
        <v>101</v>
      </c>
      <c r="C171" s="2201"/>
      <c r="D171" s="2202"/>
      <c r="E171" s="2202"/>
      <c r="F171" s="2202"/>
      <c r="G171" s="2202"/>
      <c r="H171" s="2202"/>
      <c r="I171" s="2202"/>
      <c r="J171" s="2202"/>
      <c r="K171" s="2202"/>
      <c r="L171" s="2202"/>
      <c r="M171" s="2202"/>
      <c r="N171" s="2203"/>
      <c r="O171" s="2234">
        <f t="shared" si="17"/>
        <v>0</v>
      </c>
    </row>
    <row r="172" spans="2:15">
      <c r="B172" s="2130" t="s">
        <v>486</v>
      </c>
      <c r="C172" s="2204"/>
      <c r="D172" s="1637"/>
      <c r="E172" s="1637"/>
      <c r="F172" s="1637"/>
      <c r="G172" s="1637"/>
      <c r="H172" s="1637"/>
      <c r="I172" s="1637"/>
      <c r="J172" s="1637"/>
      <c r="K172" s="1637"/>
      <c r="L172" s="1637"/>
      <c r="M172" s="1637"/>
      <c r="N172" s="2099"/>
      <c r="O172" s="2234">
        <f t="shared" si="17"/>
        <v>0</v>
      </c>
    </row>
    <row r="173" spans="2:15">
      <c r="B173" s="2130" t="s">
        <v>96</v>
      </c>
      <c r="C173" s="2201"/>
      <c r="D173" s="2202"/>
      <c r="E173" s="2202"/>
      <c r="F173" s="2202"/>
      <c r="G173" s="2202"/>
      <c r="H173" s="2202"/>
      <c r="I173" s="2202"/>
      <c r="J173" s="2202"/>
      <c r="K173" s="2202"/>
      <c r="L173" s="2202"/>
      <c r="M173" s="2202"/>
      <c r="N173" s="2203"/>
      <c r="O173" s="2234">
        <f t="shared" si="17"/>
        <v>0</v>
      </c>
    </row>
    <row r="174" spans="2:15">
      <c r="B174" s="2130" t="s">
        <v>585</v>
      </c>
      <c r="C174" s="2204"/>
      <c r="D174" s="1637"/>
      <c r="E174" s="1637"/>
      <c r="F174" s="1637"/>
      <c r="G174" s="1637"/>
      <c r="H174" s="1637"/>
      <c r="I174" s="1637"/>
      <c r="J174" s="1637"/>
      <c r="K174" s="1637"/>
      <c r="L174" s="1637"/>
      <c r="M174" s="1637"/>
      <c r="N174" s="2099"/>
      <c r="O174" s="2234">
        <f t="shared" si="17"/>
        <v>0</v>
      </c>
    </row>
    <row r="175" spans="2:15">
      <c r="B175" s="2130" t="s">
        <v>561</v>
      </c>
      <c r="C175" s="2204"/>
      <c r="D175" s="1637"/>
      <c r="E175" s="1637"/>
      <c r="F175" s="1637"/>
      <c r="G175" s="1637"/>
      <c r="H175" s="1637"/>
      <c r="I175" s="1637"/>
      <c r="J175" s="1637"/>
      <c r="K175" s="1637"/>
      <c r="L175" s="1637"/>
      <c r="M175" s="1637"/>
      <c r="N175" s="2099"/>
      <c r="O175" s="2234">
        <f t="shared" si="17"/>
        <v>0</v>
      </c>
    </row>
    <row r="176" spans="2:15">
      <c r="B176" s="2131" t="s">
        <v>586</v>
      </c>
      <c r="C176" s="2204"/>
      <c r="D176" s="1637"/>
      <c r="E176" s="1637"/>
      <c r="F176" s="1637"/>
      <c r="G176" s="1637"/>
      <c r="H176" s="1637"/>
      <c r="I176" s="1637"/>
      <c r="J176" s="1637"/>
      <c r="K176" s="1637"/>
      <c r="L176" s="1637"/>
      <c r="M176" s="1637"/>
      <c r="N176" s="2099"/>
      <c r="O176" s="2234">
        <f t="shared" si="17"/>
        <v>0</v>
      </c>
    </row>
    <row r="177" spans="2:18">
      <c r="B177" s="2130" t="s">
        <v>100</v>
      </c>
      <c r="C177" s="2201"/>
      <c r="D177" s="2202"/>
      <c r="E177" s="2202"/>
      <c r="F177" s="2202"/>
      <c r="G177" s="2202"/>
      <c r="H177" s="2202"/>
      <c r="I177" s="2202"/>
      <c r="J177" s="2202"/>
      <c r="K177" s="2202"/>
      <c r="L177" s="2202"/>
      <c r="M177" s="2202"/>
      <c r="N177" s="2203"/>
      <c r="O177" s="2234">
        <f t="shared" si="17"/>
        <v>0</v>
      </c>
    </row>
    <row r="178" spans="2:18">
      <c r="B178" s="2130" t="s">
        <v>102</v>
      </c>
      <c r="C178" s="2186"/>
      <c r="D178" s="2187"/>
      <c r="E178" s="2187"/>
      <c r="F178" s="2202"/>
      <c r="G178" s="2202"/>
      <c r="H178" s="2202"/>
      <c r="I178" s="2202"/>
      <c r="J178" s="2202"/>
      <c r="K178" s="2202"/>
      <c r="L178" s="2187"/>
      <c r="M178" s="2187"/>
      <c r="N178" s="2203"/>
      <c r="O178" s="2234">
        <f t="shared" si="17"/>
        <v>0</v>
      </c>
    </row>
    <row r="179" spans="2:18">
      <c r="B179" s="2130" t="s">
        <v>559</v>
      </c>
      <c r="C179" s="2201"/>
      <c r="D179" s="2202"/>
      <c r="E179" s="2202"/>
      <c r="F179" s="2202"/>
      <c r="G179" s="2202"/>
      <c r="H179" s="2202"/>
      <c r="I179" s="2202"/>
      <c r="J179" s="2202"/>
      <c r="K179" s="2202"/>
      <c r="L179" s="2202"/>
      <c r="M179" s="2202"/>
      <c r="N179" s="2203"/>
      <c r="O179" s="2234">
        <f t="shared" si="17"/>
        <v>0</v>
      </c>
    </row>
    <row r="180" spans="2:18" ht="10.8" thickBot="1">
      <c r="B180" s="2132" t="s">
        <v>488</v>
      </c>
      <c r="C180" s="2236"/>
      <c r="D180" s="2237"/>
      <c r="E180" s="2237"/>
      <c r="F180" s="2237"/>
      <c r="G180" s="2237"/>
      <c r="H180" s="2237"/>
      <c r="I180" s="2237"/>
      <c r="J180" s="2237"/>
      <c r="K180" s="2237"/>
      <c r="L180" s="2237"/>
      <c r="M180" s="2237"/>
      <c r="N180" s="2238"/>
      <c r="O180" s="2239">
        <f t="shared" si="17"/>
        <v>0</v>
      </c>
    </row>
    <row r="181" spans="2:18" ht="10.8" thickBot="1">
      <c r="C181" s="1642">
        <f t="shared" ref="C181:O181" si="18">SUM(C167:C180)</f>
        <v>0</v>
      </c>
      <c r="D181" s="1642">
        <f t="shared" si="18"/>
        <v>0</v>
      </c>
      <c r="E181" s="1642">
        <f t="shared" si="18"/>
        <v>0</v>
      </c>
      <c r="F181" s="1642">
        <f t="shared" si="18"/>
        <v>0</v>
      </c>
      <c r="G181" s="1642">
        <f t="shared" si="18"/>
        <v>0</v>
      </c>
      <c r="H181" s="1642">
        <f t="shared" si="18"/>
        <v>0</v>
      </c>
      <c r="I181" s="1642">
        <f t="shared" si="18"/>
        <v>0</v>
      </c>
      <c r="J181" s="1642">
        <f t="shared" si="18"/>
        <v>0</v>
      </c>
      <c r="K181" s="1642">
        <f t="shared" si="18"/>
        <v>0</v>
      </c>
      <c r="L181" s="1642">
        <f t="shared" si="18"/>
        <v>0</v>
      </c>
      <c r="M181" s="1642">
        <f t="shared" si="18"/>
        <v>0</v>
      </c>
      <c r="N181" s="2146">
        <f t="shared" si="18"/>
        <v>0</v>
      </c>
      <c r="O181" s="1652">
        <f t="shared" si="18"/>
        <v>0</v>
      </c>
    </row>
    <row r="183" spans="2:18" ht="10.8" thickBot="1"/>
    <row r="184" spans="2:18" ht="10.8" thickBot="1">
      <c r="C184" s="2320" t="s">
        <v>524</v>
      </c>
      <c r="D184" s="2321"/>
      <c r="E184" s="2321"/>
      <c r="F184" s="2321"/>
      <c r="G184" s="2321"/>
      <c r="H184" s="2321"/>
      <c r="I184" s="2321"/>
      <c r="J184" s="2321"/>
      <c r="K184" s="2321"/>
      <c r="L184" s="2321"/>
      <c r="M184" s="2321"/>
      <c r="N184" s="1949" t="s">
        <v>437</v>
      </c>
      <c r="O184" s="1649" t="s">
        <v>475</v>
      </c>
    </row>
    <row r="185" spans="2:18">
      <c r="C185" s="1950" t="s">
        <v>328</v>
      </c>
      <c r="D185" s="1951" t="s">
        <v>2</v>
      </c>
      <c r="E185" s="1951" t="s">
        <v>3</v>
      </c>
      <c r="F185" s="1951" t="s">
        <v>4</v>
      </c>
      <c r="G185" s="1951" t="s">
        <v>5</v>
      </c>
      <c r="H185" s="1951" t="s">
        <v>6</v>
      </c>
      <c r="I185" s="1951" t="s">
        <v>7</v>
      </c>
      <c r="J185" s="1951" t="s">
        <v>8</v>
      </c>
      <c r="K185" s="1951" t="s">
        <v>9</v>
      </c>
      <c r="L185" s="1951" t="s">
        <v>10</v>
      </c>
      <c r="M185" s="1951" t="s">
        <v>11</v>
      </c>
      <c r="N185" s="1951" t="s">
        <v>12</v>
      </c>
      <c r="O185" s="1953">
        <f>SUM(O186:O198)</f>
        <v>0</v>
      </c>
    </row>
    <row r="186" spans="2:18">
      <c r="C186" s="1954"/>
      <c r="D186" s="1952"/>
      <c r="E186" s="1952"/>
      <c r="F186" s="1952"/>
      <c r="G186" s="1952"/>
      <c r="H186" s="1952"/>
      <c r="I186" s="1952"/>
      <c r="J186" s="1952"/>
      <c r="K186" s="1952"/>
      <c r="L186" s="1952"/>
      <c r="M186" s="1952"/>
      <c r="N186" s="1952"/>
      <c r="O186" s="1955"/>
    </row>
    <row r="187" spans="2:18">
      <c r="C187" s="1954">
        <f>SUM($C$181*20/100)/12</f>
        <v>0</v>
      </c>
      <c r="D187" s="1952">
        <f>SUM($C$181*20/100)/12</f>
        <v>0</v>
      </c>
      <c r="E187" s="1952">
        <f t="shared" ref="E187:N187" si="19">SUM($C$181*20/100)/12</f>
        <v>0</v>
      </c>
      <c r="F187" s="1952">
        <f t="shared" si="19"/>
        <v>0</v>
      </c>
      <c r="G187" s="1952">
        <f t="shared" si="19"/>
        <v>0</v>
      </c>
      <c r="H187" s="1952">
        <f t="shared" si="19"/>
        <v>0</v>
      </c>
      <c r="I187" s="1952">
        <f t="shared" si="19"/>
        <v>0</v>
      </c>
      <c r="J187" s="1952">
        <f t="shared" si="19"/>
        <v>0</v>
      </c>
      <c r="K187" s="1952">
        <f t="shared" si="19"/>
        <v>0</v>
      </c>
      <c r="L187" s="1952">
        <f t="shared" si="19"/>
        <v>0</v>
      </c>
      <c r="M187" s="1952">
        <f t="shared" si="19"/>
        <v>0</v>
      </c>
      <c r="N187" s="1952">
        <f t="shared" si="19"/>
        <v>0</v>
      </c>
      <c r="O187" s="1955">
        <f>SUM(C187:N187)</f>
        <v>0</v>
      </c>
      <c r="P187" s="1673"/>
      <c r="Q187" s="1672">
        <v>37800</v>
      </c>
      <c r="R187" s="1672">
        <f t="shared" ref="R187:R198" si="20">+P187-Q187</f>
        <v>-37800</v>
      </c>
    </row>
    <row r="188" spans="2:18">
      <c r="C188" s="1954"/>
      <c r="D188" s="1952">
        <f>SUM($D$181*20/100)/12*2</f>
        <v>0</v>
      </c>
      <c r="E188" s="1952">
        <f>SUM($D$181*20/100)/12</f>
        <v>0</v>
      </c>
      <c r="F188" s="1952">
        <f>SUM($D$181*20/100)/12</f>
        <v>0</v>
      </c>
      <c r="G188" s="1952">
        <f t="shared" ref="G188:N188" si="21">SUM($D$181*20/100)/12</f>
        <v>0</v>
      </c>
      <c r="H188" s="1952">
        <f t="shared" si="21"/>
        <v>0</v>
      </c>
      <c r="I188" s="1952">
        <f t="shared" si="21"/>
        <v>0</v>
      </c>
      <c r="J188" s="1952">
        <f t="shared" si="21"/>
        <v>0</v>
      </c>
      <c r="K188" s="1952">
        <f t="shared" si="21"/>
        <v>0</v>
      </c>
      <c r="L188" s="1952">
        <f t="shared" si="21"/>
        <v>0</v>
      </c>
      <c r="M188" s="1952">
        <f t="shared" si="21"/>
        <v>0</v>
      </c>
      <c r="N188" s="1952">
        <f t="shared" si="21"/>
        <v>0</v>
      </c>
      <c r="O188" s="1955">
        <f t="shared" ref="O188:O198" si="22">SUM(C188:N188)</f>
        <v>0</v>
      </c>
      <c r="P188" s="1673"/>
      <c r="Q188" s="1672">
        <v>65760</v>
      </c>
      <c r="R188" s="1672">
        <f t="shared" si="20"/>
        <v>-65760</v>
      </c>
    </row>
    <row r="189" spans="2:18">
      <c r="C189" s="1954"/>
      <c r="D189" s="1952"/>
      <c r="E189" s="1952">
        <f>SUM($E$181*20/100)/12*3</f>
        <v>0</v>
      </c>
      <c r="F189" s="1952">
        <f>SUM($E$181*20/100)/12</f>
        <v>0</v>
      </c>
      <c r="G189" s="1952">
        <f t="shared" ref="G189:N189" si="23">SUM($E$181*20/100)/12</f>
        <v>0</v>
      </c>
      <c r="H189" s="1952">
        <f t="shared" si="23"/>
        <v>0</v>
      </c>
      <c r="I189" s="1952">
        <f t="shared" si="23"/>
        <v>0</v>
      </c>
      <c r="J189" s="1952">
        <f t="shared" si="23"/>
        <v>0</v>
      </c>
      <c r="K189" s="1952">
        <f t="shared" si="23"/>
        <v>0</v>
      </c>
      <c r="L189" s="1952">
        <f t="shared" si="23"/>
        <v>0</v>
      </c>
      <c r="M189" s="1952">
        <f t="shared" si="23"/>
        <v>0</v>
      </c>
      <c r="N189" s="1952">
        <f t="shared" si="23"/>
        <v>0</v>
      </c>
      <c r="O189" s="1955">
        <f t="shared" si="22"/>
        <v>0</v>
      </c>
      <c r="P189" s="1673"/>
      <c r="Q189" s="1672">
        <v>62040</v>
      </c>
      <c r="R189" s="1672">
        <f t="shared" si="20"/>
        <v>-62040</v>
      </c>
    </row>
    <row r="190" spans="2:18">
      <c r="C190" s="1954"/>
      <c r="D190" s="1952"/>
      <c r="E190" s="1952"/>
      <c r="F190" s="1952">
        <f>SUM($F$181*20/100)/12*4</f>
        <v>0</v>
      </c>
      <c r="G190" s="1952">
        <f>SUM($F$181*20/100)/12</f>
        <v>0</v>
      </c>
      <c r="H190" s="1952">
        <f t="shared" ref="H190:N190" si="24">SUM($F$181*20/100)/12</f>
        <v>0</v>
      </c>
      <c r="I190" s="1952">
        <f t="shared" si="24"/>
        <v>0</v>
      </c>
      <c r="J190" s="1952">
        <f t="shared" si="24"/>
        <v>0</v>
      </c>
      <c r="K190" s="1952">
        <f t="shared" si="24"/>
        <v>0</v>
      </c>
      <c r="L190" s="1952">
        <f t="shared" si="24"/>
        <v>0</v>
      </c>
      <c r="M190" s="1952">
        <f t="shared" si="24"/>
        <v>0</v>
      </c>
      <c r="N190" s="1952">
        <f t="shared" si="24"/>
        <v>0</v>
      </c>
      <c r="O190" s="1955">
        <f t="shared" si="22"/>
        <v>0</v>
      </c>
      <c r="P190" s="1673"/>
      <c r="Q190" s="1672">
        <v>37200</v>
      </c>
      <c r="R190" s="1672">
        <f t="shared" si="20"/>
        <v>-37200</v>
      </c>
    </row>
    <row r="191" spans="2:18">
      <c r="C191" s="1954"/>
      <c r="D191" s="1952"/>
      <c r="E191" s="1952"/>
      <c r="F191" s="1952"/>
      <c r="G191" s="1952">
        <f>SUM($G$181*20/100)/12*5</f>
        <v>0</v>
      </c>
      <c r="H191" s="1952">
        <f>SUM($G$181*20/100)/12</f>
        <v>0</v>
      </c>
      <c r="I191" s="1952">
        <f t="shared" ref="I191:N191" si="25">SUM($G$181*20/100)/12</f>
        <v>0</v>
      </c>
      <c r="J191" s="1952">
        <f t="shared" si="25"/>
        <v>0</v>
      </c>
      <c r="K191" s="1952">
        <f t="shared" si="25"/>
        <v>0</v>
      </c>
      <c r="L191" s="1952">
        <f t="shared" si="25"/>
        <v>0</v>
      </c>
      <c r="M191" s="1952">
        <f t="shared" si="25"/>
        <v>0</v>
      </c>
      <c r="N191" s="1952">
        <f t="shared" si="25"/>
        <v>0</v>
      </c>
      <c r="O191" s="1955">
        <f t="shared" si="22"/>
        <v>0</v>
      </c>
      <c r="P191" s="1673"/>
      <c r="Q191" s="1672">
        <v>91560</v>
      </c>
      <c r="R191" s="1672">
        <f t="shared" si="20"/>
        <v>-91560</v>
      </c>
    </row>
    <row r="192" spans="2:18">
      <c r="C192" s="1954"/>
      <c r="D192" s="1952"/>
      <c r="E192" s="1952"/>
      <c r="F192" s="1952"/>
      <c r="G192" s="1952"/>
      <c r="H192" s="1952">
        <f>SUM($H$181*20/100)/12*6</f>
        <v>0</v>
      </c>
      <c r="I192" s="1952">
        <f>SUM($H$181*20/100)/12</f>
        <v>0</v>
      </c>
      <c r="J192" s="1952">
        <f t="shared" ref="J192:N192" si="26">SUM($H$181*20/100)/12</f>
        <v>0</v>
      </c>
      <c r="K192" s="1952">
        <f t="shared" si="26"/>
        <v>0</v>
      </c>
      <c r="L192" s="1952">
        <f t="shared" si="26"/>
        <v>0</v>
      </c>
      <c r="M192" s="1952">
        <f t="shared" si="26"/>
        <v>0</v>
      </c>
      <c r="N192" s="1952">
        <f t="shared" si="26"/>
        <v>0</v>
      </c>
      <c r="O192" s="1955">
        <f t="shared" si="22"/>
        <v>0</v>
      </c>
      <c r="P192" s="1673"/>
      <c r="Q192" s="1672">
        <v>35040</v>
      </c>
      <c r="R192" s="1672">
        <f t="shared" si="20"/>
        <v>-35040</v>
      </c>
    </row>
    <row r="193" spans="2:18">
      <c r="C193" s="1954"/>
      <c r="D193" s="1952"/>
      <c r="E193" s="1952"/>
      <c r="F193" s="1952"/>
      <c r="G193" s="1952"/>
      <c r="H193" s="1952"/>
      <c r="I193" s="1952">
        <f>SUM($I$181*20/100)/12*7</f>
        <v>0</v>
      </c>
      <c r="J193" s="1952">
        <f>SUM($I$181*20/100)/12</f>
        <v>0</v>
      </c>
      <c r="K193" s="1952">
        <f t="shared" ref="K193:N193" si="27">SUM($I$181*20/100)/12</f>
        <v>0</v>
      </c>
      <c r="L193" s="1952">
        <f t="shared" si="27"/>
        <v>0</v>
      </c>
      <c r="M193" s="1952">
        <f t="shared" si="27"/>
        <v>0</v>
      </c>
      <c r="N193" s="1952">
        <f t="shared" si="27"/>
        <v>0</v>
      </c>
      <c r="O193" s="1955">
        <f t="shared" si="22"/>
        <v>0</v>
      </c>
      <c r="P193" s="1673"/>
      <c r="Q193" s="1672">
        <v>58200</v>
      </c>
      <c r="R193" s="1672">
        <f t="shared" si="20"/>
        <v>-58200</v>
      </c>
    </row>
    <row r="194" spans="2:18">
      <c r="C194" s="1954"/>
      <c r="D194" s="1952"/>
      <c r="E194" s="1952"/>
      <c r="F194" s="1952"/>
      <c r="G194" s="1952"/>
      <c r="H194" s="1952"/>
      <c r="I194" s="1952"/>
      <c r="J194" s="1952">
        <f>SUM($J$181*20/100)/12*8</f>
        <v>0</v>
      </c>
      <c r="K194" s="1952">
        <f>SUM($J$181*20/100)/12</f>
        <v>0</v>
      </c>
      <c r="L194" s="1952">
        <f t="shared" ref="L194:N194" si="28">SUM($J$181*20/100)/12</f>
        <v>0</v>
      </c>
      <c r="M194" s="1952">
        <f t="shared" si="28"/>
        <v>0</v>
      </c>
      <c r="N194" s="1952">
        <f t="shared" si="28"/>
        <v>0</v>
      </c>
      <c r="O194" s="1955">
        <f t="shared" si="22"/>
        <v>0</v>
      </c>
      <c r="P194" s="1673"/>
      <c r="Q194" s="1672">
        <v>51840</v>
      </c>
      <c r="R194" s="1672">
        <f t="shared" si="20"/>
        <v>-51840</v>
      </c>
    </row>
    <row r="195" spans="2:18">
      <c r="C195" s="1954"/>
      <c r="D195" s="1952"/>
      <c r="E195" s="1952"/>
      <c r="F195" s="1952"/>
      <c r="G195" s="1952"/>
      <c r="H195" s="1952"/>
      <c r="I195" s="1952"/>
      <c r="J195" s="1952"/>
      <c r="K195" s="1952">
        <f>SUM($K$181*20/100)/12*9</f>
        <v>0</v>
      </c>
      <c r="L195" s="1952">
        <f>SUM($K$181*20/100)/12</f>
        <v>0</v>
      </c>
      <c r="M195" s="1952">
        <f t="shared" ref="M195:N195" si="29">SUM($K$181*20/100)/12</f>
        <v>0</v>
      </c>
      <c r="N195" s="1952">
        <f t="shared" si="29"/>
        <v>0</v>
      </c>
      <c r="O195" s="1955">
        <f t="shared" si="22"/>
        <v>0</v>
      </c>
      <c r="P195" s="1673"/>
      <c r="Q195" s="1672">
        <v>123600</v>
      </c>
      <c r="R195" s="1672">
        <f t="shared" si="20"/>
        <v>-123600</v>
      </c>
    </row>
    <row r="196" spans="2:18">
      <c r="C196" s="1954"/>
      <c r="D196" s="1952"/>
      <c r="E196" s="1952"/>
      <c r="F196" s="1952"/>
      <c r="G196" s="1952"/>
      <c r="H196" s="1952"/>
      <c r="I196" s="1952"/>
      <c r="J196" s="1952"/>
      <c r="K196" s="1952"/>
      <c r="L196" s="1952">
        <f>SUM($L$181*20/100)/12*10</f>
        <v>0</v>
      </c>
      <c r="M196" s="1952">
        <f>SUM($L$181*20/100)/12</f>
        <v>0</v>
      </c>
      <c r="N196" s="1952">
        <f>SUM($L$181*20/100)/12</f>
        <v>0</v>
      </c>
      <c r="O196" s="1955">
        <f t="shared" si="22"/>
        <v>0</v>
      </c>
      <c r="P196" s="1673"/>
      <c r="Q196" s="1672">
        <v>49560</v>
      </c>
      <c r="R196" s="1672">
        <f t="shared" si="20"/>
        <v>-49560</v>
      </c>
    </row>
    <row r="197" spans="2:18">
      <c r="C197" s="1954"/>
      <c r="D197" s="1952"/>
      <c r="E197" s="1952"/>
      <c r="F197" s="1952"/>
      <c r="G197" s="1952"/>
      <c r="H197" s="1952"/>
      <c r="I197" s="1952"/>
      <c r="J197" s="1952"/>
      <c r="K197" s="1952"/>
      <c r="L197" s="1952"/>
      <c r="M197" s="1952">
        <f>SUM($M$181*20/100)/12*11</f>
        <v>0</v>
      </c>
      <c r="N197" s="1952">
        <f>SUM($M$181*20/100)/12</f>
        <v>0</v>
      </c>
      <c r="O197" s="1955">
        <f>SUM(C197:N197)</f>
        <v>0</v>
      </c>
      <c r="P197" s="1673"/>
      <c r="Q197" s="1672">
        <v>48480</v>
      </c>
      <c r="R197" s="1672">
        <f t="shared" si="20"/>
        <v>-48480</v>
      </c>
    </row>
    <row r="198" spans="2:18" ht="10.8" thickBot="1">
      <c r="C198" s="1958"/>
      <c r="D198" s="1959"/>
      <c r="E198" s="1959"/>
      <c r="F198" s="1959"/>
      <c r="G198" s="1959"/>
      <c r="H198" s="1959"/>
      <c r="I198" s="1959"/>
      <c r="J198" s="1959"/>
      <c r="K198" s="1959"/>
      <c r="L198" s="1959"/>
      <c r="M198" s="1959"/>
      <c r="N198" s="1959">
        <f>SUM($N$181*20/100)/12*12</f>
        <v>0</v>
      </c>
      <c r="O198" s="1960">
        <f t="shared" si="22"/>
        <v>0</v>
      </c>
      <c r="P198" s="1673"/>
      <c r="Q198" s="1653">
        <v>28920</v>
      </c>
      <c r="R198" s="1672">
        <f t="shared" si="20"/>
        <v>-28920</v>
      </c>
    </row>
    <row r="199" spans="2:18" ht="10.8" thickBot="1">
      <c r="B199" s="1653" t="s">
        <v>525</v>
      </c>
      <c r="C199" s="1652">
        <f>SUM(C185:C198)</f>
        <v>0</v>
      </c>
      <c r="D199" s="1961">
        <f t="shared" ref="D199:N199" si="30">SUM(D185:D198)</f>
        <v>0</v>
      </c>
      <c r="E199" s="1652">
        <f t="shared" si="30"/>
        <v>0</v>
      </c>
      <c r="F199" s="1652">
        <f t="shared" si="30"/>
        <v>0</v>
      </c>
      <c r="G199" s="1652">
        <f t="shared" si="30"/>
        <v>0</v>
      </c>
      <c r="H199" s="1652">
        <f t="shared" si="30"/>
        <v>0</v>
      </c>
      <c r="I199" s="1652">
        <f t="shared" si="30"/>
        <v>0</v>
      </c>
      <c r="J199" s="1652">
        <f t="shared" si="30"/>
        <v>0</v>
      </c>
      <c r="K199" s="1652">
        <f t="shared" si="30"/>
        <v>0</v>
      </c>
      <c r="L199" s="1652">
        <f t="shared" si="30"/>
        <v>0</v>
      </c>
      <c r="M199" s="1652">
        <f t="shared" si="30"/>
        <v>0</v>
      </c>
      <c r="N199" s="1652">
        <f t="shared" si="30"/>
        <v>0</v>
      </c>
      <c r="O199" s="1962">
        <f>SUM(O185:O198)</f>
        <v>0</v>
      </c>
      <c r="P199" s="1964"/>
    </row>
    <row r="200" spans="2:18" ht="10.8" thickBot="1">
      <c r="C200" s="1963"/>
      <c r="D200" s="1963"/>
      <c r="E200" s="1963"/>
      <c r="F200" s="1963"/>
      <c r="G200" s="1963"/>
      <c r="H200" s="1963"/>
      <c r="I200" s="1963"/>
      <c r="J200" s="1963"/>
      <c r="K200" s="1963"/>
      <c r="L200" s="1963"/>
      <c r="M200" s="1963"/>
      <c r="N200" s="1963"/>
      <c r="O200" s="1964"/>
      <c r="P200" s="1964"/>
    </row>
    <row r="201" spans="2:18">
      <c r="B201" s="1653" t="s">
        <v>636</v>
      </c>
      <c r="C201" s="1965"/>
      <c r="D201" s="1965"/>
      <c r="E201" s="1965"/>
      <c r="F201" s="1965"/>
      <c r="G201" s="1965"/>
      <c r="H201" s="1965"/>
      <c r="I201" s="1965"/>
      <c r="J201" s="1965"/>
      <c r="K201" s="1965"/>
      <c r="L201" s="1965"/>
      <c r="M201" s="1965"/>
      <c r="N201" s="1965"/>
      <c r="O201" s="1967">
        <f>SUM(C201:N201)</f>
        <v>0</v>
      </c>
    </row>
    <row r="202" spans="2:18" ht="10.8" thickBot="1">
      <c r="B202" s="1653" t="s">
        <v>526</v>
      </c>
      <c r="C202" s="1956">
        <f>+C199+C201</f>
        <v>0</v>
      </c>
      <c r="D202" s="1957">
        <f t="shared" ref="D202:N202" si="31">+D199+D201</f>
        <v>0</v>
      </c>
      <c r="E202" s="1957">
        <f t="shared" si="31"/>
        <v>0</v>
      </c>
      <c r="F202" s="1957">
        <f t="shared" si="31"/>
        <v>0</v>
      </c>
      <c r="G202" s="1957">
        <f t="shared" si="31"/>
        <v>0</v>
      </c>
      <c r="H202" s="1957">
        <f t="shared" si="31"/>
        <v>0</v>
      </c>
      <c r="I202" s="1957">
        <f t="shared" si="31"/>
        <v>0</v>
      </c>
      <c r="J202" s="1957">
        <f t="shared" si="31"/>
        <v>0</v>
      </c>
      <c r="K202" s="1957">
        <f t="shared" si="31"/>
        <v>0</v>
      </c>
      <c r="L202" s="1957">
        <f t="shared" si="31"/>
        <v>0</v>
      </c>
      <c r="M202" s="1957">
        <f t="shared" si="31"/>
        <v>0</v>
      </c>
      <c r="N202" s="1966">
        <f t="shared" si="31"/>
        <v>0</v>
      </c>
      <c r="O202" s="1968">
        <f>+O199+O201</f>
        <v>0</v>
      </c>
    </row>
    <row r="204" spans="2:18">
      <c r="C204" s="1633">
        <f>+C202/1000</f>
        <v>0</v>
      </c>
      <c r="D204" s="1633">
        <f t="shared" ref="D204:O204" si="32">+D202/1000</f>
        <v>0</v>
      </c>
      <c r="E204" s="1633">
        <f t="shared" si="32"/>
        <v>0</v>
      </c>
      <c r="F204" s="1633">
        <f t="shared" si="32"/>
        <v>0</v>
      </c>
      <c r="G204" s="1633">
        <f t="shared" si="32"/>
        <v>0</v>
      </c>
      <c r="H204" s="1633">
        <f t="shared" si="32"/>
        <v>0</v>
      </c>
      <c r="I204" s="1633">
        <f t="shared" si="32"/>
        <v>0</v>
      </c>
      <c r="J204" s="1633">
        <f t="shared" si="32"/>
        <v>0</v>
      </c>
      <c r="K204" s="1633">
        <f t="shared" si="32"/>
        <v>0</v>
      </c>
      <c r="L204" s="1633">
        <f t="shared" si="32"/>
        <v>0</v>
      </c>
      <c r="M204" s="1633">
        <f t="shared" si="32"/>
        <v>0</v>
      </c>
      <c r="N204" s="1633">
        <f t="shared" si="32"/>
        <v>0</v>
      </c>
      <c r="O204" s="1633">
        <f t="shared" si="32"/>
        <v>0</v>
      </c>
    </row>
  </sheetData>
  <mergeCells count="21">
    <mergeCell ref="C184:M184"/>
    <mergeCell ref="B84:B85"/>
    <mergeCell ref="C84:M84"/>
    <mergeCell ref="B105:B106"/>
    <mergeCell ref="C105:M105"/>
    <mergeCell ref="B124:B125"/>
    <mergeCell ref="C124:M124"/>
    <mergeCell ref="B144:B145"/>
    <mergeCell ref="C144:M144"/>
    <mergeCell ref="B165:B166"/>
    <mergeCell ref="C165:O165"/>
    <mergeCell ref="A43:N43"/>
    <mergeCell ref="B44:B45"/>
    <mergeCell ref="C44:N44"/>
    <mergeCell ref="B64:B65"/>
    <mergeCell ref="C64:M64"/>
    <mergeCell ref="B3:O3"/>
    <mergeCell ref="B7:B8"/>
    <mergeCell ref="B25:B26"/>
    <mergeCell ref="C7:O7"/>
    <mergeCell ref="C25:O25"/>
  </mergeCells>
  <pageMargins left="0.7" right="0.7" top="0.75" bottom="0.75" header="0.3" footer="0.3"/>
  <pageSetup paperSize="9" scale="53" orientation="portrait" horizontalDpi="4294967295" verticalDpi="4294967295" r:id="rId1"/>
  <rowBreaks count="1" manualBreakCount="1">
    <brk id="122" max="16383" man="1"/>
  </rowBreaks>
  <colBreaks count="1" manualBreakCount="1">
    <brk id="16" max="203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  <pageSetUpPr fitToPage="1"/>
  </sheetPr>
  <dimension ref="A1:Z355"/>
  <sheetViews>
    <sheetView showGridLines="0" topLeftCell="A104" zoomScale="85" zoomScaleNormal="85" zoomScaleSheetLayoutView="40" workbookViewId="0">
      <selection activeCell="H130" sqref="H130"/>
    </sheetView>
  </sheetViews>
  <sheetFormatPr defaultColWidth="9.109375" defaultRowHeight="13.8"/>
  <cols>
    <col min="1" max="1" width="37.33203125" style="2" customWidth="1"/>
    <col min="2" max="2" width="16.5546875" style="2" customWidth="1"/>
    <col min="3" max="3" width="13.5546875" style="2" customWidth="1"/>
    <col min="4" max="4" width="10.5546875" style="2" customWidth="1"/>
    <col min="5" max="5" width="11" style="2" customWidth="1"/>
    <col min="6" max="6" width="10" style="2" customWidth="1"/>
    <col min="7" max="7" width="10.88671875" style="2" customWidth="1"/>
    <col min="8" max="8" width="10.44140625" style="2" customWidth="1"/>
    <col min="9" max="9" width="10.33203125" style="2" customWidth="1"/>
    <col min="10" max="10" width="9.88671875" style="2" customWidth="1"/>
    <col min="11" max="11" width="10.109375" style="2" customWidth="1"/>
    <col min="12" max="12" width="9.88671875" style="2" customWidth="1"/>
    <col min="13" max="13" width="10" style="2" customWidth="1"/>
    <col min="14" max="14" width="10.109375" style="3" customWidth="1"/>
    <col min="15" max="15" width="10.44140625" style="4" customWidth="1"/>
    <col min="16" max="16" width="11.5546875" style="2" customWidth="1"/>
    <col min="17" max="17" width="11.44140625" style="2" customWidth="1"/>
    <col min="18" max="18" width="15.109375" style="2" hidden="1" customWidth="1"/>
    <col min="19" max="19" width="7.33203125" style="2" hidden="1" customWidth="1"/>
    <col min="20" max="20" width="9.88671875" style="2" hidden="1" customWidth="1"/>
    <col min="21" max="24" width="0" style="2" hidden="1" customWidth="1"/>
    <col min="25" max="16384" width="9.109375" style="2"/>
  </cols>
  <sheetData>
    <row r="1" spans="1:25" ht="14.4" thickBot="1">
      <c r="L1" s="3"/>
      <c r="M1" s="4"/>
      <c r="N1" s="2"/>
      <c r="O1" s="2"/>
    </row>
    <row r="2" spans="1:25" ht="33" customHeight="1">
      <c r="A2" s="5"/>
      <c r="B2" s="2341" t="s">
        <v>648</v>
      </c>
      <c r="C2" s="2341" t="s">
        <v>647</v>
      </c>
      <c r="D2" s="2313" t="s">
        <v>637</v>
      </c>
      <c r="E2" s="2314"/>
      <c r="F2" s="2314"/>
      <c r="G2" s="2314"/>
      <c r="H2" s="2314"/>
      <c r="I2" s="2314"/>
      <c r="J2" s="2314"/>
      <c r="K2" s="2314"/>
      <c r="L2" s="2314"/>
      <c r="M2" s="2314"/>
      <c r="N2" s="2314"/>
      <c r="O2" s="2314"/>
      <c r="P2" s="2315"/>
      <c r="Q2" s="937" t="s">
        <v>638</v>
      </c>
    </row>
    <row r="3" spans="1:25" ht="30.75" customHeight="1" thickBot="1">
      <c r="A3" s="7"/>
      <c r="B3" s="2342"/>
      <c r="C3" s="2342"/>
      <c r="D3" s="74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1" t="s">
        <v>13</v>
      </c>
      <c r="Q3" s="941" t="s">
        <v>618</v>
      </c>
    </row>
    <row r="4" spans="1:25" ht="22.5" customHeight="1" thickBot="1">
      <c r="A4" s="13" t="s">
        <v>24</v>
      </c>
      <c r="B4" s="15">
        <f>B7+B8+B13</f>
        <v>0</v>
      </c>
      <c r="C4" s="15">
        <f>C7+C8+C13</f>
        <v>0</v>
      </c>
      <c r="D4" s="16">
        <f>D7+D8+D13</f>
        <v>0</v>
      </c>
      <c r="E4" s="17">
        <f>E7+E8+E13</f>
        <v>0</v>
      </c>
      <c r="F4" s="17">
        <f t="shared" ref="F4:O4" si="0">F7+F8+F13</f>
        <v>0</v>
      </c>
      <c r="G4" s="17">
        <f t="shared" si="0"/>
        <v>0</v>
      </c>
      <c r="H4" s="17">
        <f>H7+H8+H13</f>
        <v>0</v>
      </c>
      <c r="I4" s="17">
        <f t="shared" si="0"/>
        <v>0</v>
      </c>
      <c r="J4" s="17">
        <f t="shared" si="0"/>
        <v>0</v>
      </c>
      <c r="K4" s="17">
        <f t="shared" si="0"/>
        <v>0</v>
      </c>
      <c r="L4" s="17">
        <f t="shared" si="0"/>
        <v>0</v>
      </c>
      <c r="M4" s="17">
        <f t="shared" si="0"/>
        <v>0</v>
      </c>
      <c r="N4" s="17">
        <f t="shared" si="0"/>
        <v>0</v>
      </c>
      <c r="O4" s="120">
        <f t="shared" si="0"/>
        <v>0</v>
      </c>
      <c r="P4" s="94">
        <f t="shared" ref="P4:P21" si="1">SUM(D4:O4)</f>
        <v>0</v>
      </c>
      <c r="Q4" s="1121" t="str">
        <f t="shared" ref="Q4:Q19" si="2">IF(P4=0,"-",P4/C4-1)</f>
        <v>-</v>
      </c>
      <c r="R4" s="3">
        <v>492000</v>
      </c>
      <c r="Y4" s="3"/>
    </row>
    <row r="5" spans="1:25" ht="16.5" customHeight="1">
      <c r="A5" s="19" t="s">
        <v>15</v>
      </c>
      <c r="B5" s="741">
        <f>+' Satış Konsolide'!B5</f>
        <v>0</v>
      </c>
      <c r="C5" s="741">
        <f>+' Satış Konsolide'!C5</f>
        <v>0</v>
      </c>
      <c r="D5" s="22">
        <f>+' Satış Konsolide'!D5</f>
        <v>0</v>
      </c>
      <c r="E5" s="23">
        <f>+' Satış Konsolide'!E5</f>
        <v>0</v>
      </c>
      <c r="F5" s="23">
        <f>+' Satış Konsolide'!F5</f>
        <v>0</v>
      </c>
      <c r="G5" s="23">
        <f>+' Satış Konsolide'!G5</f>
        <v>0</v>
      </c>
      <c r="H5" s="24">
        <f>+' Satış Konsolide'!H5</f>
        <v>0</v>
      </c>
      <c r="I5" s="24">
        <f>+' Satış Konsolide'!I5</f>
        <v>0</v>
      </c>
      <c r="J5" s="24">
        <f>+' Satış Konsolide'!J5</f>
        <v>0</v>
      </c>
      <c r="K5" s="24">
        <f>+' Satış Konsolide'!K5</f>
        <v>0</v>
      </c>
      <c r="L5" s="24">
        <f>+' Satış Konsolide'!L5</f>
        <v>0</v>
      </c>
      <c r="M5" s="24">
        <f>+' Satış Konsolide'!M5</f>
        <v>0</v>
      </c>
      <c r="N5" s="24">
        <f>+' Satış Konsolide'!N5</f>
        <v>0</v>
      </c>
      <c r="O5" s="1112">
        <f>+' Satış Konsolide'!O5</f>
        <v>0</v>
      </c>
      <c r="P5" s="1131">
        <f t="shared" si="1"/>
        <v>0</v>
      </c>
      <c r="Q5" s="1122" t="str">
        <f t="shared" si="2"/>
        <v>-</v>
      </c>
    </row>
    <row r="6" spans="1:25" ht="16.5" hidden="1" customHeight="1">
      <c r="A6" s="28" t="s">
        <v>16</v>
      </c>
      <c r="B6" s="742">
        <f>+' Satış Konsolide'!B6</f>
        <v>0</v>
      </c>
      <c r="C6" s="742">
        <f>+' Satış Konsolide'!C6</f>
        <v>0</v>
      </c>
      <c r="D6" s="31">
        <f>+' Satış Konsolide'!D6</f>
        <v>0</v>
      </c>
      <c r="E6" s="32">
        <f>+' Satış Konsolide'!E6</f>
        <v>0</v>
      </c>
      <c r="F6" s="32">
        <f>+' Satış Konsolide'!F6</f>
        <v>0</v>
      </c>
      <c r="G6" s="32">
        <f>+' Satış Konsolide'!G6</f>
        <v>0</v>
      </c>
      <c r="H6" s="33">
        <f>+' Satış Konsolide'!H6</f>
        <v>0</v>
      </c>
      <c r="I6" s="33">
        <f>+' Satış Konsolide'!I6</f>
        <v>0</v>
      </c>
      <c r="J6" s="33">
        <f>+' Satış Konsolide'!J6</f>
        <v>0</v>
      </c>
      <c r="K6" s="33">
        <f>+' Satış Konsolide'!K6</f>
        <v>0</v>
      </c>
      <c r="L6" s="33">
        <f>+' Satış Konsolide'!L6</f>
        <v>0</v>
      </c>
      <c r="M6" s="33">
        <f>+' Satış Konsolide'!M6</f>
        <v>0</v>
      </c>
      <c r="N6" s="33">
        <f>+' Satış Konsolide'!N6</f>
        <v>0</v>
      </c>
      <c r="O6" s="1113">
        <f>+' Satış Konsolide'!O6</f>
        <v>0</v>
      </c>
      <c r="P6" s="1132">
        <f t="shared" si="1"/>
        <v>0</v>
      </c>
      <c r="Q6" s="1123" t="str">
        <f t="shared" si="2"/>
        <v>-</v>
      </c>
    </row>
    <row r="7" spans="1:25" s="121" customFormat="1" ht="15" customHeight="1">
      <c r="A7" s="36" t="s">
        <v>27</v>
      </c>
      <c r="B7" s="743">
        <f>+' Satış Konsolide'!B7</f>
        <v>0</v>
      </c>
      <c r="C7" s="743">
        <f>+' Satış Konsolide'!C7</f>
        <v>0</v>
      </c>
      <c r="D7" s="39">
        <f>+' Satış Konsolide'!D7</f>
        <v>0</v>
      </c>
      <c r="E7" s="40">
        <f>+' Satış Konsolide'!E7</f>
        <v>0</v>
      </c>
      <c r="F7" s="40">
        <f>+' Satış Konsolide'!F7</f>
        <v>0</v>
      </c>
      <c r="G7" s="40">
        <f>+' Satış Konsolide'!G7</f>
        <v>0</v>
      </c>
      <c r="H7" s="40">
        <f>+' Satış Konsolide'!H7</f>
        <v>0</v>
      </c>
      <c r="I7" s="40">
        <f>+' Satış Konsolide'!I7</f>
        <v>0</v>
      </c>
      <c r="J7" s="40">
        <f>+' Satış Konsolide'!J7</f>
        <v>0</v>
      </c>
      <c r="K7" s="40">
        <f>+' Satış Konsolide'!K7</f>
        <v>0</v>
      </c>
      <c r="L7" s="40">
        <f>+' Satış Konsolide'!L7</f>
        <v>0</v>
      </c>
      <c r="M7" s="40">
        <f>+' Satış Konsolide'!M7</f>
        <v>0</v>
      </c>
      <c r="N7" s="40">
        <f>+' Satış Konsolide'!N7</f>
        <v>0</v>
      </c>
      <c r="O7" s="1114">
        <f>+' Satış Konsolide'!O7</f>
        <v>0</v>
      </c>
      <c r="P7" s="743">
        <f t="shared" si="1"/>
        <v>0</v>
      </c>
      <c r="Q7" s="1124" t="str">
        <f t="shared" si="2"/>
        <v>-</v>
      </c>
    </row>
    <row r="8" spans="1:25" ht="16.5" customHeight="1">
      <c r="A8" s="42" t="s">
        <v>17</v>
      </c>
      <c r="B8" s="744">
        <f>+' Satış Konsolide'!B8</f>
        <v>0</v>
      </c>
      <c r="C8" s="744">
        <f>+' Satış Konsolide'!C8</f>
        <v>0</v>
      </c>
      <c r="D8" s="46">
        <f>+' Satış Konsolide'!D8</f>
        <v>0</v>
      </c>
      <c r="E8" s="46">
        <f>+' Satış Konsolide'!E8</f>
        <v>0</v>
      </c>
      <c r="F8" s="46">
        <f>+' Satış Konsolide'!F8</f>
        <v>0</v>
      </c>
      <c r="G8" s="46">
        <f>+' Satış Konsolide'!G8</f>
        <v>0</v>
      </c>
      <c r="H8" s="46">
        <f>+' Satış Konsolide'!H8</f>
        <v>0</v>
      </c>
      <c r="I8" s="46">
        <f>+' Satış Konsolide'!I8</f>
        <v>0</v>
      </c>
      <c r="J8" s="46">
        <f>+' Satış Konsolide'!J8</f>
        <v>0</v>
      </c>
      <c r="K8" s="46">
        <f>+' Satış Konsolide'!K8</f>
        <v>0</v>
      </c>
      <c r="L8" s="46">
        <f>+' Satış Konsolide'!L8</f>
        <v>0</v>
      </c>
      <c r="M8" s="46">
        <f>+' Satış Konsolide'!M8</f>
        <v>0</v>
      </c>
      <c r="N8" s="46">
        <f>+' Satış Konsolide'!N8</f>
        <v>0</v>
      </c>
      <c r="O8" s="1115">
        <f>+' Satış Konsolide'!O8</f>
        <v>0</v>
      </c>
      <c r="P8" s="1133">
        <f t="shared" si="1"/>
        <v>0</v>
      </c>
      <c r="Q8" s="1123" t="str">
        <f t="shared" si="2"/>
        <v>-</v>
      </c>
    </row>
    <row r="9" spans="1:25" ht="16.5" customHeight="1">
      <c r="A9" s="49" t="s">
        <v>81</v>
      </c>
      <c r="B9" s="745">
        <f>+' Satış Konsolide'!B9</f>
        <v>0</v>
      </c>
      <c r="C9" s="745">
        <f>+' Satış Konsolide'!C9</f>
        <v>0</v>
      </c>
      <c r="D9" s="52">
        <f>+' Satış Konsolide'!D9</f>
        <v>0</v>
      </c>
      <c r="E9" s="53">
        <f>+' Satış Konsolide'!E9</f>
        <v>0</v>
      </c>
      <c r="F9" s="53">
        <f>+' Satış Konsolide'!F9</f>
        <v>0</v>
      </c>
      <c r="G9" s="53">
        <f>+' Satış Konsolide'!G9</f>
        <v>0</v>
      </c>
      <c r="H9" s="53">
        <f>+' Satış Konsolide'!H9</f>
        <v>0</v>
      </c>
      <c r="I9" s="53">
        <f>+' Satış Konsolide'!I9</f>
        <v>0</v>
      </c>
      <c r="J9" s="53">
        <f>+' Satış Konsolide'!J9</f>
        <v>0</v>
      </c>
      <c r="K9" s="53">
        <f>+' Satış Konsolide'!K9</f>
        <v>0</v>
      </c>
      <c r="L9" s="53">
        <f>+' Satış Konsolide'!L9</f>
        <v>0</v>
      </c>
      <c r="M9" s="53">
        <f>+' Satış Konsolide'!M9</f>
        <v>0</v>
      </c>
      <c r="N9" s="53">
        <f>+' Satış Konsolide'!N9</f>
        <v>0</v>
      </c>
      <c r="O9" s="1116">
        <f>+' Satış Konsolide'!O9</f>
        <v>0</v>
      </c>
      <c r="P9" s="1134">
        <f t="shared" si="1"/>
        <v>0</v>
      </c>
      <c r="Q9" s="1125" t="str">
        <f t="shared" si="2"/>
        <v>-</v>
      </c>
    </row>
    <row r="10" spans="1:25" ht="16.5" hidden="1" customHeight="1">
      <c r="A10" s="58" t="s">
        <v>82</v>
      </c>
      <c r="B10" s="744">
        <f>+' Satış Konsolide'!B10</f>
        <v>0</v>
      </c>
      <c r="C10" s="744">
        <f>+' Satış Konsolide'!C10</f>
        <v>0</v>
      </c>
      <c r="D10" s="59">
        <f>+' Satış Konsolide'!D10</f>
        <v>0</v>
      </c>
      <c r="E10" s="33">
        <f>+' Satış Konsolide'!E10</f>
        <v>0</v>
      </c>
      <c r="F10" s="33">
        <f>+' Satış Konsolide'!F10</f>
        <v>0</v>
      </c>
      <c r="G10" s="33">
        <f>+' Satış Konsolide'!G10</f>
        <v>0</v>
      </c>
      <c r="H10" s="33">
        <f>+' Satış Konsolide'!H10</f>
        <v>0</v>
      </c>
      <c r="I10" s="33">
        <f>+' Satış Konsolide'!I10</f>
        <v>0</v>
      </c>
      <c r="J10" s="33">
        <f>+' Satış Konsolide'!J10</f>
        <v>0</v>
      </c>
      <c r="K10" s="33">
        <f>+' Satış Konsolide'!K10</f>
        <v>0</v>
      </c>
      <c r="L10" s="33">
        <f>+' Satış Konsolide'!L10</f>
        <v>0</v>
      </c>
      <c r="M10" s="33">
        <f>+' Satış Konsolide'!M10</f>
        <v>0</v>
      </c>
      <c r="N10" s="33">
        <f>+' Satış Konsolide'!N10</f>
        <v>0</v>
      </c>
      <c r="O10" s="1113">
        <f>+' Satış Konsolide'!O10</f>
        <v>0</v>
      </c>
      <c r="P10" s="1133">
        <f t="shared" si="1"/>
        <v>0</v>
      </c>
      <c r="Q10" s="1123" t="str">
        <f t="shared" si="2"/>
        <v>-</v>
      </c>
    </row>
    <row r="11" spans="1:25" ht="16.5" customHeight="1">
      <c r="A11" s="49" t="s">
        <v>83</v>
      </c>
      <c r="B11" s="746">
        <f>+' Satış Konsolide'!B11</f>
        <v>0</v>
      </c>
      <c r="C11" s="746">
        <f>+' Satış Konsolide'!C11</f>
        <v>0</v>
      </c>
      <c r="D11" s="52">
        <f>+' Satış Konsolide'!D11</f>
        <v>0</v>
      </c>
      <c r="E11" s="53">
        <f>+' Satış Konsolide'!E11</f>
        <v>0</v>
      </c>
      <c r="F11" s="53">
        <f>+' Satış Konsolide'!F11</f>
        <v>0</v>
      </c>
      <c r="G11" s="53">
        <f>+' Satış Konsolide'!G11</f>
        <v>0</v>
      </c>
      <c r="H11" s="53">
        <f>+' Satış Konsolide'!H11</f>
        <v>0</v>
      </c>
      <c r="I11" s="53">
        <f>+' Satış Konsolide'!I11</f>
        <v>0</v>
      </c>
      <c r="J11" s="53">
        <f>+' Satış Konsolide'!J11</f>
        <v>0</v>
      </c>
      <c r="K11" s="53">
        <f>+' Satış Konsolide'!K11</f>
        <v>0</v>
      </c>
      <c r="L11" s="53">
        <f>+' Satış Konsolide'!L11</f>
        <v>0</v>
      </c>
      <c r="M11" s="53">
        <f>+' Satış Konsolide'!M11</f>
        <v>0</v>
      </c>
      <c r="N11" s="53">
        <f>+' Satış Konsolide'!N11</f>
        <v>0</v>
      </c>
      <c r="O11" s="1116">
        <f>+' Satış Konsolide'!O11</f>
        <v>0</v>
      </c>
      <c r="P11" s="1134">
        <f t="shared" si="1"/>
        <v>0</v>
      </c>
      <c r="Q11" s="1125" t="str">
        <f t="shared" si="2"/>
        <v>-</v>
      </c>
      <c r="R11" s="2">
        <f>4.4*1.18</f>
        <v>5.1920000000000002</v>
      </c>
      <c r="S11" s="2">
        <f>3.75*1.18</f>
        <v>4.4249999999999998</v>
      </c>
    </row>
    <row r="12" spans="1:25" ht="16.5" hidden="1" customHeight="1">
      <c r="A12" s="58" t="s">
        <v>84</v>
      </c>
      <c r="B12" s="742">
        <f>+' Satış Konsolide'!B12</f>
        <v>0</v>
      </c>
      <c r="C12" s="742">
        <f>+' Satış Konsolide'!C12</f>
        <v>0</v>
      </c>
      <c r="D12" s="59">
        <f>+' Satış Konsolide'!D12</f>
        <v>0</v>
      </c>
      <c r="E12" s="33">
        <f>+' Satış Konsolide'!E12</f>
        <v>0</v>
      </c>
      <c r="F12" s="33">
        <f>+' Satış Konsolide'!F12</f>
        <v>0</v>
      </c>
      <c r="G12" s="33">
        <f>+' Satış Konsolide'!G12</f>
        <v>0</v>
      </c>
      <c r="H12" s="33">
        <f>+' Satış Konsolide'!H12</f>
        <v>0</v>
      </c>
      <c r="I12" s="32">
        <f>+' Satış Konsolide'!I12</f>
        <v>0</v>
      </c>
      <c r="J12" s="32">
        <f>+' Satış Konsolide'!J12</f>
        <v>0</v>
      </c>
      <c r="K12" s="33">
        <f>+' Satış Konsolide'!K12</f>
        <v>0</v>
      </c>
      <c r="L12" s="33">
        <f>+' Satış Konsolide'!L12</f>
        <v>0</v>
      </c>
      <c r="M12" s="33">
        <f>+' Satış Konsolide'!M12</f>
        <v>0</v>
      </c>
      <c r="N12" s="33">
        <f>+' Satış Konsolide'!N12</f>
        <v>0</v>
      </c>
      <c r="O12" s="1113">
        <f>+' Satış Konsolide'!O12</f>
        <v>0</v>
      </c>
      <c r="P12" s="1133">
        <f t="shared" si="1"/>
        <v>0</v>
      </c>
      <c r="Q12" s="1123" t="str">
        <f t="shared" si="2"/>
        <v>-</v>
      </c>
    </row>
    <row r="13" spans="1:25" ht="15" customHeight="1" thickBot="1">
      <c r="A13" s="60" t="s">
        <v>18</v>
      </c>
      <c r="B13" s="747">
        <f>+' Satış Konsolide'!B13</f>
        <v>0</v>
      </c>
      <c r="C13" s="747">
        <f>+' Satış Konsolide'!C13</f>
        <v>0</v>
      </c>
      <c r="D13" s="63">
        <f>+' Satış Konsolide'!D13</f>
        <v>0</v>
      </c>
      <c r="E13" s="64">
        <f>+' Satış Konsolide'!E13</f>
        <v>0</v>
      </c>
      <c r="F13" s="64">
        <f>+' Satış Konsolide'!F13</f>
        <v>0</v>
      </c>
      <c r="G13" s="64">
        <f>+' Satış Konsolide'!G13</f>
        <v>0</v>
      </c>
      <c r="H13" s="64">
        <f>+' Satış Konsolide'!H13</f>
        <v>0</v>
      </c>
      <c r="I13" s="64">
        <f>+' Satış Konsolide'!I13</f>
        <v>0</v>
      </c>
      <c r="J13" s="64">
        <f>+' Satış Konsolide'!J13</f>
        <v>0</v>
      </c>
      <c r="K13" s="64">
        <f>+' Satış Konsolide'!K13</f>
        <v>0</v>
      </c>
      <c r="L13" s="64">
        <f>+' Satış Konsolide'!L13</f>
        <v>0</v>
      </c>
      <c r="M13" s="64">
        <f>+' Satış Konsolide'!M13</f>
        <v>0</v>
      </c>
      <c r="N13" s="64">
        <f>+' Satış Konsolide'!N13</f>
        <v>0</v>
      </c>
      <c r="O13" s="1117">
        <f>+' Satış Konsolide'!O13</f>
        <v>0</v>
      </c>
      <c r="P13" s="747">
        <f t="shared" si="1"/>
        <v>0</v>
      </c>
      <c r="Q13" s="1126" t="str">
        <f t="shared" si="2"/>
        <v>-</v>
      </c>
      <c r="R13" s="249">
        <f>+P7*5.192</f>
        <v>0</v>
      </c>
    </row>
    <row r="14" spans="1:25" ht="22.5" customHeight="1" thickBot="1">
      <c r="A14" s="13" t="s">
        <v>25</v>
      </c>
      <c r="B14" s="748">
        <f>SUM(B15:B16)</f>
        <v>0</v>
      </c>
      <c r="C14" s="748">
        <f>SUM(C15:C16)</f>
        <v>0</v>
      </c>
      <c r="D14" s="68">
        <f t="shared" ref="D14:O14" si="3">SUM(D15:D16)</f>
        <v>0</v>
      </c>
      <c r="E14" s="69">
        <f t="shared" si="3"/>
        <v>0</v>
      </c>
      <c r="F14" s="69">
        <f t="shared" si="3"/>
        <v>0</v>
      </c>
      <c r="G14" s="69">
        <f t="shared" si="3"/>
        <v>0</v>
      </c>
      <c r="H14" s="69">
        <f>SUM(H15:H16)</f>
        <v>0</v>
      </c>
      <c r="I14" s="69">
        <f t="shared" si="3"/>
        <v>0</v>
      </c>
      <c r="J14" s="69">
        <f t="shared" si="3"/>
        <v>0</v>
      </c>
      <c r="K14" s="69">
        <f t="shared" si="3"/>
        <v>0</v>
      </c>
      <c r="L14" s="69">
        <f t="shared" si="3"/>
        <v>0</v>
      </c>
      <c r="M14" s="69">
        <f t="shared" si="3"/>
        <v>0</v>
      </c>
      <c r="N14" s="69">
        <f t="shared" si="3"/>
        <v>0</v>
      </c>
      <c r="O14" s="70">
        <f t="shared" si="3"/>
        <v>0</v>
      </c>
      <c r="P14" s="748">
        <f t="shared" si="1"/>
        <v>0</v>
      </c>
      <c r="Q14" s="1105" t="str">
        <f t="shared" si="2"/>
        <v>-</v>
      </c>
      <c r="R14" s="249">
        <f>+P13*4.425</f>
        <v>0</v>
      </c>
    </row>
    <row r="15" spans="1:25" ht="16.5" customHeight="1">
      <c r="A15" s="72" t="s">
        <v>19</v>
      </c>
      <c r="B15" s="749">
        <f>+' Satış Konsolide'!B15</f>
        <v>0</v>
      </c>
      <c r="C15" s="749">
        <f>+' Satış Konsolide'!C15</f>
        <v>0</v>
      </c>
      <c r="D15" s="75">
        <f>+' Satış Konsolide'!D15</f>
        <v>0</v>
      </c>
      <c r="E15" s="75">
        <f>+' Satış Konsolide'!E15</f>
        <v>0</v>
      </c>
      <c r="F15" s="75">
        <f>+' Satış Konsolide'!F15</f>
        <v>0</v>
      </c>
      <c r="G15" s="75">
        <f>+' Satış Konsolide'!G15</f>
        <v>0</v>
      </c>
      <c r="H15" s="75">
        <f>+' Satış Konsolide'!H15</f>
        <v>0</v>
      </c>
      <c r="I15" s="75">
        <f>+' Satış Konsolide'!I15</f>
        <v>0</v>
      </c>
      <c r="J15" s="75">
        <f>+' Satış Konsolide'!J15</f>
        <v>0</v>
      </c>
      <c r="K15" s="75">
        <f>+' Satış Konsolide'!K15</f>
        <v>0</v>
      </c>
      <c r="L15" s="75">
        <f>+' Satış Konsolide'!L15</f>
        <v>0</v>
      </c>
      <c r="M15" s="75">
        <f>+' Satış Konsolide'!M15</f>
        <v>0</v>
      </c>
      <c r="N15" s="75">
        <f>+' Satış Konsolide'!N15</f>
        <v>0</v>
      </c>
      <c r="O15" s="1118">
        <f>+' Satış Konsolide'!O15</f>
        <v>0</v>
      </c>
      <c r="P15" s="1135">
        <f t="shared" si="1"/>
        <v>0</v>
      </c>
      <c r="Q15" s="1127" t="str">
        <f t="shared" si="2"/>
        <v>-</v>
      </c>
    </row>
    <row r="16" spans="1:25" ht="16.5" customHeight="1" thickBot="1">
      <c r="A16" s="80" t="s">
        <v>20</v>
      </c>
      <c r="B16" s="750">
        <f>+' Satış Konsolide'!B16</f>
        <v>0</v>
      </c>
      <c r="C16" s="750">
        <f>+' Satış Konsolide'!C16</f>
        <v>0</v>
      </c>
      <c r="D16" s="83">
        <f>+' Satış Konsolide'!D16</f>
        <v>0</v>
      </c>
      <c r="E16" s="83">
        <f>+' Satış Konsolide'!E16</f>
        <v>0</v>
      </c>
      <c r="F16" s="83">
        <f>+' Satış Konsolide'!F16</f>
        <v>0</v>
      </c>
      <c r="G16" s="83">
        <f>+' Satış Konsolide'!G16</f>
        <v>0</v>
      </c>
      <c r="H16" s="83">
        <f>+' Satış Konsolide'!H16</f>
        <v>0</v>
      </c>
      <c r="I16" s="83">
        <f>+' Satış Konsolide'!I16</f>
        <v>0</v>
      </c>
      <c r="J16" s="83">
        <f>+' Satış Konsolide'!J16</f>
        <v>0</v>
      </c>
      <c r="K16" s="83">
        <f>+' Satış Konsolide'!K16</f>
        <v>0</v>
      </c>
      <c r="L16" s="83">
        <f>+' Satış Konsolide'!L16</f>
        <v>0</v>
      </c>
      <c r="M16" s="83">
        <f>+' Satış Konsolide'!M16</f>
        <v>0</v>
      </c>
      <c r="N16" s="83">
        <f>+' Satış Konsolide'!N16</f>
        <v>0</v>
      </c>
      <c r="O16" s="1119">
        <f>+' Satış Konsolide'!O16</f>
        <v>0</v>
      </c>
      <c r="P16" s="1136">
        <f t="shared" si="1"/>
        <v>0</v>
      </c>
      <c r="Q16" s="1128" t="str">
        <f t="shared" si="2"/>
        <v>-</v>
      </c>
    </row>
    <row r="17" spans="1:17" ht="22.5" customHeight="1" thickBot="1">
      <c r="A17" s="13" t="s">
        <v>26</v>
      </c>
      <c r="B17" s="748">
        <f>SUM(B18:B19)</f>
        <v>0</v>
      </c>
      <c r="C17" s="748">
        <f>SUM(C18:C19)</f>
        <v>0</v>
      </c>
      <c r="D17" s="68">
        <f>SUM(D18:D19)</f>
        <v>0</v>
      </c>
      <c r="E17" s="69">
        <f>SUM(E18:E19)</f>
        <v>0</v>
      </c>
      <c r="F17" s="69">
        <f>SUM(F18:F19)</f>
        <v>0</v>
      </c>
      <c r="G17" s="69">
        <f t="shared" ref="G17:O17" si="4">SUM(G18:G19)</f>
        <v>0</v>
      </c>
      <c r="H17" s="69">
        <f>SUM(H18:H19)</f>
        <v>0</v>
      </c>
      <c r="I17" s="69">
        <f t="shared" si="4"/>
        <v>0</v>
      </c>
      <c r="J17" s="69">
        <f t="shared" si="4"/>
        <v>0</v>
      </c>
      <c r="K17" s="69">
        <f t="shared" si="4"/>
        <v>0</v>
      </c>
      <c r="L17" s="69">
        <f t="shared" si="4"/>
        <v>0</v>
      </c>
      <c r="M17" s="69">
        <f t="shared" si="4"/>
        <v>0</v>
      </c>
      <c r="N17" s="69">
        <f t="shared" si="4"/>
        <v>0</v>
      </c>
      <c r="O17" s="70">
        <f t="shared" si="4"/>
        <v>0</v>
      </c>
      <c r="P17" s="748">
        <f t="shared" si="1"/>
        <v>0</v>
      </c>
      <c r="Q17" s="1105" t="str">
        <f t="shared" si="2"/>
        <v>-</v>
      </c>
    </row>
    <row r="18" spans="1:17" ht="16.5" customHeight="1">
      <c r="A18" s="72" t="s">
        <v>106</v>
      </c>
      <c r="B18" s="749">
        <f>İHALE!B18+'Ötv''siz Deniz'!B18+'Ötv''li Deniz'!B18+DAĞITICI!B18+Perakende!B18+ENDÜSTRİYEL!B18</f>
        <v>0</v>
      </c>
      <c r="C18" s="749">
        <f>İHALE!C18+'Ötv''siz Deniz'!C18+'Ötv''li Deniz'!C18+DAĞITICI!C18+Perakende!C18+ENDÜSTRİYEL!C18</f>
        <v>0</v>
      </c>
      <c r="D18" s="75">
        <f>İHALE!D18+'Ötv''siz Deniz'!D18+'Ötv''li Deniz'!D18+DAĞITICI!D18+Perakende!D18+ENDÜSTRİYEL!D18</f>
        <v>0</v>
      </c>
      <c r="E18" s="76">
        <f>İHALE!E18+'Ötv''siz Deniz'!E18+'Ötv''li Deniz'!E18+DAĞITICI!E18+Perakende!E18+ENDÜSTRİYEL!E18</f>
        <v>0</v>
      </c>
      <c r="F18" s="76">
        <f>İHALE!F18+'Ötv''siz Deniz'!F18+'Ötv''li Deniz'!F18+DAĞITICI!F18+Perakende!F18+ENDÜSTRİYEL!F18</f>
        <v>0</v>
      </c>
      <c r="G18" s="76">
        <f>İHALE!G18+'Ötv''siz Deniz'!G18+'Ötv''li Deniz'!G18+DAĞITICI!G18+Perakende!G18+ENDÜSTRİYEL!G18</f>
        <v>0</v>
      </c>
      <c r="H18" s="76">
        <f>İHALE!H18+'Ötv''siz Deniz'!H18+'Ötv''li Deniz'!H18+DAĞITICI!H18+Perakende!H18+ENDÜSTRİYEL!H18</f>
        <v>0</v>
      </c>
      <c r="I18" s="76">
        <f>İHALE!I18+'Ötv''siz Deniz'!I18+'Ötv''li Deniz'!I18+DAĞITICI!I18+Perakende!I18+ENDÜSTRİYEL!I18</f>
        <v>0</v>
      </c>
      <c r="J18" s="76">
        <f>İHALE!J18+'Ötv''siz Deniz'!J18+'Ötv''li Deniz'!J18+DAĞITICI!J18+Perakende!J18+ENDÜSTRİYEL!J18</f>
        <v>0</v>
      </c>
      <c r="K18" s="76">
        <f>İHALE!K18+'Ötv''siz Deniz'!K18+'Ötv''li Deniz'!K18+DAĞITICI!K18+Perakende!K18+ENDÜSTRİYEL!K18</f>
        <v>0</v>
      </c>
      <c r="L18" s="76">
        <f>İHALE!L18+'Ötv''siz Deniz'!L18+'Ötv''li Deniz'!L18+DAĞITICI!L18+Perakende!L18+ENDÜSTRİYEL!L18</f>
        <v>0</v>
      </c>
      <c r="M18" s="76">
        <f>İHALE!M18+'Ötv''siz Deniz'!M18+'Ötv''li Deniz'!M18+DAĞITICI!M18+Perakende!M18+ENDÜSTRİYEL!M18</f>
        <v>0</v>
      </c>
      <c r="N18" s="76">
        <f>İHALE!N18+'Ötv''siz Deniz'!N18+'Ötv''li Deniz'!N18+DAĞITICI!N18+Perakende!N18+ENDÜSTRİYEL!N18</f>
        <v>0</v>
      </c>
      <c r="O18" s="77">
        <f>İHALE!O18+'Ötv''siz Deniz'!O18+'Ötv''li Deniz'!O18+DAĞITICI!O18+Perakende!O18+ENDÜSTRİYEL!O18</f>
        <v>0</v>
      </c>
      <c r="P18" s="1135">
        <f t="shared" si="1"/>
        <v>0</v>
      </c>
      <c r="Q18" s="1127" t="str">
        <f t="shared" si="2"/>
        <v>-</v>
      </c>
    </row>
    <row r="19" spans="1:17" ht="16.5" customHeight="1" thickBot="1">
      <c r="A19" s="122" t="s">
        <v>105</v>
      </c>
      <c r="B19" s="751">
        <f>İHALE!B19+'Ötv''siz Deniz'!B19+'Ötv''li Deniz'!B19+DAĞITICI!B19+Perakende!B19+ENDÜSTRİYEL!B19</f>
        <v>0</v>
      </c>
      <c r="C19" s="751">
        <f>İHALE!C19+'Ötv''siz Deniz'!C19+'Ötv''li Deniz'!C19+DAĞITICI!C19+Perakende!C19+ENDÜSTRİYEL!C19</f>
        <v>0</v>
      </c>
      <c r="D19" s="125">
        <f>İHALE!D19+'Ötv''siz Deniz'!D19+'Ötv''li Deniz'!D19+DAĞITICI!D19+Perakende!D19+ENDÜSTRİYEL!D19</f>
        <v>0</v>
      </c>
      <c r="E19" s="126">
        <f>İHALE!E19+'Ötv''siz Deniz'!E19+'Ötv''li Deniz'!E19+DAĞITICI!E19+Perakende!E19+ENDÜSTRİYEL!E19</f>
        <v>0</v>
      </c>
      <c r="F19" s="126">
        <f>İHALE!F19+'Ötv''siz Deniz'!F19+'Ötv''li Deniz'!F19+DAĞITICI!F19+Perakende!F19+ENDÜSTRİYEL!F19</f>
        <v>0</v>
      </c>
      <c r="G19" s="126">
        <f>İHALE!G19+'Ötv''siz Deniz'!G19+'Ötv''li Deniz'!G19+DAĞITICI!G19+Perakende!G19+ENDÜSTRİYEL!G19</f>
        <v>0</v>
      </c>
      <c r="H19" s="126">
        <f>İHALE!H19+'Ötv''siz Deniz'!H19+'Ötv''li Deniz'!H19+DAĞITICI!H19+Perakende!H19+ENDÜSTRİYEL!H19</f>
        <v>0</v>
      </c>
      <c r="I19" s="126">
        <f>İHALE!I19+'Ötv''siz Deniz'!I19+'Ötv''li Deniz'!I19+DAĞITICI!I19+Perakende!I19+ENDÜSTRİYEL!I19</f>
        <v>0</v>
      </c>
      <c r="J19" s="126">
        <f>İHALE!J19+'Ötv''siz Deniz'!J19+'Ötv''li Deniz'!J19+DAĞITICI!J19+Perakende!J19+ENDÜSTRİYEL!J19</f>
        <v>0</v>
      </c>
      <c r="K19" s="126">
        <f>İHALE!K19+'Ötv''siz Deniz'!K19+'Ötv''li Deniz'!K19+DAĞITICI!K19+Perakende!K19+ENDÜSTRİYEL!K19</f>
        <v>0</v>
      </c>
      <c r="L19" s="126">
        <f>İHALE!L19+'Ötv''siz Deniz'!L19+'Ötv''li Deniz'!L19+DAĞITICI!L19+Perakende!L19+ENDÜSTRİYEL!L19</f>
        <v>0</v>
      </c>
      <c r="M19" s="126">
        <f>İHALE!M19+'Ötv''siz Deniz'!M19+'Ötv''li Deniz'!M19+DAĞITICI!M19+Perakende!M19+ENDÜSTRİYEL!M19</f>
        <v>0</v>
      </c>
      <c r="N19" s="126">
        <f>İHALE!N19+'Ötv''siz Deniz'!N19+'Ötv''li Deniz'!N19+DAĞITICI!N19+Perakende!N19+ENDÜSTRİYEL!N19</f>
        <v>0</v>
      </c>
      <c r="O19" s="127">
        <f>İHALE!O19+'Ötv''siz Deniz'!O19+'Ötv''li Deniz'!O19+DAĞITICI!O19+Perakende!O19+ENDÜSTRİYEL!O19</f>
        <v>0</v>
      </c>
      <c r="P19" s="1137">
        <f t="shared" si="1"/>
        <v>0</v>
      </c>
      <c r="Q19" s="1129" t="str">
        <f t="shared" si="2"/>
        <v>-</v>
      </c>
    </row>
    <row r="20" spans="1:17" ht="16.5" customHeight="1" thickBot="1">
      <c r="B20" s="752"/>
      <c r="C20" s="752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1138"/>
      <c r="Q20" s="89"/>
    </row>
    <row r="21" spans="1:17" ht="22.5" customHeight="1" thickBot="1">
      <c r="A21" s="13" t="s">
        <v>85</v>
      </c>
      <c r="B21" s="94">
        <f>+' Satış Konsolide'!B21</f>
        <v>0</v>
      </c>
      <c r="C21" s="94">
        <f>+' Satış Konsolide'!C21</f>
        <v>0</v>
      </c>
      <c r="D21" s="16">
        <f>+' Satış Konsolide'!D21</f>
        <v>0</v>
      </c>
      <c r="E21" s="16">
        <f>+' Satış Konsolide'!E21</f>
        <v>0</v>
      </c>
      <c r="F21" s="16">
        <f>+' Satış Konsolide'!F21</f>
        <v>0</v>
      </c>
      <c r="G21" s="16">
        <f>+' Satış Konsolide'!G21</f>
        <v>0</v>
      </c>
      <c r="H21" s="16">
        <f>+' Satış Konsolide'!H21</f>
        <v>0</v>
      </c>
      <c r="I21" s="16">
        <f>+' Satış Konsolide'!I21</f>
        <v>0</v>
      </c>
      <c r="J21" s="16">
        <f>+' Satış Konsolide'!J21</f>
        <v>0</v>
      </c>
      <c r="K21" s="16">
        <f>+' Satış Konsolide'!K21</f>
        <v>0</v>
      </c>
      <c r="L21" s="16">
        <f>+' Satış Konsolide'!L21</f>
        <v>0</v>
      </c>
      <c r="M21" s="16">
        <f>+' Satış Konsolide'!M21</f>
        <v>0</v>
      </c>
      <c r="N21" s="16">
        <f>+' Satış Konsolide'!N21</f>
        <v>0</v>
      </c>
      <c r="O21" s="1120">
        <f>+' Satış Konsolide'!O21</f>
        <v>0</v>
      </c>
      <c r="P21" s="94">
        <f t="shared" si="1"/>
        <v>0</v>
      </c>
      <c r="Q21" s="1130" t="str">
        <f>IF(P21=0,"-",P21/C21-1)</f>
        <v>-</v>
      </c>
    </row>
    <row r="22" spans="1:17" s="569" customFormat="1" ht="22.5" customHeight="1" thickBot="1">
      <c r="A22" s="581"/>
      <c r="B22" s="582"/>
      <c r="C22" s="582"/>
      <c r="D22" s="582"/>
      <c r="E22" s="582"/>
      <c r="F22" s="582"/>
      <c r="G22" s="582"/>
      <c r="H22" s="582"/>
      <c r="I22" s="582"/>
      <c r="J22" s="582"/>
      <c r="K22" s="582"/>
      <c r="L22" s="582"/>
      <c r="M22" s="582"/>
      <c r="N22" s="582"/>
      <c r="O22" s="582"/>
      <c r="P22" s="582"/>
      <c r="Q22" s="583"/>
    </row>
    <row r="23" spans="1:17" ht="22.5" customHeight="1">
      <c r="A23" s="2154"/>
      <c r="B23" s="2341" t="s">
        <v>648</v>
      </c>
      <c r="C23" s="2341" t="s">
        <v>647</v>
      </c>
      <c r="D23" s="2313" t="s">
        <v>639</v>
      </c>
      <c r="E23" s="2314"/>
      <c r="F23" s="2314"/>
      <c r="G23" s="2314"/>
      <c r="H23" s="2314"/>
      <c r="I23" s="2314"/>
      <c r="J23" s="2314"/>
      <c r="K23" s="2314"/>
      <c r="L23" s="2314"/>
      <c r="M23" s="2314"/>
      <c r="N23" s="2314"/>
      <c r="O23" s="2314"/>
      <c r="P23" s="2315"/>
      <c r="Q23" s="937" t="s">
        <v>638</v>
      </c>
    </row>
    <row r="24" spans="1:17" ht="30" customHeight="1" thickBot="1">
      <c r="A24" s="2155"/>
      <c r="B24" s="2342"/>
      <c r="C24" s="2342"/>
      <c r="D24" s="113" t="s">
        <v>1</v>
      </c>
      <c r="E24" s="114" t="s">
        <v>2</v>
      </c>
      <c r="F24" s="114" t="s">
        <v>3</v>
      </c>
      <c r="G24" s="114" t="s">
        <v>4</v>
      </c>
      <c r="H24" s="114" t="s">
        <v>5</v>
      </c>
      <c r="I24" s="114" t="s">
        <v>6</v>
      </c>
      <c r="J24" s="114" t="s">
        <v>7</v>
      </c>
      <c r="K24" s="114" t="s">
        <v>8</v>
      </c>
      <c r="L24" s="114" t="s">
        <v>9</v>
      </c>
      <c r="M24" s="114" t="s">
        <v>10</v>
      </c>
      <c r="N24" s="114" t="s">
        <v>11</v>
      </c>
      <c r="O24" s="114" t="s">
        <v>12</v>
      </c>
      <c r="P24" s="115" t="s">
        <v>13</v>
      </c>
      <c r="Q24" s="941" t="s">
        <v>618</v>
      </c>
    </row>
    <row r="25" spans="1:17" ht="22.5" customHeight="1">
      <c r="A25" s="2153" t="s">
        <v>273</v>
      </c>
      <c r="B25" s="574">
        <f>'Satış Kanalları M3'!B3</f>
        <v>0</v>
      </c>
      <c r="C25" s="574">
        <f>'Satış Kanalları M3'!C3</f>
        <v>0</v>
      </c>
      <c r="D25" s="2149">
        <f>'Satış Kanalları M3'!D3</f>
        <v>0</v>
      </c>
      <c r="E25" s="2150">
        <f>'Satış Kanalları M3'!E3</f>
        <v>0</v>
      </c>
      <c r="F25" s="2150">
        <f>'Satış Kanalları M3'!F3</f>
        <v>0</v>
      </c>
      <c r="G25" s="2150">
        <f>'Satış Kanalları M3'!G3</f>
        <v>0</v>
      </c>
      <c r="H25" s="2150">
        <f>'Satış Kanalları M3'!H3</f>
        <v>0</v>
      </c>
      <c r="I25" s="2150">
        <f>'Satış Kanalları M3'!I3</f>
        <v>0</v>
      </c>
      <c r="J25" s="2150">
        <f>'Satış Kanalları M3'!J3</f>
        <v>0</v>
      </c>
      <c r="K25" s="2150">
        <f>'Satış Kanalları M3'!K3</f>
        <v>0</v>
      </c>
      <c r="L25" s="2150">
        <f>'Satış Kanalları M3'!L3</f>
        <v>0</v>
      </c>
      <c r="M25" s="2150">
        <f>'Satış Kanalları M3'!M3</f>
        <v>0</v>
      </c>
      <c r="N25" s="2150">
        <f>'Satış Kanalları M3'!N3</f>
        <v>0</v>
      </c>
      <c r="O25" s="2151">
        <f>'Satış Kanalları M3'!O3</f>
        <v>0</v>
      </c>
      <c r="P25" s="2152">
        <f>SUM(D25:O25)</f>
        <v>0</v>
      </c>
      <c r="Q25" s="240" t="str">
        <f t="shared" ref="Q25:Q31" si="5">IF(P25=0,"-",P25/C25-1)</f>
        <v>-</v>
      </c>
    </row>
    <row r="26" spans="1:17" ht="22.5" customHeight="1">
      <c r="A26" s="241" t="s">
        <v>21</v>
      </c>
      <c r="B26" s="575">
        <f>'Satış Kanalları M3'!B4</f>
        <v>0</v>
      </c>
      <c r="C26" s="575">
        <f>'Satış Kanalları M3'!C4</f>
        <v>0</v>
      </c>
      <c r="D26" s="571">
        <f>'Satış Kanalları M3'!D4</f>
        <v>0</v>
      </c>
      <c r="E26" s="220">
        <f>'Satış Kanalları M3'!E4</f>
        <v>0</v>
      </c>
      <c r="F26" s="220">
        <f>'Satış Kanalları M3'!F4</f>
        <v>0</v>
      </c>
      <c r="G26" s="220">
        <f>'Satış Kanalları M3'!G4</f>
        <v>0</v>
      </c>
      <c r="H26" s="220">
        <f>'Satış Kanalları M3'!H4</f>
        <v>0</v>
      </c>
      <c r="I26" s="220">
        <f>'Satış Kanalları M3'!I4</f>
        <v>0</v>
      </c>
      <c r="J26" s="220">
        <f>'Satış Kanalları M3'!J4</f>
        <v>0</v>
      </c>
      <c r="K26" s="220">
        <f>'Satış Kanalları M3'!K4</f>
        <v>0</v>
      </c>
      <c r="L26" s="220">
        <f>'Satış Kanalları M3'!L4</f>
        <v>0</v>
      </c>
      <c r="M26" s="220">
        <f>'Satış Kanalları M3'!M4</f>
        <v>0</v>
      </c>
      <c r="N26" s="220">
        <f>'Satış Kanalları M3'!N4</f>
        <v>0</v>
      </c>
      <c r="O26" s="233">
        <f>'Satış Kanalları M3'!O4</f>
        <v>0</v>
      </c>
      <c r="P26" s="236">
        <f>SUM(D26:O26)</f>
        <v>0</v>
      </c>
      <c r="Q26" s="242" t="str">
        <f t="shared" si="5"/>
        <v>-</v>
      </c>
    </row>
    <row r="27" spans="1:17" ht="22.5" customHeight="1">
      <c r="A27" s="239" t="s">
        <v>22</v>
      </c>
      <c r="B27" s="574">
        <f>'Satış Kanalları M3'!B5</f>
        <v>0</v>
      </c>
      <c r="C27" s="574">
        <f>'Satış Kanalları M3'!C5</f>
        <v>0</v>
      </c>
      <c r="D27" s="570">
        <f>'Satış Kanalları M3'!D5</f>
        <v>0</v>
      </c>
      <c r="E27" s="219">
        <f>'Satış Kanalları M3'!E5</f>
        <v>0</v>
      </c>
      <c r="F27" s="219">
        <f>'Satış Kanalları M3'!F5</f>
        <v>0</v>
      </c>
      <c r="G27" s="219">
        <f>'Satış Kanalları M3'!G5</f>
        <v>0</v>
      </c>
      <c r="H27" s="219">
        <f>'Satış Kanalları M3'!H5</f>
        <v>0</v>
      </c>
      <c r="I27" s="219">
        <f>'Satış Kanalları M3'!I5</f>
        <v>0</v>
      </c>
      <c r="J27" s="219">
        <f>'Satış Kanalları M3'!J5</f>
        <v>0</v>
      </c>
      <c r="K27" s="219">
        <f>'Satış Kanalları M3'!K5</f>
        <v>0</v>
      </c>
      <c r="L27" s="219">
        <f>'Satış Kanalları M3'!L5</f>
        <v>0</v>
      </c>
      <c r="M27" s="219">
        <f>'Satış Kanalları M3'!M5</f>
        <v>0</v>
      </c>
      <c r="N27" s="219">
        <f>'Satış Kanalları M3'!N5</f>
        <v>0</v>
      </c>
      <c r="O27" s="232">
        <f>'Satış Kanalları M3'!O5</f>
        <v>0</v>
      </c>
      <c r="P27" s="235">
        <f>SUM(D27:O27)</f>
        <v>0</v>
      </c>
      <c r="Q27" s="240" t="str">
        <f t="shared" si="5"/>
        <v>-</v>
      </c>
    </row>
    <row r="28" spans="1:17" ht="22.5" customHeight="1">
      <c r="A28" s="241" t="s">
        <v>515</v>
      </c>
      <c r="B28" s="575">
        <f>'Satış Kanalları M3'!B6</f>
        <v>0</v>
      </c>
      <c r="C28" s="575">
        <f>'Satış Kanalları M3'!C6</f>
        <v>0</v>
      </c>
      <c r="D28" s="571">
        <f>'Satış Kanalları M3'!D6</f>
        <v>0</v>
      </c>
      <c r="E28" s="220">
        <f>'Satış Kanalları M3'!E6</f>
        <v>0</v>
      </c>
      <c r="F28" s="220">
        <f>'Satış Kanalları M3'!F6</f>
        <v>0</v>
      </c>
      <c r="G28" s="220">
        <f>'Satış Kanalları M3'!G6</f>
        <v>0</v>
      </c>
      <c r="H28" s="220">
        <f>'Satış Kanalları M3'!H6</f>
        <v>0</v>
      </c>
      <c r="I28" s="220">
        <f>'Satış Kanalları M3'!I6</f>
        <v>0</v>
      </c>
      <c r="J28" s="220">
        <f>'Satış Kanalları M3'!J6</f>
        <v>0</v>
      </c>
      <c r="K28" s="220">
        <f>'Satış Kanalları M3'!K6</f>
        <v>0</v>
      </c>
      <c r="L28" s="220">
        <f>'Satış Kanalları M3'!L6</f>
        <v>0</v>
      </c>
      <c r="M28" s="220">
        <f>'Satış Kanalları M3'!M6</f>
        <v>0</v>
      </c>
      <c r="N28" s="220">
        <f>'Satış Kanalları M3'!N6</f>
        <v>0</v>
      </c>
      <c r="O28" s="233">
        <f>'Satış Kanalları M3'!O6</f>
        <v>0</v>
      </c>
      <c r="P28" s="236">
        <f>SUM(D28:O28)</f>
        <v>0</v>
      </c>
      <c r="Q28" s="242" t="str">
        <f t="shared" si="5"/>
        <v>-</v>
      </c>
    </row>
    <row r="29" spans="1:17" ht="22.5" customHeight="1">
      <c r="A29" s="243" t="s">
        <v>183</v>
      </c>
      <c r="B29" s="237">
        <f>SUM(B25:B28)</f>
        <v>0</v>
      </c>
      <c r="C29" s="237">
        <f>SUM(C25:C28)</f>
        <v>0</v>
      </c>
      <c r="D29" s="572">
        <f>SUM(D25:D28)</f>
        <v>0</v>
      </c>
      <c r="E29" s="218">
        <f t="shared" ref="E29:O29" si="6">SUM(E25:E28)</f>
        <v>0</v>
      </c>
      <c r="F29" s="218">
        <f t="shared" si="6"/>
        <v>0</v>
      </c>
      <c r="G29" s="218">
        <f t="shared" si="6"/>
        <v>0</v>
      </c>
      <c r="H29" s="218">
        <f t="shared" si="6"/>
        <v>0</v>
      </c>
      <c r="I29" s="218">
        <f t="shared" si="6"/>
        <v>0</v>
      </c>
      <c r="J29" s="218">
        <f t="shared" si="6"/>
        <v>0</v>
      </c>
      <c r="K29" s="218">
        <f t="shared" si="6"/>
        <v>0</v>
      </c>
      <c r="L29" s="218">
        <f t="shared" si="6"/>
        <v>0</v>
      </c>
      <c r="M29" s="218">
        <f t="shared" si="6"/>
        <v>0</v>
      </c>
      <c r="N29" s="218">
        <f t="shared" si="6"/>
        <v>0</v>
      </c>
      <c r="O29" s="234">
        <f t="shared" si="6"/>
        <v>0</v>
      </c>
      <c r="P29" s="237">
        <f>SUM(P25:P28)</f>
        <v>0</v>
      </c>
      <c r="Q29" s="244" t="str">
        <f t="shared" si="5"/>
        <v>-</v>
      </c>
    </row>
    <row r="30" spans="1:17" ht="22.5" customHeight="1">
      <c r="A30" s="239" t="s">
        <v>23</v>
      </c>
      <c r="B30" s="574">
        <f>'Satış Kanalları M3'!B8</f>
        <v>0</v>
      </c>
      <c r="C30" s="574">
        <f>'Satış Kanalları M3'!C8</f>
        <v>0</v>
      </c>
      <c r="D30" s="570">
        <f>'Satış Kanalları M3'!D8</f>
        <v>0</v>
      </c>
      <c r="E30" s="219">
        <f>'Satış Kanalları M3'!E8</f>
        <v>0</v>
      </c>
      <c r="F30" s="219">
        <f>'Satış Kanalları M3'!F8</f>
        <v>0</v>
      </c>
      <c r="G30" s="219">
        <f>'Satış Kanalları M3'!G8</f>
        <v>0</v>
      </c>
      <c r="H30" s="219">
        <f>'Satış Kanalları M3'!H8</f>
        <v>0</v>
      </c>
      <c r="I30" s="219">
        <f>'Satış Kanalları M3'!I8</f>
        <v>0</v>
      </c>
      <c r="J30" s="219">
        <f>'Satış Kanalları M3'!J8</f>
        <v>0</v>
      </c>
      <c r="K30" s="219">
        <f>'Satış Kanalları M3'!K8</f>
        <v>0</v>
      </c>
      <c r="L30" s="219">
        <f>'Satış Kanalları M3'!L8</f>
        <v>0</v>
      </c>
      <c r="M30" s="219">
        <f>'Satış Kanalları M3'!M8</f>
        <v>0</v>
      </c>
      <c r="N30" s="219">
        <f>'Satış Kanalları M3'!N8</f>
        <v>0</v>
      </c>
      <c r="O30" s="232">
        <f>'Satış Kanalları M3'!O8</f>
        <v>0</v>
      </c>
      <c r="P30" s="235">
        <f>SUM(D30:O30)</f>
        <v>0</v>
      </c>
      <c r="Q30" s="240" t="str">
        <f t="shared" si="5"/>
        <v>-</v>
      </c>
    </row>
    <row r="31" spans="1:17" ht="22.5" customHeight="1" thickBot="1">
      <c r="A31" s="245" t="s">
        <v>184</v>
      </c>
      <c r="B31" s="238">
        <f t="shared" ref="B31" si="7">B29+B30</f>
        <v>0</v>
      </c>
      <c r="C31" s="238">
        <f t="shared" ref="C31:P31" si="8">C29+C30</f>
        <v>0</v>
      </c>
      <c r="D31" s="573">
        <f t="shared" si="8"/>
        <v>0</v>
      </c>
      <c r="E31" s="246">
        <f t="shared" si="8"/>
        <v>0</v>
      </c>
      <c r="F31" s="246">
        <f t="shared" si="8"/>
        <v>0</v>
      </c>
      <c r="G31" s="246">
        <f t="shared" si="8"/>
        <v>0</v>
      </c>
      <c r="H31" s="246">
        <f t="shared" si="8"/>
        <v>0</v>
      </c>
      <c r="I31" s="246">
        <f t="shared" si="8"/>
        <v>0</v>
      </c>
      <c r="J31" s="246">
        <f t="shared" si="8"/>
        <v>0</v>
      </c>
      <c r="K31" s="246">
        <f t="shared" si="8"/>
        <v>0</v>
      </c>
      <c r="L31" s="246">
        <f t="shared" si="8"/>
        <v>0</v>
      </c>
      <c r="M31" s="246">
        <f t="shared" si="8"/>
        <v>0</v>
      </c>
      <c r="N31" s="246">
        <f t="shared" si="8"/>
        <v>0</v>
      </c>
      <c r="O31" s="247">
        <f t="shared" si="8"/>
        <v>0</v>
      </c>
      <c r="P31" s="238">
        <f t="shared" si="8"/>
        <v>0</v>
      </c>
      <c r="Q31" s="248" t="str">
        <f t="shared" si="5"/>
        <v>-</v>
      </c>
    </row>
    <row r="32" spans="1:17" ht="16.5" customHeight="1" thickBot="1">
      <c r="B32" s="3"/>
      <c r="C32" s="3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9"/>
    </row>
    <row r="33" spans="1:19" ht="33" customHeight="1">
      <c r="A33" s="5"/>
      <c r="B33" s="2341" t="s">
        <v>648</v>
      </c>
      <c r="C33" s="2341" t="s">
        <v>647</v>
      </c>
      <c r="D33" s="2313" t="s">
        <v>640</v>
      </c>
      <c r="E33" s="2314"/>
      <c r="F33" s="2314"/>
      <c r="G33" s="2314"/>
      <c r="H33" s="2314"/>
      <c r="I33" s="2314"/>
      <c r="J33" s="2314"/>
      <c r="K33" s="2314"/>
      <c r="L33" s="2314"/>
      <c r="M33" s="2314"/>
      <c r="N33" s="2314"/>
      <c r="O33" s="2314"/>
      <c r="P33" s="2315"/>
      <c r="Q33" s="937" t="s">
        <v>638</v>
      </c>
    </row>
    <row r="34" spans="1:19" ht="30.75" customHeight="1" thickBot="1">
      <c r="A34" s="7"/>
      <c r="B34" s="2342"/>
      <c r="C34" s="2342"/>
      <c r="D34" s="740" t="s">
        <v>1</v>
      </c>
      <c r="E34" s="10" t="s">
        <v>2</v>
      </c>
      <c r="F34" s="10" t="s">
        <v>3</v>
      </c>
      <c r="G34" s="10" t="s">
        <v>4</v>
      </c>
      <c r="H34" s="10" t="s">
        <v>5</v>
      </c>
      <c r="I34" s="10" t="s">
        <v>6</v>
      </c>
      <c r="J34" s="10" t="s">
        <v>7</v>
      </c>
      <c r="K34" s="10" t="s">
        <v>8</v>
      </c>
      <c r="L34" s="10" t="s">
        <v>9</v>
      </c>
      <c r="M34" s="10" t="s">
        <v>10</v>
      </c>
      <c r="N34" s="10" t="s">
        <v>11</v>
      </c>
      <c r="O34" s="10" t="s">
        <v>12</v>
      </c>
      <c r="P34" s="11" t="s">
        <v>13</v>
      </c>
      <c r="Q34" s="941" t="s">
        <v>618</v>
      </c>
    </row>
    <row r="35" spans="1:19" ht="22.5" customHeight="1" thickBot="1">
      <c r="A35" s="1140" t="s">
        <v>28</v>
      </c>
      <c r="B35" s="94">
        <f>B38+B39+B44</f>
        <v>0</v>
      </c>
      <c r="C35" s="94">
        <f t="shared" ref="C35:O35" si="9">C38+C39+C44</f>
        <v>0</v>
      </c>
      <c r="D35" s="16">
        <f t="shared" si="9"/>
        <v>0</v>
      </c>
      <c r="E35" s="17">
        <f t="shared" si="9"/>
        <v>0</v>
      </c>
      <c r="F35" s="17">
        <f t="shared" si="9"/>
        <v>0</v>
      </c>
      <c r="G35" s="17">
        <f t="shared" si="9"/>
        <v>0</v>
      </c>
      <c r="H35" s="17">
        <f>H38+H39+H44</f>
        <v>0</v>
      </c>
      <c r="I35" s="17">
        <f>I38+I39+I44</f>
        <v>0</v>
      </c>
      <c r="J35" s="17">
        <f t="shared" si="9"/>
        <v>0</v>
      </c>
      <c r="K35" s="17">
        <f>K38+K39+K44</f>
        <v>0</v>
      </c>
      <c r="L35" s="17">
        <f t="shared" si="9"/>
        <v>0</v>
      </c>
      <c r="M35" s="17">
        <f t="shared" si="9"/>
        <v>0</v>
      </c>
      <c r="N35" s="17">
        <f t="shared" si="9"/>
        <v>0</v>
      </c>
      <c r="O35" s="15">
        <f t="shared" si="9"/>
        <v>0</v>
      </c>
      <c r="P35" s="94">
        <f t="shared" ref="P35:P49" si="10">SUM(D35:O35)</f>
        <v>0</v>
      </c>
      <c r="Q35" s="1130" t="str">
        <f t="shared" ref="Q35:Q50" si="11">IF(P35=0,"-",P35/C35-1)</f>
        <v>-</v>
      </c>
      <c r="R35" s="3">
        <f>+P35-' Satış Konsolide'!P25</f>
        <v>0</v>
      </c>
      <c r="S35" s="3"/>
    </row>
    <row r="36" spans="1:19" ht="16.5" customHeight="1">
      <c r="A36" s="1141" t="s">
        <v>15</v>
      </c>
      <c r="B36" s="741">
        <f>+' Satış Konsolide'!B26</f>
        <v>0</v>
      </c>
      <c r="C36" s="741">
        <f>+' Satış Konsolide'!C26</f>
        <v>0</v>
      </c>
      <c r="D36" s="22">
        <f>+' Satış Konsolide'!D26</f>
        <v>0</v>
      </c>
      <c r="E36" s="23">
        <f>+' Satış Konsolide'!E26</f>
        <v>0</v>
      </c>
      <c r="F36" s="23">
        <f>+' Satış Konsolide'!F26</f>
        <v>0</v>
      </c>
      <c r="G36" s="23">
        <f>+' Satış Konsolide'!G26</f>
        <v>0</v>
      </c>
      <c r="H36" s="24">
        <f>+' Satış Konsolide'!H26</f>
        <v>0</v>
      </c>
      <c r="I36" s="24">
        <f>+' Satış Konsolide'!I26</f>
        <v>0</v>
      </c>
      <c r="J36" s="24">
        <f>+' Satış Konsolide'!J26</f>
        <v>0</v>
      </c>
      <c r="K36" s="24">
        <f>+' Satış Konsolide'!K26</f>
        <v>0</v>
      </c>
      <c r="L36" s="24">
        <f>+' Satış Konsolide'!L26</f>
        <v>0</v>
      </c>
      <c r="M36" s="24">
        <f>+' Satış Konsolide'!M26</f>
        <v>0</v>
      </c>
      <c r="N36" s="24">
        <f>+' Satış Konsolide'!N26</f>
        <v>0</v>
      </c>
      <c r="O36" s="25">
        <f>+' Satış Konsolide'!O26</f>
        <v>0</v>
      </c>
      <c r="P36" s="1131">
        <f t="shared" si="10"/>
        <v>0</v>
      </c>
      <c r="Q36" s="1122" t="str">
        <f t="shared" si="11"/>
        <v>-</v>
      </c>
      <c r="R36" s="3">
        <f>+P36-' Satış Konsolide'!P26</f>
        <v>0</v>
      </c>
    </row>
    <row r="37" spans="1:19" ht="16.5" hidden="1" customHeight="1">
      <c r="A37" s="1142" t="s">
        <v>16</v>
      </c>
      <c r="B37" s="742">
        <f>+' Satış Konsolide'!B27</f>
        <v>0</v>
      </c>
      <c r="C37" s="742">
        <f>+' Satış Konsolide'!C27</f>
        <v>0</v>
      </c>
      <c r="D37" s="31">
        <f>+' Satış Konsolide'!D27</f>
        <v>0</v>
      </c>
      <c r="E37" s="32">
        <f>+' Satış Konsolide'!E27</f>
        <v>0</v>
      </c>
      <c r="F37" s="32">
        <f>+' Satış Konsolide'!F27</f>
        <v>0</v>
      </c>
      <c r="G37" s="32">
        <f>+' Satış Konsolide'!G27</f>
        <v>0</v>
      </c>
      <c r="H37" s="33">
        <f>+' Satış Konsolide'!H27</f>
        <v>0</v>
      </c>
      <c r="I37" s="33">
        <f>+' Satış Konsolide'!I27</f>
        <v>0</v>
      </c>
      <c r="J37" s="33">
        <f>+' Satış Konsolide'!J27</f>
        <v>0</v>
      </c>
      <c r="K37" s="33">
        <f>+' Satış Konsolide'!K27</f>
        <v>0</v>
      </c>
      <c r="L37" s="33">
        <f>+' Satış Konsolide'!L27</f>
        <v>0</v>
      </c>
      <c r="M37" s="33">
        <f>+' Satış Konsolide'!M27</f>
        <v>0</v>
      </c>
      <c r="N37" s="33">
        <f>+' Satış Konsolide'!N27</f>
        <v>0</v>
      </c>
      <c r="O37" s="34">
        <f>+' Satış Konsolide'!O27</f>
        <v>0</v>
      </c>
      <c r="P37" s="1132">
        <f t="shared" si="10"/>
        <v>0</v>
      </c>
      <c r="Q37" s="1123" t="str">
        <f t="shared" si="11"/>
        <v>-</v>
      </c>
      <c r="R37" s="3">
        <f>+P37-' Satış Konsolide'!P27</f>
        <v>0</v>
      </c>
    </row>
    <row r="38" spans="1:19" ht="15" customHeight="1">
      <c r="A38" s="1143" t="s">
        <v>27</v>
      </c>
      <c r="B38" s="743">
        <f>+' Satış Konsolide'!B28</f>
        <v>0</v>
      </c>
      <c r="C38" s="743">
        <f>+' Satış Konsolide'!C28</f>
        <v>0</v>
      </c>
      <c r="D38" s="39">
        <f>+' Satış Konsolide'!D28</f>
        <v>0</v>
      </c>
      <c r="E38" s="40">
        <f>+' Satış Konsolide'!E28</f>
        <v>0</v>
      </c>
      <c r="F38" s="40">
        <f>+' Satış Konsolide'!F28</f>
        <v>0</v>
      </c>
      <c r="G38" s="40">
        <f>+' Satış Konsolide'!G28</f>
        <v>0</v>
      </c>
      <c r="H38" s="40">
        <f>+' Satış Konsolide'!H28</f>
        <v>0</v>
      </c>
      <c r="I38" s="40">
        <f>+' Satış Konsolide'!I28</f>
        <v>0</v>
      </c>
      <c r="J38" s="40">
        <f>+' Satış Konsolide'!J28</f>
        <v>0</v>
      </c>
      <c r="K38" s="40">
        <f>+' Satış Konsolide'!K28</f>
        <v>0</v>
      </c>
      <c r="L38" s="40">
        <f>+' Satış Konsolide'!L28</f>
        <v>0</v>
      </c>
      <c r="M38" s="40">
        <f>+' Satış Konsolide'!M28</f>
        <v>0</v>
      </c>
      <c r="N38" s="40">
        <f>+' Satış Konsolide'!N28</f>
        <v>0</v>
      </c>
      <c r="O38" s="38">
        <f>+' Satış Konsolide'!O28</f>
        <v>0</v>
      </c>
      <c r="P38" s="743">
        <f t="shared" si="10"/>
        <v>0</v>
      </c>
      <c r="Q38" s="1139" t="str">
        <f t="shared" si="11"/>
        <v>-</v>
      </c>
      <c r="R38" s="3">
        <f>+P38-' Satış Konsolide'!P28</f>
        <v>0</v>
      </c>
    </row>
    <row r="39" spans="1:19" ht="16.5" customHeight="1">
      <c r="A39" s="1144" t="s">
        <v>17</v>
      </c>
      <c r="B39" s="744">
        <f>+' Satış Konsolide'!B29</f>
        <v>0</v>
      </c>
      <c r="C39" s="744">
        <f>+' Satış Konsolide'!C29</f>
        <v>0</v>
      </c>
      <c r="D39" s="45">
        <f>+' Satış Konsolide'!D29</f>
        <v>0</v>
      </c>
      <c r="E39" s="46">
        <f>+' Satış Konsolide'!E29</f>
        <v>0</v>
      </c>
      <c r="F39" s="46">
        <f>+' Satış Konsolide'!F29</f>
        <v>0</v>
      </c>
      <c r="G39" s="46">
        <f>+' Satış Konsolide'!G29</f>
        <v>0</v>
      </c>
      <c r="H39" s="46">
        <f>+' Satış Konsolide'!H29</f>
        <v>0</v>
      </c>
      <c r="I39" s="46">
        <f>+' Satış Konsolide'!I29</f>
        <v>0</v>
      </c>
      <c r="J39" s="46">
        <f>+' Satış Konsolide'!J29</f>
        <v>0</v>
      </c>
      <c r="K39" s="46">
        <f>+' Satış Konsolide'!K29</f>
        <v>0</v>
      </c>
      <c r="L39" s="46">
        <f>+' Satış Konsolide'!L29</f>
        <v>0</v>
      </c>
      <c r="M39" s="46">
        <f>+' Satış Konsolide'!M29</f>
        <v>0</v>
      </c>
      <c r="N39" s="46">
        <f>+' Satış Konsolide'!N29</f>
        <v>0</v>
      </c>
      <c r="O39" s="47">
        <f>+' Satış Konsolide'!O29</f>
        <v>0</v>
      </c>
      <c r="P39" s="1133">
        <f t="shared" si="10"/>
        <v>0</v>
      </c>
      <c r="Q39" s="1123" t="str">
        <f t="shared" si="11"/>
        <v>-</v>
      </c>
      <c r="R39" s="3">
        <f>+P39-' Satış Konsolide'!P29</f>
        <v>0</v>
      </c>
    </row>
    <row r="40" spans="1:19" ht="16.5" customHeight="1">
      <c r="A40" s="1145" t="s">
        <v>81</v>
      </c>
      <c r="B40" s="745">
        <f>+' Satış Konsolide'!B30</f>
        <v>0</v>
      </c>
      <c r="C40" s="745">
        <f>+' Satış Konsolide'!C30</f>
        <v>0</v>
      </c>
      <c r="D40" s="39">
        <f>+' Satış Konsolide'!D30</f>
        <v>0</v>
      </c>
      <c r="E40" s="40">
        <f>+' Satış Konsolide'!E30</f>
        <v>0</v>
      </c>
      <c r="F40" s="40">
        <f>+' Satış Konsolide'!F30</f>
        <v>0</v>
      </c>
      <c r="G40" s="40">
        <f>+' Satış Konsolide'!G30</f>
        <v>0</v>
      </c>
      <c r="H40" s="40">
        <f>+' Satış Konsolide'!H30</f>
        <v>0</v>
      </c>
      <c r="I40" s="40">
        <f>+' Satış Konsolide'!I30</f>
        <v>0</v>
      </c>
      <c r="J40" s="40">
        <f>+' Satış Konsolide'!J30</f>
        <v>0</v>
      </c>
      <c r="K40" s="40">
        <f>+' Satış Konsolide'!K30</f>
        <v>0</v>
      </c>
      <c r="L40" s="40">
        <f>+' Satış Konsolide'!L30</f>
        <v>0</v>
      </c>
      <c r="M40" s="40">
        <f>+' Satış Konsolide'!M30</f>
        <v>0</v>
      </c>
      <c r="N40" s="40">
        <f>+' Satış Konsolide'!N30</f>
        <v>0</v>
      </c>
      <c r="O40" s="38">
        <f>+' Satış Konsolide'!O30</f>
        <v>0</v>
      </c>
      <c r="P40" s="1134">
        <f t="shared" si="10"/>
        <v>0</v>
      </c>
      <c r="Q40" s="1125" t="str">
        <f t="shared" si="11"/>
        <v>-</v>
      </c>
      <c r="R40" s="3">
        <f>+P40-' Satış Konsolide'!P30</f>
        <v>0</v>
      </c>
    </row>
    <row r="41" spans="1:19" ht="16.5" hidden="1" customHeight="1">
      <c r="A41" s="1146" t="s">
        <v>82</v>
      </c>
      <c r="B41" s="744">
        <f>+' Satış Konsolide'!B31</f>
        <v>0</v>
      </c>
      <c r="C41" s="744">
        <f>+' Satış Konsolide'!C31</f>
        <v>0</v>
      </c>
      <c r="D41" s="45">
        <f>+' Satış Konsolide'!D31</f>
        <v>0</v>
      </c>
      <c r="E41" s="46">
        <f>+' Satış Konsolide'!E31</f>
        <v>0</v>
      </c>
      <c r="F41" s="46">
        <f>+' Satış Konsolide'!F31</f>
        <v>0</v>
      </c>
      <c r="G41" s="46">
        <f>+' Satış Konsolide'!G31</f>
        <v>0</v>
      </c>
      <c r="H41" s="46">
        <f>+' Satış Konsolide'!H31</f>
        <v>0</v>
      </c>
      <c r="I41" s="46">
        <f>+' Satış Konsolide'!I31</f>
        <v>0</v>
      </c>
      <c r="J41" s="46">
        <f>+' Satış Konsolide'!J31</f>
        <v>0</v>
      </c>
      <c r="K41" s="46">
        <f>+' Satış Konsolide'!K31</f>
        <v>0</v>
      </c>
      <c r="L41" s="46">
        <f>+' Satış Konsolide'!L31</f>
        <v>0</v>
      </c>
      <c r="M41" s="46">
        <f>+' Satış Konsolide'!M31</f>
        <v>0</v>
      </c>
      <c r="N41" s="46">
        <f>+' Satış Konsolide'!N31</f>
        <v>0</v>
      </c>
      <c r="O41" s="47">
        <f>+' Satış Konsolide'!O31</f>
        <v>0</v>
      </c>
      <c r="P41" s="1133">
        <f t="shared" si="10"/>
        <v>0</v>
      </c>
      <c r="Q41" s="1123" t="str">
        <f t="shared" si="11"/>
        <v>-</v>
      </c>
      <c r="R41" s="3">
        <f>+P41-' Satış Konsolide'!P31</f>
        <v>0</v>
      </c>
    </row>
    <row r="42" spans="1:19" ht="16.5" customHeight="1">
      <c r="A42" s="1145" t="s">
        <v>83</v>
      </c>
      <c r="B42" s="746">
        <f>+' Satış Konsolide'!B32</f>
        <v>0</v>
      </c>
      <c r="C42" s="746">
        <f>+' Satış Konsolide'!C32</f>
        <v>0</v>
      </c>
      <c r="D42" s="52">
        <f>+' Satış Konsolide'!D32</f>
        <v>0</v>
      </c>
      <c r="E42" s="53">
        <f>+' Satış Konsolide'!E32</f>
        <v>0</v>
      </c>
      <c r="F42" s="53">
        <f>+' Satış Konsolide'!F32</f>
        <v>0</v>
      </c>
      <c r="G42" s="53">
        <f>+' Satış Konsolide'!G32</f>
        <v>0</v>
      </c>
      <c r="H42" s="53">
        <f>+' Satış Konsolide'!H32</f>
        <v>0</v>
      </c>
      <c r="I42" s="53">
        <f>+' Satış Konsolide'!I32</f>
        <v>0</v>
      </c>
      <c r="J42" s="53">
        <f>+' Satış Konsolide'!J32</f>
        <v>0</v>
      </c>
      <c r="K42" s="53">
        <f>+' Satış Konsolide'!K32</f>
        <v>0</v>
      </c>
      <c r="L42" s="53">
        <f>+' Satış Konsolide'!L32</f>
        <v>0</v>
      </c>
      <c r="M42" s="53">
        <f>+' Satış Konsolide'!M32</f>
        <v>0</v>
      </c>
      <c r="N42" s="53">
        <f>+' Satış Konsolide'!N32</f>
        <v>0</v>
      </c>
      <c r="O42" s="55">
        <f>+' Satış Konsolide'!O32</f>
        <v>0</v>
      </c>
      <c r="P42" s="1134">
        <f t="shared" si="10"/>
        <v>0</v>
      </c>
      <c r="Q42" s="1125" t="str">
        <f t="shared" si="11"/>
        <v>-</v>
      </c>
      <c r="R42" s="3">
        <f>+P42-' Satış Konsolide'!P32</f>
        <v>0</v>
      </c>
    </row>
    <row r="43" spans="1:19" ht="16.5" hidden="1" customHeight="1">
      <c r="A43" s="1146" t="s">
        <v>84</v>
      </c>
      <c r="B43" s="742">
        <f>+' Satış Konsolide'!B33</f>
        <v>0</v>
      </c>
      <c r="C43" s="742">
        <f>+' Satış Konsolide'!C33</f>
        <v>0</v>
      </c>
      <c r="D43" s="59">
        <f>+' Satış Konsolide'!D33</f>
        <v>0</v>
      </c>
      <c r="E43" s="33">
        <f>+' Satış Konsolide'!E33</f>
        <v>0</v>
      </c>
      <c r="F43" s="33">
        <f>+' Satış Konsolide'!F33</f>
        <v>0</v>
      </c>
      <c r="G43" s="33">
        <f>+' Satış Konsolide'!G33</f>
        <v>0</v>
      </c>
      <c r="H43" s="33">
        <f>+' Satış Konsolide'!H33</f>
        <v>0</v>
      </c>
      <c r="I43" s="32">
        <f>+' Satış Konsolide'!I33</f>
        <v>0</v>
      </c>
      <c r="J43" s="32">
        <f>+' Satış Konsolide'!J33</f>
        <v>0</v>
      </c>
      <c r="K43" s="33">
        <f>+' Satış Konsolide'!K33</f>
        <v>0</v>
      </c>
      <c r="L43" s="33">
        <f>+' Satış Konsolide'!L33</f>
        <v>0</v>
      </c>
      <c r="M43" s="33">
        <f>+' Satış Konsolide'!M33</f>
        <v>0</v>
      </c>
      <c r="N43" s="33">
        <f>+' Satış Konsolide'!N33</f>
        <v>0</v>
      </c>
      <c r="O43" s="34">
        <f>+' Satış Konsolide'!O33</f>
        <v>0</v>
      </c>
      <c r="P43" s="1133">
        <f t="shared" si="10"/>
        <v>0</v>
      </c>
      <c r="Q43" s="1123" t="str">
        <f t="shared" si="11"/>
        <v>-</v>
      </c>
      <c r="R43" s="3">
        <f>+P43-' Satış Konsolide'!P33</f>
        <v>0</v>
      </c>
    </row>
    <row r="44" spans="1:19" ht="15" customHeight="1" thickBot="1">
      <c r="A44" s="1147" t="s">
        <v>18</v>
      </c>
      <c r="B44" s="747">
        <f>+' Satış Konsolide'!B34</f>
        <v>0</v>
      </c>
      <c r="C44" s="747">
        <f>+' Satış Konsolide'!C34</f>
        <v>0</v>
      </c>
      <c r="D44" s="63">
        <f>+' Satış Konsolide'!D34</f>
        <v>0</v>
      </c>
      <c r="E44" s="64">
        <f>+' Satış Konsolide'!E34</f>
        <v>0</v>
      </c>
      <c r="F44" s="64">
        <f>+' Satış Konsolide'!F34</f>
        <v>0</v>
      </c>
      <c r="G44" s="64">
        <f>+' Satış Konsolide'!G34</f>
        <v>0</v>
      </c>
      <c r="H44" s="64">
        <f>+' Satış Konsolide'!H34</f>
        <v>0</v>
      </c>
      <c r="I44" s="64">
        <f>+' Satış Konsolide'!I34</f>
        <v>0</v>
      </c>
      <c r="J44" s="64">
        <f>+' Satış Konsolide'!J34</f>
        <v>0</v>
      </c>
      <c r="K44" s="64">
        <f>+' Satış Konsolide'!K34</f>
        <v>0</v>
      </c>
      <c r="L44" s="64">
        <f>+' Satış Konsolide'!L34</f>
        <v>0</v>
      </c>
      <c r="M44" s="64">
        <f>+' Satış Konsolide'!M34</f>
        <v>0</v>
      </c>
      <c r="N44" s="64">
        <f>+' Satış Konsolide'!N34</f>
        <v>0</v>
      </c>
      <c r="O44" s="62">
        <f>+' Satış Konsolide'!O34</f>
        <v>0</v>
      </c>
      <c r="P44" s="747">
        <f t="shared" si="10"/>
        <v>0</v>
      </c>
      <c r="Q44" s="1126" t="str">
        <f t="shared" si="11"/>
        <v>-</v>
      </c>
      <c r="R44" s="3">
        <f>+P44-' Satış Konsolide'!P34</f>
        <v>0</v>
      </c>
    </row>
    <row r="45" spans="1:19" ht="22.5" customHeight="1" thickBot="1">
      <c r="A45" s="1140" t="s">
        <v>29</v>
      </c>
      <c r="B45" s="748">
        <f>SUM(B46:B47)</f>
        <v>0</v>
      </c>
      <c r="C45" s="748">
        <f t="shared" ref="C45:O45" si="12">SUM(C46:C47)</f>
        <v>0</v>
      </c>
      <c r="D45" s="68">
        <f t="shared" si="12"/>
        <v>0</v>
      </c>
      <c r="E45" s="69">
        <f t="shared" si="12"/>
        <v>0</v>
      </c>
      <c r="F45" s="69">
        <f t="shared" si="12"/>
        <v>0</v>
      </c>
      <c r="G45" s="69">
        <f t="shared" si="12"/>
        <v>0</v>
      </c>
      <c r="H45" s="69">
        <f t="shared" si="12"/>
        <v>0</v>
      </c>
      <c r="I45" s="69">
        <f t="shared" si="12"/>
        <v>0</v>
      </c>
      <c r="J45" s="69">
        <f t="shared" si="12"/>
        <v>0</v>
      </c>
      <c r="K45" s="69">
        <f t="shared" si="12"/>
        <v>0</v>
      </c>
      <c r="L45" s="69">
        <f t="shared" si="12"/>
        <v>0</v>
      </c>
      <c r="M45" s="69">
        <f t="shared" si="12"/>
        <v>0</v>
      </c>
      <c r="N45" s="69">
        <f t="shared" si="12"/>
        <v>0</v>
      </c>
      <c r="O45" s="70">
        <f t="shared" si="12"/>
        <v>0</v>
      </c>
      <c r="P45" s="748">
        <f t="shared" si="10"/>
        <v>0</v>
      </c>
      <c r="Q45" s="1105" t="str">
        <f t="shared" si="11"/>
        <v>-</v>
      </c>
      <c r="R45" s="3">
        <f>+P45-' Satış Konsolide'!P35</f>
        <v>0</v>
      </c>
    </row>
    <row r="46" spans="1:19" ht="16.5" customHeight="1">
      <c r="A46" s="72" t="s">
        <v>19</v>
      </c>
      <c r="B46" s="749">
        <f>+' Satış Konsolide'!B36</f>
        <v>0</v>
      </c>
      <c r="C46" s="749">
        <f>+' Satış Konsolide'!C36</f>
        <v>0</v>
      </c>
      <c r="D46" s="75">
        <f>+' Satış Konsolide'!D36</f>
        <v>0</v>
      </c>
      <c r="E46" s="75">
        <f>+' Satış Konsolide'!E36</f>
        <v>0</v>
      </c>
      <c r="F46" s="75">
        <f>+' Satış Konsolide'!F36</f>
        <v>0</v>
      </c>
      <c r="G46" s="75">
        <f>+' Satış Konsolide'!G36</f>
        <v>0</v>
      </c>
      <c r="H46" s="75">
        <f>+' Satış Konsolide'!H36</f>
        <v>0</v>
      </c>
      <c r="I46" s="75">
        <f>+' Satış Konsolide'!I36</f>
        <v>0</v>
      </c>
      <c r="J46" s="75">
        <f>+' Satış Konsolide'!J36</f>
        <v>0</v>
      </c>
      <c r="K46" s="75">
        <f>+' Satış Konsolide'!K36</f>
        <v>0</v>
      </c>
      <c r="L46" s="75">
        <f>+' Satış Konsolide'!L36</f>
        <v>0</v>
      </c>
      <c r="M46" s="75">
        <f>+' Satış Konsolide'!M36</f>
        <v>0</v>
      </c>
      <c r="N46" s="75">
        <f>+' Satış Konsolide'!N36</f>
        <v>0</v>
      </c>
      <c r="O46" s="75">
        <f>+' Satış Konsolide'!O36</f>
        <v>0</v>
      </c>
      <c r="P46" s="1135">
        <f t="shared" si="10"/>
        <v>0</v>
      </c>
      <c r="Q46" s="1127" t="str">
        <f t="shared" si="11"/>
        <v>-</v>
      </c>
      <c r="R46" s="3">
        <f>+P46-' Satış Konsolide'!P36</f>
        <v>0</v>
      </c>
    </row>
    <row r="47" spans="1:19" ht="16.5" customHeight="1" thickBot="1">
      <c r="A47" s="80" t="s">
        <v>20</v>
      </c>
      <c r="B47" s="750">
        <f>+' Satış Konsolide'!B37</f>
        <v>0</v>
      </c>
      <c r="C47" s="750">
        <f>+' Satış Konsolide'!C37</f>
        <v>0</v>
      </c>
      <c r="D47" s="83">
        <f>+' Satış Konsolide'!D37</f>
        <v>0</v>
      </c>
      <c r="E47" s="83">
        <f>+' Satış Konsolide'!E37</f>
        <v>0</v>
      </c>
      <c r="F47" s="83">
        <f>+' Satış Konsolide'!F37</f>
        <v>0</v>
      </c>
      <c r="G47" s="83">
        <f>+' Satış Konsolide'!G37</f>
        <v>0</v>
      </c>
      <c r="H47" s="83">
        <f>+' Satış Konsolide'!H37</f>
        <v>0</v>
      </c>
      <c r="I47" s="83">
        <f>+' Satış Konsolide'!I37</f>
        <v>0</v>
      </c>
      <c r="J47" s="83">
        <f>+' Satış Konsolide'!J37</f>
        <v>0</v>
      </c>
      <c r="K47" s="83">
        <f>+' Satış Konsolide'!K37</f>
        <v>0</v>
      </c>
      <c r="L47" s="83">
        <f>+' Satış Konsolide'!L37</f>
        <v>0</v>
      </c>
      <c r="M47" s="83">
        <f>+' Satış Konsolide'!M37</f>
        <v>0</v>
      </c>
      <c r="N47" s="83">
        <f>+' Satış Konsolide'!N37</f>
        <v>0</v>
      </c>
      <c r="O47" s="83">
        <f>+' Satış Konsolide'!O37</f>
        <v>0</v>
      </c>
      <c r="P47" s="1136">
        <f t="shared" si="10"/>
        <v>0</v>
      </c>
      <c r="Q47" s="1128" t="str">
        <f t="shared" si="11"/>
        <v>-</v>
      </c>
      <c r="R47" s="3">
        <f>+P47-' Satış Konsolide'!P37</f>
        <v>0</v>
      </c>
    </row>
    <row r="48" spans="1:19" ht="22.5" customHeight="1" thickBot="1">
      <c r="A48" s="1140" t="s">
        <v>30</v>
      </c>
      <c r="B48" s="748">
        <f>SUM(B49:B50)</f>
        <v>0.16949</v>
      </c>
      <c r="C48" s="748">
        <f>SUM(C49:C50)</f>
        <v>0</v>
      </c>
      <c r="D48" s="68">
        <f>SUM(D49:D50)</f>
        <v>0</v>
      </c>
      <c r="E48" s="69">
        <f t="shared" ref="E48:O48" si="13">SUM(E49:E50)</f>
        <v>0</v>
      </c>
      <c r="F48" s="69">
        <f t="shared" si="13"/>
        <v>0</v>
      </c>
      <c r="G48" s="69">
        <f t="shared" si="13"/>
        <v>0</v>
      </c>
      <c r="H48" s="69">
        <f t="shared" si="13"/>
        <v>0</v>
      </c>
      <c r="I48" s="69">
        <f t="shared" si="13"/>
        <v>0</v>
      </c>
      <c r="J48" s="69">
        <f t="shared" si="13"/>
        <v>0</v>
      </c>
      <c r="K48" s="69">
        <f t="shared" si="13"/>
        <v>0</v>
      </c>
      <c r="L48" s="69">
        <f t="shared" si="13"/>
        <v>0</v>
      </c>
      <c r="M48" s="69">
        <f t="shared" si="13"/>
        <v>0</v>
      </c>
      <c r="N48" s="69">
        <f t="shared" si="13"/>
        <v>0</v>
      </c>
      <c r="O48" s="70">
        <f t="shared" si="13"/>
        <v>0</v>
      </c>
      <c r="P48" s="748">
        <f t="shared" si="10"/>
        <v>0</v>
      </c>
      <c r="Q48" s="1105" t="str">
        <f t="shared" si="11"/>
        <v>-</v>
      </c>
      <c r="R48" s="3">
        <f>+P48-' Satış Konsolide'!P38</f>
        <v>0</v>
      </c>
    </row>
    <row r="49" spans="1:19" ht="16.5" customHeight="1">
      <c r="A49" s="72" t="s">
        <v>106</v>
      </c>
      <c r="B49" s="749">
        <f>+' Satış Konsolide'!B39</f>
        <v>0.16949</v>
      </c>
      <c r="C49" s="749">
        <f>+' Satış Konsolide'!C39</f>
        <v>0</v>
      </c>
      <c r="D49" s="75">
        <f>+' Satış Konsolide'!D39</f>
        <v>0</v>
      </c>
      <c r="E49" s="75">
        <f>+' Satış Konsolide'!E39</f>
        <v>0</v>
      </c>
      <c r="F49" s="75">
        <f>+' Satış Konsolide'!F39</f>
        <v>0</v>
      </c>
      <c r="G49" s="75">
        <f>+' Satış Konsolide'!G39</f>
        <v>0</v>
      </c>
      <c r="H49" s="75">
        <f>+' Satış Konsolide'!H39</f>
        <v>0</v>
      </c>
      <c r="I49" s="75">
        <f>+' Satış Konsolide'!I39</f>
        <v>0</v>
      </c>
      <c r="J49" s="75">
        <f>+' Satış Konsolide'!J39</f>
        <v>0</v>
      </c>
      <c r="K49" s="75">
        <f>+' Satış Konsolide'!K39</f>
        <v>0</v>
      </c>
      <c r="L49" s="75">
        <f>+' Satış Konsolide'!L39</f>
        <v>0</v>
      </c>
      <c r="M49" s="75">
        <f>+' Satış Konsolide'!M39</f>
        <v>0</v>
      </c>
      <c r="N49" s="75">
        <f>+' Satış Konsolide'!N39</f>
        <v>0</v>
      </c>
      <c r="O49" s="75">
        <f>+' Satış Konsolide'!O39</f>
        <v>0</v>
      </c>
      <c r="P49" s="1135">
        <f t="shared" si="10"/>
        <v>0</v>
      </c>
      <c r="Q49" s="1127" t="str">
        <f t="shared" si="11"/>
        <v>-</v>
      </c>
      <c r="R49" s="3">
        <f>+P49-' Satış Konsolide'!P39</f>
        <v>0</v>
      </c>
    </row>
    <row r="50" spans="1:19" ht="16.5" customHeight="1" thickBot="1">
      <c r="A50" s="122" t="s">
        <v>105</v>
      </c>
      <c r="B50" s="751">
        <f>+' Satış Konsolide'!B40</f>
        <v>0</v>
      </c>
      <c r="C50" s="751">
        <f>+' Satış Konsolide'!C40</f>
        <v>0</v>
      </c>
      <c r="D50" s="125">
        <f>+' Satış Konsolide'!D40</f>
        <v>0</v>
      </c>
      <c r="E50" s="125">
        <f>+' Satış Konsolide'!E40</f>
        <v>0</v>
      </c>
      <c r="F50" s="125">
        <f>+' Satış Konsolide'!F40</f>
        <v>0</v>
      </c>
      <c r="G50" s="125">
        <f>+' Satış Konsolide'!G40</f>
        <v>0</v>
      </c>
      <c r="H50" s="125">
        <f>+' Satış Konsolide'!H40</f>
        <v>0</v>
      </c>
      <c r="I50" s="125">
        <f>+' Satış Konsolide'!I40</f>
        <v>0</v>
      </c>
      <c r="J50" s="125">
        <f>+' Satış Konsolide'!J40</f>
        <v>0</v>
      </c>
      <c r="K50" s="125">
        <f>+' Satış Konsolide'!K40</f>
        <v>0</v>
      </c>
      <c r="L50" s="125">
        <f>+' Satış Konsolide'!L40</f>
        <v>0</v>
      </c>
      <c r="M50" s="125">
        <f>+' Satış Konsolide'!M40</f>
        <v>0</v>
      </c>
      <c r="N50" s="125">
        <f>+' Satış Konsolide'!N40</f>
        <v>0</v>
      </c>
      <c r="O50" s="125">
        <f>+' Satış Konsolide'!O40</f>
        <v>0</v>
      </c>
      <c r="P50" s="1137">
        <f>SUM(D50:O50)</f>
        <v>0</v>
      </c>
      <c r="Q50" s="1129" t="str">
        <f t="shared" si="11"/>
        <v>-</v>
      </c>
      <c r="R50" s="3">
        <f>+P50-' Satış Konsolide'!P40</f>
        <v>0</v>
      </c>
    </row>
    <row r="51" spans="1:19" ht="16.5" customHeight="1" thickBot="1">
      <c r="B51" s="3"/>
      <c r="C51" s="3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9"/>
      <c r="R51" s="3">
        <f>+P51-' Satış Konsolide'!P41</f>
        <v>0</v>
      </c>
    </row>
    <row r="52" spans="1:19" ht="22.5" customHeight="1" thickBot="1">
      <c r="A52" s="13" t="s">
        <v>86</v>
      </c>
      <c r="B52" s="15">
        <f>+' Satış Konsolide'!B42</f>
        <v>0</v>
      </c>
      <c r="C52" s="15">
        <f>+' Satış Konsolide'!C42</f>
        <v>0</v>
      </c>
      <c r="D52" s="16">
        <f>+' Satış Konsolide'!D42</f>
        <v>0</v>
      </c>
      <c r="E52" s="16">
        <f>+' Satış Konsolide'!E42</f>
        <v>0</v>
      </c>
      <c r="F52" s="16">
        <f>+' Satış Konsolide'!F42</f>
        <v>0</v>
      </c>
      <c r="G52" s="16">
        <f>+' Satış Konsolide'!G42</f>
        <v>0</v>
      </c>
      <c r="H52" s="16">
        <f>+' Satış Konsolide'!H42</f>
        <v>0</v>
      </c>
      <c r="I52" s="16">
        <f>+' Satış Konsolide'!I42</f>
        <v>0</v>
      </c>
      <c r="J52" s="16">
        <f>+' Satış Konsolide'!J42</f>
        <v>0</v>
      </c>
      <c r="K52" s="16">
        <f>+' Satış Konsolide'!K42</f>
        <v>0</v>
      </c>
      <c r="L52" s="16">
        <f>+' Satış Konsolide'!L42</f>
        <v>0</v>
      </c>
      <c r="M52" s="16">
        <f>+' Satış Konsolide'!M42</f>
        <v>0</v>
      </c>
      <c r="N52" s="16">
        <f>+' Satış Konsolide'!N42</f>
        <v>0</v>
      </c>
      <c r="O52" s="16">
        <f>+' Satış Konsolide'!O42</f>
        <v>0</v>
      </c>
      <c r="P52" s="14">
        <f>SUM(D52:O52)</f>
        <v>0</v>
      </c>
      <c r="Q52" s="18" t="str">
        <f>IF(P52=0,"-",P52/C52-1)</f>
        <v>-</v>
      </c>
      <c r="R52" s="3">
        <f>+P52-' Satış Konsolide'!P42</f>
        <v>0</v>
      </c>
    </row>
    <row r="53" spans="1:19" s="93" customFormat="1" ht="14.25" customHeight="1" thickBot="1">
      <c r="A53" s="90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>
        <f>SUM(D53:O53)</f>
        <v>0</v>
      </c>
      <c r="Q53" s="92"/>
      <c r="R53" s="3">
        <f>+P53-' Satış Konsolide'!P43</f>
        <v>0</v>
      </c>
    </row>
    <row r="54" spans="1:19" s="93" customFormat="1" ht="23.25" customHeight="1" thickBot="1">
      <c r="A54" s="13" t="s">
        <v>31</v>
      </c>
      <c r="B54" s="15">
        <f>+' Satış Konsolide'!B44</f>
        <v>0.16949</v>
      </c>
      <c r="C54" s="15">
        <f>+' Satış Konsolide'!C44</f>
        <v>0</v>
      </c>
      <c r="D54" s="16">
        <f>+' Satış Konsolide'!D44</f>
        <v>0</v>
      </c>
      <c r="E54" s="16">
        <f>+' Satış Konsolide'!E44</f>
        <v>0</v>
      </c>
      <c r="F54" s="16">
        <f>+' Satış Konsolide'!F44</f>
        <v>0</v>
      </c>
      <c r="G54" s="16">
        <f>+' Satış Konsolide'!G44</f>
        <v>0</v>
      </c>
      <c r="H54" s="16">
        <f>+' Satış Konsolide'!H44</f>
        <v>0</v>
      </c>
      <c r="I54" s="16">
        <f>+' Satış Konsolide'!I44</f>
        <v>0</v>
      </c>
      <c r="J54" s="16">
        <f>+' Satış Konsolide'!J44</f>
        <v>0</v>
      </c>
      <c r="K54" s="16">
        <f>+' Satış Konsolide'!K44</f>
        <v>0</v>
      </c>
      <c r="L54" s="16">
        <f>+' Satış Konsolide'!L44</f>
        <v>0</v>
      </c>
      <c r="M54" s="16">
        <f>+' Satış Konsolide'!M44</f>
        <v>0</v>
      </c>
      <c r="N54" s="16">
        <f>+' Satış Konsolide'!N44</f>
        <v>0</v>
      </c>
      <c r="O54" s="16">
        <f>+' Satış Konsolide'!O44</f>
        <v>0</v>
      </c>
      <c r="P54" s="14">
        <f>SUM(D54:O54)</f>
        <v>0</v>
      </c>
      <c r="Q54" s="18" t="str">
        <f>IF(P54=0,"-",P54/C54-1)</f>
        <v>-</v>
      </c>
      <c r="R54" s="3">
        <f>+P54-' Satış Konsolide'!P44</f>
        <v>0</v>
      </c>
    </row>
    <row r="55" spans="1:19" s="93" customFormat="1" ht="23.25" customHeight="1" thickBot="1">
      <c r="A55" s="90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2"/>
      <c r="R55" s="3">
        <f>+P55-' Satış Konsolide'!P45</f>
        <v>0</v>
      </c>
    </row>
    <row r="56" spans="1:19" ht="33" customHeight="1">
      <c r="A56" s="5"/>
      <c r="B56" s="2341" t="s">
        <v>648</v>
      </c>
      <c r="C56" s="2341" t="s">
        <v>647</v>
      </c>
      <c r="D56" s="2313" t="s">
        <v>641</v>
      </c>
      <c r="E56" s="2314"/>
      <c r="F56" s="2314"/>
      <c r="G56" s="2314"/>
      <c r="H56" s="2314"/>
      <c r="I56" s="2314"/>
      <c r="J56" s="2314"/>
      <c r="K56" s="2314"/>
      <c r="L56" s="2314"/>
      <c r="M56" s="2314"/>
      <c r="N56" s="2314"/>
      <c r="O56" s="2314"/>
      <c r="P56" s="2315"/>
      <c r="Q56" s="937" t="s">
        <v>638</v>
      </c>
      <c r="R56" s="3">
        <f>+P56-' Satış Konsolide'!P46</f>
        <v>0</v>
      </c>
    </row>
    <row r="57" spans="1:19" ht="30.75" customHeight="1" thickBot="1">
      <c r="A57" s="7"/>
      <c r="B57" s="2342"/>
      <c r="C57" s="2342"/>
      <c r="D57" s="740" t="s">
        <v>1</v>
      </c>
      <c r="E57" s="10" t="s">
        <v>2</v>
      </c>
      <c r="F57" s="10" t="s">
        <v>3</v>
      </c>
      <c r="G57" s="10" t="s">
        <v>4</v>
      </c>
      <c r="H57" s="10" t="s">
        <v>5</v>
      </c>
      <c r="I57" s="10" t="s">
        <v>6</v>
      </c>
      <c r="J57" s="10" t="s">
        <v>7</v>
      </c>
      <c r="K57" s="10" t="s">
        <v>8</v>
      </c>
      <c r="L57" s="10" t="s">
        <v>9</v>
      </c>
      <c r="M57" s="10" t="s">
        <v>10</v>
      </c>
      <c r="N57" s="10" t="s">
        <v>11</v>
      </c>
      <c r="O57" s="10" t="s">
        <v>12</v>
      </c>
      <c r="P57" s="11" t="s">
        <v>13</v>
      </c>
      <c r="Q57" s="941" t="s">
        <v>618</v>
      </c>
      <c r="R57" s="3" t="e">
        <f>+P57-' Satış Konsolide'!P47</f>
        <v>#VALUE!</v>
      </c>
    </row>
    <row r="58" spans="1:19" ht="22.5" customHeight="1" thickBot="1">
      <c r="A58" s="1140" t="s">
        <v>28</v>
      </c>
      <c r="B58" s="94">
        <f>B61+B62+B67</f>
        <v>0</v>
      </c>
      <c r="C58" s="94">
        <f t="shared" ref="C58:O58" si="14">C61+C62+C67</f>
        <v>0</v>
      </c>
      <c r="D58" s="16">
        <f>D61+D62+D67</f>
        <v>0</v>
      </c>
      <c r="E58" s="17">
        <f t="shared" si="14"/>
        <v>0</v>
      </c>
      <c r="F58" s="17">
        <f t="shared" si="14"/>
        <v>0</v>
      </c>
      <c r="G58" s="17">
        <f t="shared" si="14"/>
        <v>0</v>
      </c>
      <c r="H58" s="17">
        <f t="shared" si="14"/>
        <v>0</v>
      </c>
      <c r="I58" s="17">
        <f t="shared" si="14"/>
        <v>0</v>
      </c>
      <c r="J58" s="17">
        <f t="shared" si="14"/>
        <v>0</v>
      </c>
      <c r="K58" s="17">
        <f t="shared" si="14"/>
        <v>0</v>
      </c>
      <c r="L58" s="17">
        <f t="shared" si="14"/>
        <v>0</v>
      </c>
      <c r="M58" s="17">
        <f t="shared" si="14"/>
        <v>0</v>
      </c>
      <c r="N58" s="17">
        <f t="shared" si="14"/>
        <v>0</v>
      </c>
      <c r="O58" s="15">
        <f t="shared" si="14"/>
        <v>0</v>
      </c>
      <c r="P58" s="94">
        <f>SUM(D58:O58)</f>
        <v>0</v>
      </c>
      <c r="Q58" s="1130" t="str">
        <f t="shared" ref="Q58:Q73" si="15">IF(P58=0,"-",P58/C58-1)</f>
        <v>-</v>
      </c>
      <c r="R58" s="3">
        <f>+P58-' Satış Konsolide'!P48</f>
        <v>0</v>
      </c>
    </row>
    <row r="59" spans="1:19" ht="16.5" customHeight="1">
      <c r="A59" s="1141" t="s">
        <v>15</v>
      </c>
      <c r="B59" s="741">
        <f>+' Satış Konsolide'!B49</f>
        <v>0</v>
      </c>
      <c r="C59" s="741">
        <f>+' Satış Konsolide'!C49</f>
        <v>0</v>
      </c>
      <c r="D59" s="22">
        <f>+' Satış Konsolide'!D49</f>
        <v>0</v>
      </c>
      <c r="E59" s="22">
        <f>+' Satış Konsolide'!E49</f>
        <v>0</v>
      </c>
      <c r="F59" s="22">
        <f>+' Satış Konsolide'!F49</f>
        <v>0</v>
      </c>
      <c r="G59" s="22">
        <f>+' Satış Konsolide'!G49</f>
        <v>0</v>
      </c>
      <c r="H59" s="22">
        <f>+' Satış Konsolide'!H49</f>
        <v>0</v>
      </c>
      <c r="I59" s="22">
        <f>+' Satış Konsolide'!I49</f>
        <v>0</v>
      </c>
      <c r="J59" s="22">
        <f>+' Satış Konsolide'!J49</f>
        <v>0</v>
      </c>
      <c r="K59" s="22">
        <f>+' Satış Konsolide'!K49</f>
        <v>0</v>
      </c>
      <c r="L59" s="22">
        <f>+' Satış Konsolide'!L49</f>
        <v>0</v>
      </c>
      <c r="M59" s="22">
        <f>+' Satış Konsolide'!M49</f>
        <v>0</v>
      </c>
      <c r="N59" s="22">
        <f>+' Satış Konsolide'!N49</f>
        <v>0</v>
      </c>
      <c r="O59" s="22">
        <f>+' Satış Konsolide'!O49</f>
        <v>0</v>
      </c>
      <c r="P59" s="1131">
        <f t="shared" ref="P59:P73" si="16">SUM(D59:O59)</f>
        <v>0</v>
      </c>
      <c r="Q59" s="1122" t="str">
        <f>IF(P59=0,"-",P59/C59-1)</f>
        <v>-</v>
      </c>
      <c r="R59" s="3">
        <f>+P59-' Satış Konsolide'!P49</f>
        <v>0</v>
      </c>
      <c r="S59" s="3"/>
    </row>
    <row r="60" spans="1:19" ht="16.5" hidden="1" customHeight="1">
      <c r="A60" s="1142" t="s">
        <v>16</v>
      </c>
      <c r="B60" s="741">
        <f>+' Satış Konsolide'!B50</f>
        <v>0</v>
      </c>
      <c r="C60" s="741">
        <f>+' Satış Konsolide'!C50</f>
        <v>0</v>
      </c>
      <c r="D60" s="22">
        <f>+' Satış Konsolide'!D50</f>
        <v>0</v>
      </c>
      <c r="E60" s="22">
        <f>+' Satış Konsolide'!E50</f>
        <v>0</v>
      </c>
      <c r="F60" s="22">
        <f>+' Satış Konsolide'!F50</f>
        <v>0</v>
      </c>
      <c r="G60" s="22">
        <f>+' Satış Konsolide'!G50</f>
        <v>0</v>
      </c>
      <c r="H60" s="22">
        <f>+' Satış Konsolide'!H50</f>
        <v>0</v>
      </c>
      <c r="I60" s="22">
        <f>+' Satış Konsolide'!I50</f>
        <v>0</v>
      </c>
      <c r="J60" s="22">
        <f>+' Satış Konsolide'!J50</f>
        <v>0</v>
      </c>
      <c r="K60" s="22">
        <f>+' Satış Konsolide'!K50</f>
        <v>0</v>
      </c>
      <c r="L60" s="22">
        <f>+' Satış Konsolide'!L50</f>
        <v>0</v>
      </c>
      <c r="M60" s="22">
        <f>+' Satış Konsolide'!M50</f>
        <v>0</v>
      </c>
      <c r="N60" s="22">
        <f>+' Satış Konsolide'!N50</f>
        <v>0</v>
      </c>
      <c r="O60" s="22">
        <f>+' Satış Konsolide'!O50</f>
        <v>0</v>
      </c>
      <c r="P60" s="1132">
        <f t="shared" si="16"/>
        <v>0</v>
      </c>
      <c r="Q60" s="1123" t="str">
        <f>IF(P60=0,"-",P60/C60-1)</f>
        <v>-</v>
      </c>
      <c r="R60" s="3">
        <f>+P60-' Satış Konsolide'!P50</f>
        <v>0</v>
      </c>
      <c r="S60" s="3"/>
    </row>
    <row r="61" spans="1:19" ht="15" customHeight="1">
      <c r="A61" s="1143" t="s">
        <v>27</v>
      </c>
      <c r="B61" s="741">
        <f>+' Satış Konsolide'!B51</f>
        <v>0</v>
      </c>
      <c r="C61" s="741">
        <f>+' Satış Konsolide'!C51</f>
        <v>0</v>
      </c>
      <c r="D61" s="22">
        <f>+' Satış Konsolide'!D51</f>
        <v>0</v>
      </c>
      <c r="E61" s="22">
        <f>+' Satış Konsolide'!E51</f>
        <v>0</v>
      </c>
      <c r="F61" s="22">
        <f>+' Satış Konsolide'!F51</f>
        <v>0</v>
      </c>
      <c r="G61" s="22">
        <f>+' Satış Konsolide'!G51</f>
        <v>0</v>
      </c>
      <c r="H61" s="22">
        <f>+' Satış Konsolide'!H51</f>
        <v>0</v>
      </c>
      <c r="I61" s="22">
        <f>+' Satış Konsolide'!I51</f>
        <v>0</v>
      </c>
      <c r="J61" s="22">
        <f>+' Satış Konsolide'!J51</f>
        <v>0</v>
      </c>
      <c r="K61" s="22">
        <f>+' Satış Konsolide'!K51</f>
        <v>0</v>
      </c>
      <c r="L61" s="22">
        <f>+' Satış Konsolide'!L51</f>
        <v>0</v>
      </c>
      <c r="M61" s="22">
        <f>+' Satış Konsolide'!M51</f>
        <v>0</v>
      </c>
      <c r="N61" s="22">
        <f>+' Satış Konsolide'!N51</f>
        <v>0</v>
      </c>
      <c r="O61" s="22">
        <f>+' Satış Konsolide'!O51</f>
        <v>0</v>
      </c>
      <c r="P61" s="743">
        <f t="shared" si="16"/>
        <v>0</v>
      </c>
      <c r="Q61" s="1139" t="str">
        <f>IF(P61=0,"-",P61/C61-1)</f>
        <v>-</v>
      </c>
      <c r="R61" s="3">
        <f>+P61-' Satış Konsolide'!P51</f>
        <v>0</v>
      </c>
      <c r="S61" s="3"/>
    </row>
    <row r="62" spans="1:19" ht="16.5" customHeight="1">
      <c r="A62" s="1144" t="s">
        <v>17</v>
      </c>
      <c r="B62" s="741">
        <f>+' Satış Konsolide'!B52</f>
        <v>0</v>
      </c>
      <c r="C62" s="741">
        <f>+' Satış Konsolide'!C52</f>
        <v>0</v>
      </c>
      <c r="D62" s="22">
        <f>+' Satış Konsolide'!D52</f>
        <v>0</v>
      </c>
      <c r="E62" s="22">
        <f>+' Satış Konsolide'!E52</f>
        <v>0</v>
      </c>
      <c r="F62" s="22">
        <f>+' Satış Konsolide'!F52</f>
        <v>0</v>
      </c>
      <c r="G62" s="22">
        <f>+' Satış Konsolide'!G52</f>
        <v>0</v>
      </c>
      <c r="H62" s="22">
        <f>+' Satış Konsolide'!H52</f>
        <v>0</v>
      </c>
      <c r="I62" s="22">
        <f>+' Satış Konsolide'!I52</f>
        <v>0</v>
      </c>
      <c r="J62" s="22">
        <f>+' Satış Konsolide'!J52</f>
        <v>0</v>
      </c>
      <c r="K62" s="22">
        <f>+' Satış Konsolide'!K52</f>
        <v>0</v>
      </c>
      <c r="L62" s="22">
        <f>+' Satış Konsolide'!L52</f>
        <v>0</v>
      </c>
      <c r="M62" s="22">
        <f>+' Satış Konsolide'!M52</f>
        <v>0</v>
      </c>
      <c r="N62" s="22">
        <f>+' Satış Konsolide'!N52</f>
        <v>0</v>
      </c>
      <c r="O62" s="22">
        <f>+' Satış Konsolide'!O52</f>
        <v>0</v>
      </c>
      <c r="P62" s="743">
        <f t="shared" si="16"/>
        <v>0</v>
      </c>
      <c r="Q62" s="1123" t="str">
        <f>IF(P62=0,"-",P62/C62-1)</f>
        <v>-</v>
      </c>
      <c r="R62" s="3">
        <f>+P62-' Satış Konsolide'!P52</f>
        <v>0</v>
      </c>
      <c r="S62" s="3"/>
    </row>
    <row r="63" spans="1:19" ht="16.5" customHeight="1">
      <c r="A63" s="1145" t="s">
        <v>81</v>
      </c>
      <c r="B63" s="741">
        <f>+' Satış Konsolide'!B53</f>
        <v>0</v>
      </c>
      <c r="C63" s="741">
        <f>+' Satış Konsolide'!C53</f>
        <v>0</v>
      </c>
      <c r="D63" s="22">
        <f>+' Satış Konsolide'!D53</f>
        <v>0</v>
      </c>
      <c r="E63" s="22">
        <f>+' Satış Konsolide'!E53</f>
        <v>0</v>
      </c>
      <c r="F63" s="22">
        <f>+' Satış Konsolide'!F53</f>
        <v>0</v>
      </c>
      <c r="G63" s="22">
        <f>+' Satış Konsolide'!G53</f>
        <v>0</v>
      </c>
      <c r="H63" s="22">
        <f>+' Satış Konsolide'!H53</f>
        <v>0</v>
      </c>
      <c r="I63" s="22">
        <f>+' Satış Konsolide'!I53</f>
        <v>0</v>
      </c>
      <c r="J63" s="22">
        <f>+' Satış Konsolide'!J53</f>
        <v>0</v>
      </c>
      <c r="K63" s="22">
        <f>+' Satış Konsolide'!K53</f>
        <v>0</v>
      </c>
      <c r="L63" s="22">
        <f>+' Satış Konsolide'!L53</f>
        <v>0</v>
      </c>
      <c r="M63" s="22">
        <f>+' Satış Konsolide'!M53</f>
        <v>0</v>
      </c>
      <c r="N63" s="22">
        <f>+' Satış Konsolide'!N53</f>
        <v>0</v>
      </c>
      <c r="O63" s="22">
        <f>+' Satış Konsolide'!O53</f>
        <v>0</v>
      </c>
      <c r="P63" s="1134">
        <f t="shared" si="16"/>
        <v>0</v>
      </c>
      <c r="Q63" s="1125" t="str">
        <f t="shared" si="15"/>
        <v>-</v>
      </c>
      <c r="R63" s="3">
        <f>+P63-' Satış Konsolide'!P53</f>
        <v>0</v>
      </c>
      <c r="S63" s="3"/>
    </row>
    <row r="64" spans="1:19" ht="16.5" hidden="1" customHeight="1">
      <c r="A64" s="1146" t="s">
        <v>82</v>
      </c>
      <c r="B64" s="741">
        <f>+' Satış Konsolide'!B54</f>
        <v>0</v>
      </c>
      <c r="C64" s="741">
        <f>+' Satış Konsolide'!C54</f>
        <v>0</v>
      </c>
      <c r="D64" s="22">
        <f>+' Satış Konsolide'!D54</f>
        <v>0</v>
      </c>
      <c r="E64" s="22">
        <f>+' Satış Konsolide'!E54</f>
        <v>0</v>
      </c>
      <c r="F64" s="22">
        <f>+' Satış Konsolide'!F54</f>
        <v>0</v>
      </c>
      <c r="G64" s="22">
        <f>+' Satış Konsolide'!G54</f>
        <v>0</v>
      </c>
      <c r="H64" s="22">
        <f>+' Satış Konsolide'!H54</f>
        <v>0</v>
      </c>
      <c r="I64" s="22">
        <f>+' Satış Konsolide'!I54</f>
        <v>0</v>
      </c>
      <c r="J64" s="22">
        <f>+' Satış Konsolide'!J54</f>
        <v>0</v>
      </c>
      <c r="K64" s="22">
        <f>+' Satış Konsolide'!K54</f>
        <v>0</v>
      </c>
      <c r="L64" s="22">
        <f>+' Satış Konsolide'!L54</f>
        <v>0</v>
      </c>
      <c r="M64" s="22">
        <f>+' Satış Konsolide'!M54</f>
        <v>0</v>
      </c>
      <c r="N64" s="22">
        <f>+' Satış Konsolide'!N54</f>
        <v>0</v>
      </c>
      <c r="O64" s="22">
        <f>+' Satış Konsolide'!O54</f>
        <v>0</v>
      </c>
      <c r="P64" s="1133">
        <f t="shared" si="16"/>
        <v>0</v>
      </c>
      <c r="Q64" s="1123" t="str">
        <f t="shared" si="15"/>
        <v>-</v>
      </c>
      <c r="R64" s="3">
        <f>+P64-' Satış Konsolide'!P54</f>
        <v>0</v>
      </c>
      <c r="S64" s="3"/>
    </row>
    <row r="65" spans="1:19" ht="16.5" customHeight="1">
      <c r="A65" s="1145" t="s">
        <v>83</v>
      </c>
      <c r="B65" s="741">
        <f>+' Satış Konsolide'!B55</f>
        <v>0</v>
      </c>
      <c r="C65" s="741">
        <f>+' Satış Konsolide'!C55</f>
        <v>0</v>
      </c>
      <c r="D65" s="22">
        <f>+' Satış Konsolide'!D55</f>
        <v>0</v>
      </c>
      <c r="E65" s="22">
        <f>+' Satış Konsolide'!E55</f>
        <v>0</v>
      </c>
      <c r="F65" s="22">
        <f>+' Satış Konsolide'!F55</f>
        <v>0</v>
      </c>
      <c r="G65" s="22">
        <f>+' Satış Konsolide'!G55</f>
        <v>0</v>
      </c>
      <c r="H65" s="22">
        <f>+' Satış Konsolide'!H55</f>
        <v>0</v>
      </c>
      <c r="I65" s="22">
        <f>+' Satış Konsolide'!I55</f>
        <v>0</v>
      </c>
      <c r="J65" s="22">
        <f>+' Satış Konsolide'!J55</f>
        <v>0</v>
      </c>
      <c r="K65" s="22">
        <f>+' Satış Konsolide'!K55</f>
        <v>0</v>
      </c>
      <c r="L65" s="22">
        <f>+' Satış Konsolide'!L55</f>
        <v>0</v>
      </c>
      <c r="M65" s="22">
        <f>+' Satış Konsolide'!M55</f>
        <v>0</v>
      </c>
      <c r="N65" s="22">
        <f>+' Satış Konsolide'!N55</f>
        <v>0</v>
      </c>
      <c r="O65" s="22">
        <f>+' Satış Konsolide'!O55</f>
        <v>0</v>
      </c>
      <c r="P65" s="1134">
        <f t="shared" si="16"/>
        <v>0</v>
      </c>
      <c r="Q65" s="1125" t="str">
        <f t="shared" si="15"/>
        <v>-</v>
      </c>
      <c r="R65" s="3">
        <f>+P65-' Satış Konsolide'!P55</f>
        <v>0</v>
      </c>
      <c r="S65" s="3"/>
    </row>
    <row r="66" spans="1:19" ht="16.5" hidden="1" customHeight="1">
      <c r="A66" s="1146" t="s">
        <v>84</v>
      </c>
      <c r="B66" s="741"/>
      <c r="C66" s="741"/>
      <c r="D66" s="22">
        <f>+' Satış Konsolide'!D56</f>
        <v>0</v>
      </c>
      <c r="E66" s="22">
        <f>+' Satış Konsolide'!E56</f>
        <v>0</v>
      </c>
      <c r="F66" s="22">
        <f>+' Satış Konsolide'!F56</f>
        <v>0</v>
      </c>
      <c r="G66" s="22">
        <f>+' Satış Konsolide'!G56</f>
        <v>0</v>
      </c>
      <c r="H66" s="22">
        <f>+' Satış Konsolide'!H56</f>
        <v>0</v>
      </c>
      <c r="I66" s="22">
        <f>+' Satış Konsolide'!I56</f>
        <v>0</v>
      </c>
      <c r="J66" s="22">
        <f>+' Satış Konsolide'!J56</f>
        <v>0</v>
      </c>
      <c r="K66" s="22">
        <f>+' Satış Konsolide'!K56</f>
        <v>0</v>
      </c>
      <c r="L66" s="22">
        <f>+' Satış Konsolide'!L56</f>
        <v>0</v>
      </c>
      <c r="M66" s="22">
        <f>+' Satış Konsolide'!M56</f>
        <v>0</v>
      </c>
      <c r="N66" s="22">
        <f>+' Satış Konsolide'!N56</f>
        <v>0</v>
      </c>
      <c r="O66" s="22">
        <f>+' Satış Konsolide'!O56</f>
        <v>0</v>
      </c>
      <c r="P66" s="1133">
        <f t="shared" si="16"/>
        <v>0</v>
      </c>
      <c r="Q66" s="1123" t="str">
        <f t="shared" si="15"/>
        <v>-</v>
      </c>
      <c r="R66" s="3">
        <f>+P66-' Satış Konsolide'!P56</f>
        <v>0</v>
      </c>
      <c r="S66" s="3"/>
    </row>
    <row r="67" spans="1:19" ht="15" customHeight="1" thickBot="1">
      <c r="A67" s="1147" t="s">
        <v>18</v>
      </c>
      <c r="B67" s="741">
        <f>+' Satış Konsolide'!B57</f>
        <v>0</v>
      </c>
      <c r="C67" s="741">
        <f>+' Satış Konsolide'!C57</f>
        <v>0</v>
      </c>
      <c r="D67" s="22">
        <f>+' Satış Konsolide'!D57</f>
        <v>0</v>
      </c>
      <c r="E67" s="22">
        <f>+' Satış Konsolide'!E57</f>
        <v>0</v>
      </c>
      <c r="F67" s="22">
        <f>+' Satış Konsolide'!F57</f>
        <v>0</v>
      </c>
      <c r="G67" s="22">
        <f>+' Satış Konsolide'!G57</f>
        <v>0</v>
      </c>
      <c r="H67" s="22">
        <f>+' Satış Konsolide'!H57</f>
        <v>0</v>
      </c>
      <c r="I67" s="22">
        <f>+' Satış Konsolide'!I57</f>
        <v>0</v>
      </c>
      <c r="J67" s="22">
        <f>+' Satış Konsolide'!J57</f>
        <v>0</v>
      </c>
      <c r="K67" s="22">
        <f>+' Satış Konsolide'!K57</f>
        <v>0</v>
      </c>
      <c r="L67" s="22">
        <f>+' Satış Konsolide'!L57</f>
        <v>0</v>
      </c>
      <c r="M67" s="22">
        <f>+' Satış Konsolide'!M57</f>
        <v>0</v>
      </c>
      <c r="N67" s="22">
        <f>+' Satış Konsolide'!N57</f>
        <v>0</v>
      </c>
      <c r="O67" s="22">
        <f>+' Satış Konsolide'!O57</f>
        <v>0</v>
      </c>
      <c r="P67" s="747">
        <f t="shared" si="16"/>
        <v>0</v>
      </c>
      <c r="Q67" s="1126" t="str">
        <f t="shared" si="15"/>
        <v>-</v>
      </c>
      <c r="R67" s="3">
        <f>+P67-' Satış Konsolide'!P57</f>
        <v>0</v>
      </c>
      <c r="S67" s="3"/>
    </row>
    <row r="68" spans="1:19" ht="22.5" customHeight="1" thickBot="1">
      <c r="A68" s="1140" t="s">
        <v>29</v>
      </c>
      <c r="B68" s="748">
        <f>SUM(B69:B70)</f>
        <v>0</v>
      </c>
      <c r="C68" s="748">
        <f t="shared" ref="C68:O68" si="17">SUM(C69:C70)</f>
        <v>0</v>
      </c>
      <c r="D68" s="68">
        <f t="shared" si="17"/>
        <v>0</v>
      </c>
      <c r="E68" s="69">
        <f t="shared" si="17"/>
        <v>0</v>
      </c>
      <c r="F68" s="69">
        <f t="shared" si="17"/>
        <v>0</v>
      </c>
      <c r="G68" s="69">
        <f t="shared" si="17"/>
        <v>0</v>
      </c>
      <c r="H68" s="69">
        <f t="shared" si="17"/>
        <v>0</v>
      </c>
      <c r="I68" s="69">
        <f t="shared" si="17"/>
        <v>0</v>
      </c>
      <c r="J68" s="69">
        <f t="shared" si="17"/>
        <v>0</v>
      </c>
      <c r="K68" s="69">
        <f t="shared" si="17"/>
        <v>0</v>
      </c>
      <c r="L68" s="69">
        <f t="shared" si="17"/>
        <v>0</v>
      </c>
      <c r="M68" s="69">
        <f t="shared" si="17"/>
        <v>0</v>
      </c>
      <c r="N68" s="69">
        <f t="shared" si="17"/>
        <v>0</v>
      </c>
      <c r="O68" s="70">
        <f t="shared" si="17"/>
        <v>0</v>
      </c>
      <c r="P68" s="748">
        <f t="shared" si="16"/>
        <v>0</v>
      </c>
      <c r="Q68" s="1105" t="str">
        <f t="shared" si="15"/>
        <v>-</v>
      </c>
      <c r="R68" s="3">
        <f>+P68-' Satış Konsolide'!P58</f>
        <v>0</v>
      </c>
      <c r="S68" s="3"/>
    </row>
    <row r="69" spans="1:19" ht="16.5" customHeight="1">
      <c r="A69" s="72" t="s">
        <v>19</v>
      </c>
      <c r="B69" s="749">
        <f>+' Satış Konsolide'!B59</f>
        <v>0</v>
      </c>
      <c r="C69" s="749">
        <f>+' Satış Konsolide'!C59</f>
        <v>0</v>
      </c>
      <c r="D69" s="75">
        <f>+' Satış Konsolide'!D59</f>
        <v>0</v>
      </c>
      <c r="E69" s="75">
        <f>+' Satış Konsolide'!E59</f>
        <v>0</v>
      </c>
      <c r="F69" s="75">
        <f>+' Satış Konsolide'!F59</f>
        <v>0</v>
      </c>
      <c r="G69" s="75">
        <f>+' Satış Konsolide'!G59</f>
        <v>0</v>
      </c>
      <c r="H69" s="75">
        <f>+' Satış Konsolide'!H59</f>
        <v>0</v>
      </c>
      <c r="I69" s="75">
        <f>+' Satış Konsolide'!I59</f>
        <v>0</v>
      </c>
      <c r="J69" s="75">
        <f>+' Satış Konsolide'!J59</f>
        <v>0</v>
      </c>
      <c r="K69" s="75">
        <f>+' Satış Konsolide'!K59</f>
        <v>0</v>
      </c>
      <c r="L69" s="75">
        <f>+' Satış Konsolide'!L59</f>
        <v>0</v>
      </c>
      <c r="M69" s="75">
        <f>+' Satış Konsolide'!M59</f>
        <v>0</v>
      </c>
      <c r="N69" s="75">
        <f>+' Satış Konsolide'!N59</f>
        <v>0</v>
      </c>
      <c r="O69" s="75">
        <f>+' Satış Konsolide'!O59</f>
        <v>0</v>
      </c>
      <c r="P69" s="1135">
        <f t="shared" si="16"/>
        <v>0</v>
      </c>
      <c r="Q69" s="1127" t="str">
        <f t="shared" si="15"/>
        <v>-</v>
      </c>
      <c r="R69" s="3">
        <f>+P69-' Satış Konsolide'!P59</f>
        <v>0</v>
      </c>
      <c r="S69" s="3"/>
    </row>
    <row r="70" spans="1:19" ht="16.5" customHeight="1" thickBot="1">
      <c r="A70" s="80" t="s">
        <v>20</v>
      </c>
      <c r="B70" s="750">
        <f>+' Satış Konsolide'!B60</f>
        <v>0</v>
      </c>
      <c r="C70" s="750">
        <f>+' Satış Konsolide'!C60</f>
        <v>0</v>
      </c>
      <c r="D70" s="83">
        <f>+' Satış Konsolide'!D60</f>
        <v>0</v>
      </c>
      <c r="E70" s="83">
        <f>+' Satış Konsolide'!E60</f>
        <v>0</v>
      </c>
      <c r="F70" s="83">
        <f>+' Satış Konsolide'!F60</f>
        <v>0</v>
      </c>
      <c r="G70" s="83">
        <f>+' Satış Konsolide'!G60</f>
        <v>0</v>
      </c>
      <c r="H70" s="83">
        <f>+' Satış Konsolide'!H60</f>
        <v>0</v>
      </c>
      <c r="I70" s="83">
        <f>+' Satış Konsolide'!I60</f>
        <v>0</v>
      </c>
      <c r="J70" s="83">
        <f>+' Satış Konsolide'!J60</f>
        <v>0</v>
      </c>
      <c r="K70" s="83">
        <f>+' Satış Konsolide'!K60</f>
        <v>0</v>
      </c>
      <c r="L70" s="83">
        <f>+' Satış Konsolide'!L60</f>
        <v>0</v>
      </c>
      <c r="M70" s="83">
        <f>+' Satış Konsolide'!M60</f>
        <v>0</v>
      </c>
      <c r="N70" s="83">
        <f>+' Satış Konsolide'!N60</f>
        <v>0</v>
      </c>
      <c r="O70" s="83">
        <f>+' Satış Konsolide'!O60</f>
        <v>0</v>
      </c>
      <c r="P70" s="1136">
        <f t="shared" si="16"/>
        <v>0</v>
      </c>
      <c r="Q70" s="1128" t="str">
        <f t="shared" si="15"/>
        <v>-</v>
      </c>
      <c r="R70" s="3">
        <f>+P70-' Satış Konsolide'!P60</f>
        <v>0</v>
      </c>
      <c r="S70" s="3"/>
    </row>
    <row r="71" spans="1:19" ht="22.5" customHeight="1" thickBot="1">
      <c r="A71" s="1140" t="s">
        <v>30</v>
      </c>
      <c r="B71" s="748">
        <f>SUM(B72:B73)</f>
        <v>0</v>
      </c>
      <c r="C71" s="748">
        <f t="shared" ref="C71:O71" si="18">SUM(C72:C73)</f>
        <v>0</v>
      </c>
      <c r="D71" s="68">
        <f t="shared" si="18"/>
        <v>0</v>
      </c>
      <c r="E71" s="69">
        <f t="shared" si="18"/>
        <v>0</v>
      </c>
      <c r="F71" s="69">
        <f t="shared" si="18"/>
        <v>0</v>
      </c>
      <c r="G71" s="69">
        <f t="shared" si="18"/>
        <v>0</v>
      </c>
      <c r="H71" s="69">
        <f t="shared" si="18"/>
        <v>0</v>
      </c>
      <c r="I71" s="69">
        <f t="shared" si="18"/>
        <v>0</v>
      </c>
      <c r="J71" s="69">
        <f t="shared" si="18"/>
        <v>0</v>
      </c>
      <c r="K71" s="69">
        <f t="shared" si="18"/>
        <v>0</v>
      </c>
      <c r="L71" s="69">
        <f t="shared" si="18"/>
        <v>0</v>
      </c>
      <c r="M71" s="69">
        <f t="shared" si="18"/>
        <v>0</v>
      </c>
      <c r="N71" s="69">
        <f t="shared" si="18"/>
        <v>0</v>
      </c>
      <c r="O71" s="70">
        <f t="shared" si="18"/>
        <v>0</v>
      </c>
      <c r="P71" s="748">
        <f t="shared" si="16"/>
        <v>0</v>
      </c>
      <c r="Q71" s="1105" t="str">
        <f t="shared" si="15"/>
        <v>-</v>
      </c>
      <c r="R71" s="3">
        <f>+P71-' Satış Konsolide'!P61</f>
        <v>0</v>
      </c>
      <c r="S71" s="3"/>
    </row>
    <row r="72" spans="1:19" ht="16.5" customHeight="1">
      <c r="A72" s="72" t="s">
        <v>106</v>
      </c>
      <c r="B72" s="749">
        <f>+' Satış Konsolide'!B62</f>
        <v>0</v>
      </c>
      <c r="C72" s="749">
        <f>+' Satış Konsolide'!C62</f>
        <v>0</v>
      </c>
      <c r="D72" s="75">
        <f>+' Satış Konsolide'!D62</f>
        <v>0</v>
      </c>
      <c r="E72" s="75">
        <f>+' Satış Konsolide'!E62</f>
        <v>0</v>
      </c>
      <c r="F72" s="75">
        <f>+' Satış Konsolide'!F62</f>
        <v>0</v>
      </c>
      <c r="G72" s="75">
        <f>+' Satış Konsolide'!G62</f>
        <v>0</v>
      </c>
      <c r="H72" s="75">
        <f>+' Satış Konsolide'!H62</f>
        <v>0</v>
      </c>
      <c r="I72" s="75">
        <f>+' Satış Konsolide'!I62</f>
        <v>0</v>
      </c>
      <c r="J72" s="75">
        <f>+' Satış Konsolide'!J62</f>
        <v>0</v>
      </c>
      <c r="K72" s="75">
        <f>+' Satış Konsolide'!K62</f>
        <v>0</v>
      </c>
      <c r="L72" s="75">
        <f>+' Satış Konsolide'!L62</f>
        <v>0</v>
      </c>
      <c r="M72" s="75">
        <f>+' Satış Konsolide'!M62</f>
        <v>0</v>
      </c>
      <c r="N72" s="75">
        <f>+' Satış Konsolide'!N62</f>
        <v>0</v>
      </c>
      <c r="O72" s="75">
        <f>+' Satış Konsolide'!O62</f>
        <v>0</v>
      </c>
      <c r="P72" s="1135">
        <f t="shared" si="16"/>
        <v>0</v>
      </c>
      <c r="Q72" s="1127" t="str">
        <f t="shared" si="15"/>
        <v>-</v>
      </c>
      <c r="R72" s="3">
        <f>+P72-' Satış Konsolide'!P62</f>
        <v>0</v>
      </c>
      <c r="S72" s="3"/>
    </row>
    <row r="73" spans="1:19" ht="16.5" customHeight="1" thickBot="1">
      <c r="A73" s="122" t="s">
        <v>105</v>
      </c>
      <c r="B73" s="751">
        <f>+' Satış Konsolide'!B63</f>
        <v>0</v>
      </c>
      <c r="C73" s="751">
        <f>+' Satış Konsolide'!C63</f>
        <v>0</v>
      </c>
      <c r="D73" s="125">
        <f>+' Satış Konsolide'!D63</f>
        <v>0</v>
      </c>
      <c r="E73" s="125">
        <f>+' Satış Konsolide'!E63</f>
        <v>0</v>
      </c>
      <c r="F73" s="125">
        <f>+' Satış Konsolide'!F63</f>
        <v>0</v>
      </c>
      <c r="G73" s="125">
        <f>+' Satış Konsolide'!G63</f>
        <v>0</v>
      </c>
      <c r="H73" s="125">
        <f>+' Satış Konsolide'!H63</f>
        <v>0</v>
      </c>
      <c r="I73" s="125">
        <f>+' Satış Konsolide'!I63</f>
        <v>0</v>
      </c>
      <c r="J73" s="125">
        <f>+' Satış Konsolide'!J63</f>
        <v>0</v>
      </c>
      <c r="K73" s="125">
        <f>+' Satış Konsolide'!K63</f>
        <v>0</v>
      </c>
      <c r="L73" s="125">
        <f>+' Satış Konsolide'!L63</f>
        <v>0</v>
      </c>
      <c r="M73" s="125">
        <f>+' Satış Konsolide'!M63</f>
        <v>0</v>
      </c>
      <c r="N73" s="125">
        <f>+' Satış Konsolide'!N63</f>
        <v>0</v>
      </c>
      <c r="O73" s="125">
        <f>+' Satış Konsolide'!O63</f>
        <v>0</v>
      </c>
      <c r="P73" s="1137">
        <f t="shared" si="16"/>
        <v>0</v>
      </c>
      <c r="Q73" s="1129" t="str">
        <f t="shared" si="15"/>
        <v>-</v>
      </c>
      <c r="R73" s="3">
        <f>+P73-' Satış Konsolide'!P63</f>
        <v>0</v>
      </c>
      <c r="S73" s="3"/>
    </row>
    <row r="74" spans="1:19" ht="16.5" customHeight="1" thickBot="1">
      <c r="B74" s="3"/>
      <c r="C74" s="3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9"/>
      <c r="R74" s="3">
        <f>+P74-' Satış Konsolide'!P64</f>
        <v>0</v>
      </c>
      <c r="S74" s="3"/>
    </row>
    <row r="75" spans="1:19" ht="22.5" customHeight="1" thickBot="1">
      <c r="A75" s="13" t="s">
        <v>86</v>
      </c>
      <c r="B75" s="15"/>
      <c r="C75" s="15"/>
      <c r="D75" s="16">
        <f>+' Satış Konsolide'!D65</f>
        <v>0</v>
      </c>
      <c r="E75" s="16">
        <f>+' Satış Konsolide'!E65</f>
        <v>0</v>
      </c>
      <c r="F75" s="16">
        <f>+' Satış Konsolide'!F65</f>
        <v>0</v>
      </c>
      <c r="G75" s="16">
        <f>+' Satış Konsolide'!G65</f>
        <v>0</v>
      </c>
      <c r="H75" s="16">
        <f>+' Satış Konsolide'!H65</f>
        <v>0</v>
      </c>
      <c r="I75" s="16">
        <f>+' Satış Konsolide'!I65</f>
        <v>0</v>
      </c>
      <c r="J75" s="16">
        <f>+' Satış Konsolide'!J65</f>
        <v>0</v>
      </c>
      <c r="K75" s="16">
        <f>+' Satış Konsolide'!K65</f>
        <v>0</v>
      </c>
      <c r="L75" s="16">
        <f>+' Satış Konsolide'!L65</f>
        <v>0</v>
      </c>
      <c r="M75" s="16">
        <f>+' Satış Konsolide'!M65</f>
        <v>0</v>
      </c>
      <c r="N75" s="16">
        <f>+' Satış Konsolide'!N65</f>
        <v>0</v>
      </c>
      <c r="O75" s="16">
        <f>+' Satış Konsolide'!O65</f>
        <v>0</v>
      </c>
      <c r="P75" s="94">
        <f>SUM(D75:O75)</f>
        <v>0</v>
      </c>
      <c r="Q75" s="1130" t="str">
        <f>IF(P75=0,"-",P75/C75-1)</f>
        <v>-</v>
      </c>
      <c r="R75" s="3">
        <f>+P75-' Satış Konsolide'!P65</f>
        <v>0</v>
      </c>
      <c r="S75" s="3"/>
    </row>
    <row r="76" spans="1:19" ht="16.5" customHeight="1" thickBot="1">
      <c r="A76" s="90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>
        <f>SUM(D76:O76)</f>
        <v>0</v>
      </c>
      <c r="Q76" s="92"/>
      <c r="R76" s="3">
        <f>+P76-' Satış Konsolide'!P66</f>
        <v>0</v>
      </c>
      <c r="S76" s="3"/>
    </row>
    <row r="77" spans="1:19" s="93" customFormat="1" ht="23.25" customHeight="1" thickBot="1">
      <c r="A77" s="13" t="s">
        <v>32</v>
      </c>
      <c r="B77" s="15">
        <f>+B58+B68+B71+B75</f>
        <v>0</v>
      </c>
      <c r="C77" s="15">
        <f>+C58+C68+C71+C75</f>
        <v>0</v>
      </c>
      <c r="D77" s="16">
        <f>+' Satış Konsolide'!D67</f>
        <v>0</v>
      </c>
      <c r="E77" s="16">
        <f>+' Satış Konsolide'!E67</f>
        <v>0</v>
      </c>
      <c r="F77" s="16">
        <f>+' Satış Konsolide'!F67</f>
        <v>0</v>
      </c>
      <c r="G77" s="16">
        <f>+' Satış Konsolide'!G67</f>
        <v>0</v>
      </c>
      <c r="H77" s="16">
        <f>+' Satış Konsolide'!H67</f>
        <v>0</v>
      </c>
      <c r="I77" s="16">
        <f>+' Satış Konsolide'!I67</f>
        <v>0</v>
      </c>
      <c r="J77" s="16">
        <f>+' Satış Konsolide'!J67</f>
        <v>0</v>
      </c>
      <c r="K77" s="16">
        <f>+' Satış Konsolide'!K67</f>
        <v>0</v>
      </c>
      <c r="L77" s="16">
        <f>+' Satış Konsolide'!L67</f>
        <v>0</v>
      </c>
      <c r="M77" s="16">
        <f>+' Satış Konsolide'!M67</f>
        <v>0</v>
      </c>
      <c r="N77" s="16">
        <f>+' Satış Konsolide'!N67</f>
        <v>0</v>
      </c>
      <c r="O77" s="16">
        <f>+' Satış Konsolide'!O67</f>
        <v>0</v>
      </c>
      <c r="P77" s="94">
        <f>SUM(D77:O77)</f>
        <v>0</v>
      </c>
      <c r="Q77" s="1130" t="str">
        <f>IF(P77=0,"-",P77/C77-1)</f>
        <v>-</v>
      </c>
      <c r="R77" s="3">
        <f>+P77-' Satış Konsolide'!P67</f>
        <v>0</v>
      </c>
      <c r="S77" s="3"/>
    </row>
    <row r="78" spans="1:19" ht="14.4" thickBot="1">
      <c r="D78" s="3"/>
      <c r="E78" s="3"/>
      <c r="F78" s="3"/>
      <c r="G78" s="3"/>
      <c r="H78" s="3"/>
      <c r="I78" s="3"/>
      <c r="J78" s="3"/>
      <c r="K78" s="3"/>
      <c r="L78" s="3"/>
      <c r="M78" s="3"/>
      <c r="O78" s="3"/>
      <c r="P78" s="3"/>
      <c r="R78" s="3">
        <f>+P78-' Satış Konsolide'!P68</f>
        <v>0</v>
      </c>
    </row>
    <row r="79" spans="1:19" ht="33" customHeight="1">
      <c r="A79" s="5"/>
      <c r="B79" s="2341" t="s">
        <v>648</v>
      </c>
      <c r="C79" s="2341" t="s">
        <v>647</v>
      </c>
      <c r="D79" s="2313" t="s">
        <v>642</v>
      </c>
      <c r="E79" s="2314"/>
      <c r="F79" s="2314"/>
      <c r="G79" s="2314"/>
      <c r="H79" s="2314"/>
      <c r="I79" s="2314"/>
      <c r="J79" s="2314"/>
      <c r="K79" s="2314"/>
      <c r="L79" s="2314"/>
      <c r="M79" s="2314"/>
      <c r="N79" s="2314"/>
      <c r="O79" s="2314"/>
      <c r="P79" s="2315"/>
      <c r="Q79" s="937" t="s">
        <v>638</v>
      </c>
      <c r="R79" s="3">
        <f>+P79-' Satış Konsolide'!P69</f>
        <v>0</v>
      </c>
    </row>
    <row r="80" spans="1:19" ht="30.75" customHeight="1" thickBot="1">
      <c r="A80" s="7"/>
      <c r="B80" s="2342"/>
      <c r="C80" s="2342"/>
      <c r="D80" s="740" t="s">
        <v>1</v>
      </c>
      <c r="E80" s="10" t="s">
        <v>2</v>
      </c>
      <c r="F80" s="10" t="s">
        <v>3</v>
      </c>
      <c r="G80" s="10" t="s">
        <v>4</v>
      </c>
      <c r="H80" s="10" t="s">
        <v>5</v>
      </c>
      <c r="I80" s="10" t="s">
        <v>6</v>
      </c>
      <c r="J80" s="10" t="s">
        <v>7</v>
      </c>
      <c r="K80" s="10" t="s">
        <v>8</v>
      </c>
      <c r="L80" s="10" t="s">
        <v>9</v>
      </c>
      <c r="M80" s="10" t="s">
        <v>10</v>
      </c>
      <c r="N80" s="10" t="s">
        <v>11</v>
      </c>
      <c r="O80" s="10" t="s">
        <v>12</v>
      </c>
      <c r="P80" s="11" t="s">
        <v>13</v>
      </c>
      <c r="Q80" s="941" t="s">
        <v>618</v>
      </c>
      <c r="R80" s="3" t="e">
        <f>+P80-' Satış Konsolide'!P70</f>
        <v>#VALUE!</v>
      </c>
    </row>
    <row r="81" spans="1:18" ht="22.5" customHeight="1" thickBot="1">
      <c r="A81" s="1140" t="s">
        <v>28</v>
      </c>
      <c r="B81" s="94">
        <f t="shared" ref="B81" si="19">B84+B85+B90</f>
        <v>0</v>
      </c>
      <c r="C81" s="94">
        <f t="shared" ref="C81:O81" si="20">C84+C85+C90</f>
        <v>0</v>
      </c>
      <c r="D81" s="16">
        <f t="shared" si="20"/>
        <v>0</v>
      </c>
      <c r="E81" s="17">
        <f t="shared" si="20"/>
        <v>0</v>
      </c>
      <c r="F81" s="17">
        <f t="shared" si="20"/>
        <v>0</v>
      </c>
      <c r="G81" s="17">
        <f t="shared" si="20"/>
        <v>0</v>
      </c>
      <c r="H81" s="17">
        <f t="shared" si="20"/>
        <v>0</v>
      </c>
      <c r="I81" s="17">
        <f t="shared" si="20"/>
        <v>0</v>
      </c>
      <c r="J81" s="17">
        <f t="shared" si="20"/>
        <v>0</v>
      </c>
      <c r="K81" s="17">
        <f t="shared" si="20"/>
        <v>0</v>
      </c>
      <c r="L81" s="17">
        <f t="shared" si="20"/>
        <v>0</v>
      </c>
      <c r="M81" s="17">
        <f t="shared" si="20"/>
        <v>0</v>
      </c>
      <c r="N81" s="17">
        <f t="shared" si="20"/>
        <v>0</v>
      </c>
      <c r="O81" s="15">
        <f t="shared" si="20"/>
        <v>0</v>
      </c>
      <c r="P81" s="94">
        <f t="shared" ref="P81:P96" si="21">SUM(D81:O81)</f>
        <v>0</v>
      </c>
      <c r="Q81" s="1130" t="str">
        <f t="shared" ref="Q81:Q96" si="22">IF(P81=0,"-",P81/C81-1)</f>
        <v>-</v>
      </c>
      <c r="R81" s="3">
        <f>+P81-' Satış Konsolide'!P71</f>
        <v>0</v>
      </c>
    </row>
    <row r="82" spans="1:18" ht="16.5" customHeight="1">
      <c r="A82" s="1141" t="s">
        <v>15</v>
      </c>
      <c r="B82" s="741">
        <f>+' Satış Konsolide'!B72</f>
        <v>0</v>
      </c>
      <c r="C82" s="741">
        <f>+' Satış Konsolide'!C72</f>
        <v>0</v>
      </c>
      <c r="D82" s="22">
        <f>+' Satış Konsolide'!D72</f>
        <v>0</v>
      </c>
      <c r="E82" s="23">
        <f>+' Satış Konsolide'!E72</f>
        <v>0</v>
      </c>
      <c r="F82" s="23">
        <f>+' Satış Konsolide'!F72</f>
        <v>0</v>
      </c>
      <c r="G82" s="23">
        <f>+' Satış Konsolide'!G72</f>
        <v>0</v>
      </c>
      <c r="H82" s="24">
        <f>+' Satış Konsolide'!H72</f>
        <v>0</v>
      </c>
      <c r="I82" s="24">
        <f>+' Satış Konsolide'!I72</f>
        <v>0</v>
      </c>
      <c r="J82" s="24">
        <f>+' Satış Konsolide'!J72</f>
        <v>0</v>
      </c>
      <c r="K82" s="24">
        <f>+' Satış Konsolide'!K72</f>
        <v>0</v>
      </c>
      <c r="L82" s="24">
        <f>+' Satış Konsolide'!L72</f>
        <v>0</v>
      </c>
      <c r="M82" s="24">
        <f>+' Satış Konsolide'!M72</f>
        <v>0</v>
      </c>
      <c r="N82" s="24">
        <f>+' Satış Konsolide'!N72</f>
        <v>0</v>
      </c>
      <c r="O82" s="25">
        <f>+' Satış Konsolide'!O72</f>
        <v>0</v>
      </c>
      <c r="P82" s="1131">
        <f t="shared" si="21"/>
        <v>0</v>
      </c>
      <c r="Q82" s="1122" t="str">
        <f t="shared" si="22"/>
        <v>-</v>
      </c>
      <c r="R82" s="3">
        <f>+P82-' Satış Konsolide'!P72</f>
        <v>0</v>
      </c>
    </row>
    <row r="83" spans="1:18" ht="16.5" hidden="1" customHeight="1">
      <c r="A83" s="1142" t="s">
        <v>16</v>
      </c>
      <c r="B83" s="742">
        <f>+' Satış Konsolide'!B73</f>
        <v>0</v>
      </c>
      <c r="C83" s="742">
        <f>+' Satış Konsolide'!C73</f>
        <v>0</v>
      </c>
      <c r="D83" s="31">
        <f>+' Satış Konsolide'!D73</f>
        <v>0</v>
      </c>
      <c r="E83" s="32">
        <f>+' Satış Konsolide'!E73</f>
        <v>0</v>
      </c>
      <c r="F83" s="32">
        <f>+' Satış Konsolide'!F73</f>
        <v>0</v>
      </c>
      <c r="G83" s="32">
        <f>+' Satış Konsolide'!G73</f>
        <v>0</v>
      </c>
      <c r="H83" s="33">
        <f>+' Satış Konsolide'!H73</f>
        <v>0</v>
      </c>
      <c r="I83" s="33">
        <f>+' Satış Konsolide'!I73</f>
        <v>0</v>
      </c>
      <c r="J83" s="33">
        <f>+' Satış Konsolide'!J73</f>
        <v>0</v>
      </c>
      <c r="K83" s="33">
        <f>+' Satış Konsolide'!K73</f>
        <v>0</v>
      </c>
      <c r="L83" s="33">
        <f>+' Satış Konsolide'!L73</f>
        <v>0</v>
      </c>
      <c r="M83" s="33">
        <f>+' Satış Konsolide'!M73</f>
        <v>0</v>
      </c>
      <c r="N83" s="33">
        <f>+' Satış Konsolide'!N73</f>
        <v>0</v>
      </c>
      <c r="O83" s="34">
        <f>+' Satış Konsolide'!O73</f>
        <v>0</v>
      </c>
      <c r="P83" s="1132">
        <f t="shared" si="21"/>
        <v>0</v>
      </c>
      <c r="Q83" s="1123" t="str">
        <f t="shared" si="22"/>
        <v>-</v>
      </c>
      <c r="R83" s="3">
        <f>+P83-' Satış Konsolide'!P73</f>
        <v>0</v>
      </c>
    </row>
    <row r="84" spans="1:18" ht="15" customHeight="1">
      <c r="A84" s="1143" t="s">
        <v>27</v>
      </c>
      <c r="B84" s="743">
        <f>+' Satış Konsolide'!B74</f>
        <v>0</v>
      </c>
      <c r="C84" s="743">
        <f>+' Satış Konsolide'!C74</f>
        <v>0</v>
      </c>
      <c r="D84" s="39">
        <f>+' Satış Konsolide'!D74</f>
        <v>0</v>
      </c>
      <c r="E84" s="40">
        <f>+' Satış Konsolide'!E74</f>
        <v>0</v>
      </c>
      <c r="F84" s="40">
        <f>+' Satış Konsolide'!F74</f>
        <v>0</v>
      </c>
      <c r="G84" s="40">
        <f>+' Satış Konsolide'!G74</f>
        <v>0</v>
      </c>
      <c r="H84" s="40">
        <f>+' Satış Konsolide'!H74</f>
        <v>0</v>
      </c>
      <c r="I84" s="40">
        <f>+' Satış Konsolide'!I74</f>
        <v>0</v>
      </c>
      <c r="J84" s="40">
        <f>+' Satış Konsolide'!J74</f>
        <v>0</v>
      </c>
      <c r="K84" s="40">
        <f>+' Satış Konsolide'!K74</f>
        <v>0</v>
      </c>
      <c r="L84" s="40">
        <f>+' Satış Konsolide'!L74</f>
        <v>0</v>
      </c>
      <c r="M84" s="40">
        <f>+' Satış Konsolide'!M74</f>
        <v>0</v>
      </c>
      <c r="N84" s="40">
        <f>+' Satış Konsolide'!N74</f>
        <v>0</v>
      </c>
      <c r="O84" s="38">
        <f>+' Satış Konsolide'!O74</f>
        <v>0</v>
      </c>
      <c r="P84" s="743">
        <f t="shared" si="21"/>
        <v>0</v>
      </c>
      <c r="Q84" s="1139" t="str">
        <f t="shared" si="22"/>
        <v>-</v>
      </c>
      <c r="R84" s="3">
        <f>+P84-' Satış Konsolide'!P74</f>
        <v>0</v>
      </c>
    </row>
    <row r="85" spans="1:18" ht="16.5" customHeight="1">
      <c r="A85" s="1144" t="s">
        <v>17</v>
      </c>
      <c r="B85" s="744">
        <f>+' Satış Konsolide'!B75</f>
        <v>0</v>
      </c>
      <c r="C85" s="744">
        <f>+' Satış Konsolide'!C75</f>
        <v>0</v>
      </c>
      <c r="D85" s="45">
        <f>+' Satış Konsolide'!D75</f>
        <v>0</v>
      </c>
      <c r="E85" s="46">
        <f>+' Satış Konsolide'!E75</f>
        <v>0</v>
      </c>
      <c r="F85" s="46">
        <f>+' Satış Konsolide'!F75</f>
        <v>0</v>
      </c>
      <c r="G85" s="46">
        <f>+' Satış Konsolide'!G75</f>
        <v>0</v>
      </c>
      <c r="H85" s="46">
        <f>+' Satış Konsolide'!H75</f>
        <v>0</v>
      </c>
      <c r="I85" s="46">
        <f>+' Satış Konsolide'!I75</f>
        <v>0</v>
      </c>
      <c r="J85" s="46">
        <f>+' Satış Konsolide'!J75</f>
        <v>0</v>
      </c>
      <c r="K85" s="46">
        <f>+' Satış Konsolide'!K75</f>
        <v>0</v>
      </c>
      <c r="L85" s="46">
        <f>+' Satış Konsolide'!L75</f>
        <v>0</v>
      </c>
      <c r="M85" s="46">
        <f>+' Satış Konsolide'!M75</f>
        <v>0</v>
      </c>
      <c r="N85" s="46">
        <f>+' Satış Konsolide'!N75</f>
        <v>0</v>
      </c>
      <c r="O85" s="47">
        <f>+' Satış Konsolide'!O75</f>
        <v>0</v>
      </c>
      <c r="P85" s="1133">
        <f t="shared" si="21"/>
        <v>0</v>
      </c>
      <c r="Q85" s="1123" t="str">
        <f t="shared" si="22"/>
        <v>-</v>
      </c>
      <c r="R85" s="3">
        <f>+P85-' Satış Konsolide'!P75</f>
        <v>0</v>
      </c>
    </row>
    <row r="86" spans="1:18" ht="16.5" customHeight="1">
      <c r="A86" s="1145" t="s">
        <v>81</v>
      </c>
      <c r="B86" s="745">
        <f>+' Satış Konsolide'!B76</f>
        <v>0</v>
      </c>
      <c r="C86" s="745">
        <f>+' Satış Konsolide'!C76</f>
        <v>0</v>
      </c>
      <c r="D86" s="39">
        <f>+' Satış Konsolide'!D76</f>
        <v>0</v>
      </c>
      <c r="E86" s="40">
        <f>+' Satış Konsolide'!E76</f>
        <v>0</v>
      </c>
      <c r="F86" s="40">
        <f>+' Satış Konsolide'!F76</f>
        <v>0</v>
      </c>
      <c r="G86" s="40">
        <f>+' Satış Konsolide'!G76</f>
        <v>0</v>
      </c>
      <c r="H86" s="40">
        <f>+' Satış Konsolide'!H76</f>
        <v>0</v>
      </c>
      <c r="I86" s="40">
        <f>+' Satış Konsolide'!I76</f>
        <v>0</v>
      </c>
      <c r="J86" s="40">
        <f>+' Satış Konsolide'!J76</f>
        <v>0</v>
      </c>
      <c r="K86" s="40">
        <f>+' Satış Konsolide'!K76</f>
        <v>0</v>
      </c>
      <c r="L86" s="40">
        <f>+' Satış Konsolide'!L76</f>
        <v>0</v>
      </c>
      <c r="M86" s="40">
        <f>+' Satış Konsolide'!M76</f>
        <v>0</v>
      </c>
      <c r="N86" s="40">
        <f>+' Satış Konsolide'!N76</f>
        <v>0</v>
      </c>
      <c r="O86" s="38">
        <f>+' Satış Konsolide'!O76</f>
        <v>0</v>
      </c>
      <c r="P86" s="1134">
        <f t="shared" si="21"/>
        <v>0</v>
      </c>
      <c r="Q86" s="1125" t="str">
        <f t="shared" si="22"/>
        <v>-</v>
      </c>
      <c r="R86" s="3">
        <f>+P86-' Satış Konsolide'!P76</f>
        <v>0</v>
      </c>
    </row>
    <row r="87" spans="1:18" ht="16.5" hidden="1" customHeight="1">
      <c r="A87" s="1146" t="s">
        <v>82</v>
      </c>
      <c r="B87" s="744">
        <f>+' Satış Konsolide'!B77</f>
        <v>0</v>
      </c>
      <c r="C87" s="744">
        <f>+' Satış Konsolide'!C77</f>
        <v>0</v>
      </c>
      <c r="D87" s="45">
        <f>+' Satış Konsolide'!D77</f>
        <v>0</v>
      </c>
      <c r="E87" s="46">
        <f>+' Satış Konsolide'!E77</f>
        <v>0</v>
      </c>
      <c r="F87" s="46">
        <f>+' Satış Konsolide'!F77</f>
        <v>0</v>
      </c>
      <c r="G87" s="46">
        <f>+' Satış Konsolide'!G77</f>
        <v>0</v>
      </c>
      <c r="H87" s="46">
        <f>+' Satış Konsolide'!H77</f>
        <v>0</v>
      </c>
      <c r="I87" s="46">
        <f>+' Satış Konsolide'!I77</f>
        <v>0</v>
      </c>
      <c r="J87" s="46">
        <f>+' Satış Konsolide'!J77</f>
        <v>0</v>
      </c>
      <c r="K87" s="46">
        <f>+' Satış Konsolide'!K77</f>
        <v>0</v>
      </c>
      <c r="L87" s="46">
        <f>+' Satış Konsolide'!L77</f>
        <v>0</v>
      </c>
      <c r="M87" s="46">
        <f>+' Satış Konsolide'!M77</f>
        <v>0</v>
      </c>
      <c r="N87" s="46">
        <f>+' Satış Konsolide'!N77</f>
        <v>0</v>
      </c>
      <c r="O87" s="47">
        <f>+' Satış Konsolide'!O77</f>
        <v>0</v>
      </c>
      <c r="P87" s="1133">
        <f t="shared" si="21"/>
        <v>0</v>
      </c>
      <c r="Q87" s="1123" t="str">
        <f t="shared" si="22"/>
        <v>-</v>
      </c>
      <c r="R87" s="3">
        <f>+P87-' Satış Konsolide'!P77</f>
        <v>0</v>
      </c>
    </row>
    <row r="88" spans="1:18" ht="16.5" customHeight="1">
      <c r="A88" s="1145" t="s">
        <v>83</v>
      </c>
      <c r="B88" s="746">
        <f>+' Satış Konsolide'!B78</f>
        <v>0</v>
      </c>
      <c r="C88" s="746">
        <f>+' Satış Konsolide'!C78</f>
        <v>0</v>
      </c>
      <c r="D88" s="52">
        <f>+' Satış Konsolide'!D78</f>
        <v>0</v>
      </c>
      <c r="E88" s="53">
        <f>+' Satış Konsolide'!E78</f>
        <v>0</v>
      </c>
      <c r="F88" s="53">
        <f>+' Satış Konsolide'!F78</f>
        <v>0</v>
      </c>
      <c r="G88" s="53">
        <f>+' Satış Konsolide'!G78</f>
        <v>0</v>
      </c>
      <c r="H88" s="53">
        <f>+' Satış Konsolide'!H78</f>
        <v>0</v>
      </c>
      <c r="I88" s="53">
        <f>+' Satış Konsolide'!I78</f>
        <v>0</v>
      </c>
      <c r="J88" s="53">
        <f>+' Satış Konsolide'!J78</f>
        <v>0</v>
      </c>
      <c r="K88" s="53">
        <f>+' Satış Konsolide'!K78</f>
        <v>0</v>
      </c>
      <c r="L88" s="53">
        <f>+' Satış Konsolide'!L78</f>
        <v>0</v>
      </c>
      <c r="M88" s="53">
        <f>+' Satış Konsolide'!M78</f>
        <v>0</v>
      </c>
      <c r="N88" s="53">
        <f>+' Satış Konsolide'!N78</f>
        <v>0</v>
      </c>
      <c r="O88" s="55">
        <f>+' Satış Konsolide'!O78</f>
        <v>0</v>
      </c>
      <c r="P88" s="1134">
        <f t="shared" si="21"/>
        <v>0</v>
      </c>
      <c r="Q88" s="1125" t="str">
        <f t="shared" si="22"/>
        <v>-</v>
      </c>
      <c r="R88" s="3">
        <f>+P88-' Satış Konsolide'!P78</f>
        <v>0</v>
      </c>
    </row>
    <row r="89" spans="1:18" ht="16.5" hidden="1" customHeight="1">
      <c r="A89" s="1146" t="s">
        <v>84</v>
      </c>
      <c r="B89" s="742">
        <f>+' Satış Konsolide'!B79</f>
        <v>0</v>
      </c>
      <c r="C89" s="742">
        <f>+' Satış Konsolide'!C79</f>
        <v>0</v>
      </c>
      <c r="D89" s="59">
        <f>+' Satış Konsolide'!D79</f>
        <v>0</v>
      </c>
      <c r="E89" s="33">
        <f>+' Satış Konsolide'!E79</f>
        <v>0</v>
      </c>
      <c r="F89" s="33">
        <f>+' Satış Konsolide'!F79</f>
        <v>0</v>
      </c>
      <c r="G89" s="33">
        <f>+' Satış Konsolide'!G79</f>
        <v>0</v>
      </c>
      <c r="H89" s="33">
        <f>+' Satış Konsolide'!H79</f>
        <v>0</v>
      </c>
      <c r="I89" s="32">
        <f>+' Satış Konsolide'!I79</f>
        <v>0</v>
      </c>
      <c r="J89" s="32">
        <f>+' Satış Konsolide'!J79</f>
        <v>0</v>
      </c>
      <c r="K89" s="33">
        <f>+' Satış Konsolide'!K79</f>
        <v>0</v>
      </c>
      <c r="L89" s="33">
        <f>+' Satış Konsolide'!L79</f>
        <v>0</v>
      </c>
      <c r="M89" s="33">
        <f>+' Satış Konsolide'!M79</f>
        <v>0</v>
      </c>
      <c r="N89" s="33">
        <f>+' Satış Konsolide'!N79</f>
        <v>0</v>
      </c>
      <c r="O89" s="34">
        <f>+' Satış Konsolide'!O79</f>
        <v>0</v>
      </c>
      <c r="P89" s="1133">
        <f t="shared" si="21"/>
        <v>0</v>
      </c>
      <c r="Q89" s="1123" t="str">
        <f t="shared" si="22"/>
        <v>-</v>
      </c>
      <c r="R89" s="3">
        <f>+P89-' Satış Konsolide'!P79</f>
        <v>0</v>
      </c>
    </row>
    <row r="90" spans="1:18" ht="15" customHeight="1" thickBot="1">
      <c r="A90" s="1147" t="s">
        <v>18</v>
      </c>
      <c r="B90" s="747">
        <f>+' Satış Konsolide'!B80</f>
        <v>0</v>
      </c>
      <c r="C90" s="747">
        <f>+' Satış Konsolide'!C80</f>
        <v>0</v>
      </c>
      <c r="D90" s="63">
        <f>+' Satış Konsolide'!D80</f>
        <v>0</v>
      </c>
      <c r="E90" s="64">
        <f>+' Satış Konsolide'!E80</f>
        <v>0</v>
      </c>
      <c r="F90" s="64">
        <f>+' Satış Konsolide'!F80</f>
        <v>0</v>
      </c>
      <c r="G90" s="64">
        <f>+' Satış Konsolide'!G80</f>
        <v>0</v>
      </c>
      <c r="H90" s="64">
        <f>+' Satış Konsolide'!H80</f>
        <v>0</v>
      </c>
      <c r="I90" s="64">
        <f>+' Satış Konsolide'!I80</f>
        <v>0</v>
      </c>
      <c r="J90" s="64">
        <f>+' Satış Konsolide'!J80</f>
        <v>0</v>
      </c>
      <c r="K90" s="64">
        <f>+' Satış Konsolide'!K80</f>
        <v>0</v>
      </c>
      <c r="L90" s="64">
        <f>+' Satış Konsolide'!L80</f>
        <v>0</v>
      </c>
      <c r="M90" s="64">
        <f>+' Satış Konsolide'!M80</f>
        <v>0</v>
      </c>
      <c r="N90" s="64">
        <f>+' Satış Konsolide'!N80</f>
        <v>0</v>
      </c>
      <c r="O90" s="62">
        <f>+' Satış Konsolide'!O80</f>
        <v>0</v>
      </c>
      <c r="P90" s="747">
        <f t="shared" si="21"/>
        <v>0</v>
      </c>
      <c r="Q90" s="1126" t="str">
        <f t="shared" si="22"/>
        <v>-</v>
      </c>
      <c r="R90" s="3">
        <f>+P90-' Satış Konsolide'!P80</f>
        <v>0</v>
      </c>
    </row>
    <row r="91" spans="1:18" ht="22.5" customHeight="1" thickBot="1">
      <c r="A91" s="1140" t="s">
        <v>29</v>
      </c>
      <c r="B91" s="748">
        <f>+B45-B68</f>
        <v>0</v>
      </c>
      <c r="C91" s="748">
        <f t="shared" ref="C91:O96" si="23">+C45-C68</f>
        <v>0</v>
      </c>
      <c r="D91" s="68">
        <f t="shared" si="23"/>
        <v>0</v>
      </c>
      <c r="E91" s="69">
        <f t="shared" si="23"/>
        <v>0</v>
      </c>
      <c r="F91" s="69">
        <f t="shared" si="23"/>
        <v>0</v>
      </c>
      <c r="G91" s="69">
        <f t="shared" si="23"/>
        <v>0</v>
      </c>
      <c r="H91" s="69">
        <f t="shared" si="23"/>
        <v>0</v>
      </c>
      <c r="I91" s="69">
        <f t="shared" si="23"/>
        <v>0</v>
      </c>
      <c r="J91" s="69">
        <f t="shared" si="23"/>
        <v>0</v>
      </c>
      <c r="K91" s="69">
        <f t="shared" si="23"/>
        <v>0</v>
      </c>
      <c r="L91" s="69">
        <f t="shared" si="23"/>
        <v>0</v>
      </c>
      <c r="M91" s="69">
        <f t="shared" si="23"/>
        <v>0</v>
      </c>
      <c r="N91" s="69">
        <f t="shared" si="23"/>
        <v>0</v>
      </c>
      <c r="O91" s="70">
        <f t="shared" si="23"/>
        <v>0</v>
      </c>
      <c r="P91" s="748">
        <f t="shared" si="21"/>
        <v>0</v>
      </c>
      <c r="Q91" s="1105" t="str">
        <f t="shared" si="22"/>
        <v>-</v>
      </c>
      <c r="R91" s="3">
        <f>+P91-' Satış Konsolide'!P81</f>
        <v>0</v>
      </c>
    </row>
    <row r="92" spans="1:18" ht="16.5" customHeight="1">
      <c r="A92" s="72" t="s">
        <v>19</v>
      </c>
      <c r="B92" s="749">
        <f t="shared" ref="B92" si="24">+B46-B69</f>
        <v>0</v>
      </c>
      <c r="C92" s="749">
        <f t="shared" si="23"/>
        <v>0</v>
      </c>
      <c r="D92" s="75">
        <f t="shared" si="23"/>
        <v>0</v>
      </c>
      <c r="E92" s="76">
        <f t="shared" si="23"/>
        <v>0</v>
      </c>
      <c r="F92" s="76">
        <f t="shared" si="23"/>
        <v>0</v>
      </c>
      <c r="G92" s="76">
        <f t="shared" si="23"/>
        <v>0</v>
      </c>
      <c r="H92" s="76">
        <f t="shared" si="23"/>
        <v>0</v>
      </c>
      <c r="I92" s="76">
        <f t="shared" si="23"/>
        <v>0</v>
      </c>
      <c r="J92" s="76">
        <f t="shared" si="23"/>
        <v>0</v>
      </c>
      <c r="K92" s="76">
        <f t="shared" si="23"/>
        <v>0</v>
      </c>
      <c r="L92" s="76">
        <f t="shared" si="23"/>
        <v>0</v>
      </c>
      <c r="M92" s="76">
        <f t="shared" si="23"/>
        <v>0</v>
      </c>
      <c r="N92" s="76">
        <f t="shared" si="23"/>
        <v>0</v>
      </c>
      <c r="O92" s="77">
        <f t="shared" si="23"/>
        <v>0</v>
      </c>
      <c r="P92" s="1135">
        <f t="shared" si="21"/>
        <v>0</v>
      </c>
      <c r="Q92" s="1127" t="str">
        <f t="shared" si="22"/>
        <v>-</v>
      </c>
      <c r="R92" s="3">
        <f>+P92-' Satış Konsolide'!P82</f>
        <v>0</v>
      </c>
    </row>
    <row r="93" spans="1:18" ht="16.5" customHeight="1" thickBot="1">
      <c r="A93" s="80" t="s">
        <v>20</v>
      </c>
      <c r="B93" s="750">
        <f t="shared" ref="B93" si="25">+B47-B70</f>
        <v>0</v>
      </c>
      <c r="C93" s="750">
        <f t="shared" si="23"/>
        <v>0</v>
      </c>
      <c r="D93" s="83">
        <f t="shared" si="23"/>
        <v>0</v>
      </c>
      <c r="E93" s="84">
        <f t="shared" si="23"/>
        <v>0</v>
      </c>
      <c r="F93" s="84">
        <f t="shared" si="23"/>
        <v>0</v>
      </c>
      <c r="G93" s="84">
        <f t="shared" si="23"/>
        <v>0</v>
      </c>
      <c r="H93" s="84">
        <f t="shared" si="23"/>
        <v>0</v>
      </c>
      <c r="I93" s="84">
        <f t="shared" si="23"/>
        <v>0</v>
      </c>
      <c r="J93" s="84">
        <f t="shared" si="23"/>
        <v>0</v>
      </c>
      <c r="K93" s="84">
        <f t="shared" si="23"/>
        <v>0</v>
      </c>
      <c r="L93" s="84">
        <f t="shared" si="23"/>
        <v>0</v>
      </c>
      <c r="M93" s="84">
        <f t="shared" si="23"/>
        <v>0</v>
      </c>
      <c r="N93" s="84">
        <f t="shared" si="23"/>
        <v>0</v>
      </c>
      <c r="O93" s="85">
        <f t="shared" si="23"/>
        <v>0</v>
      </c>
      <c r="P93" s="1136">
        <f t="shared" si="21"/>
        <v>0</v>
      </c>
      <c r="Q93" s="1128" t="str">
        <f t="shared" si="22"/>
        <v>-</v>
      </c>
      <c r="R93" s="3">
        <f>+P93-' Satış Konsolide'!P83</f>
        <v>0</v>
      </c>
    </row>
    <row r="94" spans="1:18" ht="22.5" customHeight="1" thickBot="1">
      <c r="A94" s="1140" t="s">
        <v>30</v>
      </c>
      <c r="B94" s="94">
        <f>+B48-B71</f>
        <v>0.16949</v>
      </c>
      <c r="C94" s="94">
        <f t="shared" si="23"/>
        <v>0</v>
      </c>
      <c r="D94" s="16">
        <f t="shared" si="23"/>
        <v>0</v>
      </c>
      <c r="E94" s="17">
        <f t="shared" si="23"/>
        <v>0</v>
      </c>
      <c r="F94" s="17">
        <f t="shared" si="23"/>
        <v>0</v>
      </c>
      <c r="G94" s="17">
        <f t="shared" si="23"/>
        <v>0</v>
      </c>
      <c r="H94" s="17">
        <f t="shared" si="23"/>
        <v>0</v>
      </c>
      <c r="I94" s="17">
        <f t="shared" si="23"/>
        <v>0</v>
      </c>
      <c r="J94" s="17">
        <f t="shared" si="23"/>
        <v>0</v>
      </c>
      <c r="K94" s="17">
        <f t="shared" si="23"/>
        <v>0</v>
      </c>
      <c r="L94" s="17">
        <f t="shared" si="23"/>
        <v>0</v>
      </c>
      <c r="M94" s="17">
        <f t="shared" si="23"/>
        <v>0</v>
      </c>
      <c r="N94" s="17">
        <f t="shared" si="23"/>
        <v>0</v>
      </c>
      <c r="O94" s="120">
        <f t="shared" si="23"/>
        <v>0</v>
      </c>
      <c r="P94" s="94">
        <f t="shared" si="21"/>
        <v>0</v>
      </c>
      <c r="Q94" s="1130" t="str">
        <f t="shared" si="22"/>
        <v>-</v>
      </c>
      <c r="R94" s="3">
        <f>+P94-' Satış Konsolide'!P84</f>
        <v>0</v>
      </c>
    </row>
    <row r="95" spans="1:18" ht="16.5" customHeight="1">
      <c r="A95" s="72" t="s">
        <v>106</v>
      </c>
      <c r="B95" s="749">
        <f t="shared" ref="B95" si="26">+B49-B72</f>
        <v>0.16949</v>
      </c>
      <c r="C95" s="749">
        <f t="shared" si="23"/>
        <v>0</v>
      </c>
      <c r="D95" s="75">
        <f t="shared" si="23"/>
        <v>0</v>
      </c>
      <c r="E95" s="76">
        <f t="shared" si="23"/>
        <v>0</v>
      </c>
      <c r="F95" s="76">
        <f t="shared" si="23"/>
        <v>0</v>
      </c>
      <c r="G95" s="76">
        <f t="shared" si="23"/>
        <v>0</v>
      </c>
      <c r="H95" s="76">
        <f t="shared" si="23"/>
        <v>0</v>
      </c>
      <c r="I95" s="76">
        <f t="shared" si="23"/>
        <v>0</v>
      </c>
      <c r="J95" s="76">
        <f t="shared" si="23"/>
        <v>0</v>
      </c>
      <c r="K95" s="76">
        <f t="shared" si="23"/>
        <v>0</v>
      </c>
      <c r="L95" s="76">
        <f t="shared" si="23"/>
        <v>0</v>
      </c>
      <c r="M95" s="76">
        <f t="shared" si="23"/>
        <v>0</v>
      </c>
      <c r="N95" s="76">
        <f t="shared" si="23"/>
        <v>0</v>
      </c>
      <c r="O95" s="77">
        <f t="shared" si="23"/>
        <v>0</v>
      </c>
      <c r="P95" s="1135">
        <f t="shared" si="21"/>
        <v>0</v>
      </c>
      <c r="Q95" s="1127" t="str">
        <f t="shared" si="22"/>
        <v>-</v>
      </c>
      <c r="R95" s="3">
        <f>+P95-' Satış Konsolide'!P85</f>
        <v>0</v>
      </c>
    </row>
    <row r="96" spans="1:18" ht="16.5" customHeight="1" thickBot="1">
      <c r="A96" s="122" t="s">
        <v>105</v>
      </c>
      <c r="B96" s="751">
        <f t="shared" ref="B96" si="27">+B50-B73</f>
        <v>0</v>
      </c>
      <c r="C96" s="751">
        <f t="shared" si="23"/>
        <v>0</v>
      </c>
      <c r="D96" s="125">
        <f t="shared" si="23"/>
        <v>0</v>
      </c>
      <c r="E96" s="126">
        <f t="shared" si="23"/>
        <v>0</v>
      </c>
      <c r="F96" s="126">
        <f t="shared" si="23"/>
        <v>0</v>
      </c>
      <c r="G96" s="126">
        <f t="shared" si="23"/>
        <v>0</v>
      </c>
      <c r="H96" s="126">
        <f t="shared" si="23"/>
        <v>0</v>
      </c>
      <c r="I96" s="126">
        <f t="shared" si="23"/>
        <v>0</v>
      </c>
      <c r="J96" s="126">
        <f t="shared" si="23"/>
        <v>0</v>
      </c>
      <c r="K96" s="126">
        <f t="shared" si="23"/>
        <v>0</v>
      </c>
      <c r="L96" s="126">
        <f t="shared" si="23"/>
        <v>0</v>
      </c>
      <c r="M96" s="126">
        <f t="shared" si="23"/>
        <v>0</v>
      </c>
      <c r="N96" s="126">
        <f t="shared" si="23"/>
        <v>0</v>
      </c>
      <c r="O96" s="127">
        <f t="shared" si="23"/>
        <v>0</v>
      </c>
      <c r="P96" s="1137">
        <f t="shared" si="21"/>
        <v>0</v>
      </c>
      <c r="Q96" s="1129" t="str">
        <f t="shared" si="22"/>
        <v>-</v>
      </c>
      <c r="R96" s="3">
        <f>+P96-' Satış Konsolide'!P86</f>
        <v>0</v>
      </c>
    </row>
    <row r="97" spans="1:26" ht="16.5" customHeight="1" thickBot="1">
      <c r="B97" s="3"/>
      <c r="C97" s="3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9"/>
      <c r="R97" s="3">
        <f>+P97-' Satış Konsolide'!P87</f>
        <v>0</v>
      </c>
    </row>
    <row r="98" spans="1:26" ht="22.5" customHeight="1" thickBot="1">
      <c r="A98" s="13" t="s">
        <v>86</v>
      </c>
      <c r="B98" s="15">
        <f t="shared" ref="B98" si="28">+B52-B75</f>
        <v>0</v>
      </c>
      <c r="C98" s="15">
        <f t="shared" ref="C98:O98" si="29">+C52-C75</f>
        <v>0</v>
      </c>
      <c r="D98" s="16">
        <f t="shared" si="29"/>
        <v>0</v>
      </c>
      <c r="E98" s="17">
        <f t="shared" si="29"/>
        <v>0</v>
      </c>
      <c r="F98" s="17">
        <f t="shared" si="29"/>
        <v>0</v>
      </c>
      <c r="G98" s="17">
        <f t="shared" si="29"/>
        <v>0</v>
      </c>
      <c r="H98" s="17">
        <f t="shared" si="29"/>
        <v>0</v>
      </c>
      <c r="I98" s="17">
        <f t="shared" si="29"/>
        <v>0</v>
      </c>
      <c r="J98" s="17">
        <f t="shared" si="29"/>
        <v>0</v>
      </c>
      <c r="K98" s="17">
        <f t="shared" si="29"/>
        <v>0</v>
      </c>
      <c r="L98" s="17">
        <f t="shared" si="29"/>
        <v>0</v>
      </c>
      <c r="M98" s="17">
        <f t="shared" si="29"/>
        <v>0</v>
      </c>
      <c r="N98" s="17">
        <f t="shared" si="29"/>
        <v>0</v>
      </c>
      <c r="O98" s="120">
        <f t="shared" si="29"/>
        <v>0</v>
      </c>
      <c r="P98" s="94">
        <f>SUM(D98:O98)</f>
        <v>0</v>
      </c>
      <c r="Q98" s="1130" t="str">
        <f>IF(P98=0,"-",P98/C98-1)</f>
        <v>-</v>
      </c>
      <c r="R98" s="3">
        <f>+P98-' Satış Konsolide'!P88</f>
        <v>0</v>
      </c>
    </row>
    <row r="99" spans="1:26" s="93" customFormat="1" ht="14.25" customHeight="1" thickBot="1">
      <c r="A99" s="90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>
        <f>SUM(D99:O99)</f>
        <v>0</v>
      </c>
      <c r="Q99" s="92"/>
      <c r="R99" s="3">
        <f>+P99-' Satış Konsolide'!P89</f>
        <v>0</v>
      </c>
    </row>
    <row r="100" spans="1:26" ht="22.5" customHeight="1" thickBot="1">
      <c r="A100" s="13" t="s">
        <v>72</v>
      </c>
      <c r="B100" s="15">
        <f>+B81+B91+B94+B98</f>
        <v>0.16949</v>
      </c>
      <c r="C100" s="15">
        <f t="shared" ref="C100:O100" si="30">+C81+C91+C94+C98</f>
        <v>0</v>
      </c>
      <c r="D100" s="16">
        <f>+D81+D91+D94+D98</f>
        <v>0</v>
      </c>
      <c r="E100" s="17">
        <f t="shared" si="30"/>
        <v>0</v>
      </c>
      <c r="F100" s="17">
        <f t="shared" si="30"/>
        <v>0</v>
      </c>
      <c r="G100" s="17">
        <f t="shared" si="30"/>
        <v>0</v>
      </c>
      <c r="H100" s="17">
        <f t="shared" si="30"/>
        <v>0</v>
      </c>
      <c r="I100" s="17">
        <f t="shared" si="30"/>
        <v>0</v>
      </c>
      <c r="J100" s="17">
        <f t="shared" si="30"/>
        <v>0</v>
      </c>
      <c r="K100" s="17">
        <f t="shared" si="30"/>
        <v>0</v>
      </c>
      <c r="L100" s="17">
        <f t="shared" si="30"/>
        <v>0</v>
      </c>
      <c r="M100" s="17">
        <f t="shared" si="30"/>
        <v>0</v>
      </c>
      <c r="N100" s="17">
        <f t="shared" si="30"/>
        <v>0</v>
      </c>
      <c r="O100" s="120">
        <f t="shared" si="30"/>
        <v>0</v>
      </c>
      <c r="P100" s="94">
        <f>SUM(D100:O100)</f>
        <v>0</v>
      </c>
      <c r="Q100" s="1130" t="str">
        <f>IF(P100=0,"-",P100/C100-1)</f>
        <v>-</v>
      </c>
      <c r="R100" s="3">
        <f>+P100-' Satış Konsolide'!P90</f>
        <v>0</v>
      </c>
    </row>
    <row r="101" spans="1:26" ht="14.4" thickBot="1"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O101" s="3"/>
      <c r="P101" s="3"/>
      <c r="R101" s="3">
        <f>+P101-' Satış Konsolide'!P91</f>
        <v>0</v>
      </c>
    </row>
    <row r="102" spans="1:26" ht="33" customHeight="1">
      <c r="A102" s="5"/>
      <c r="B102" s="2341" t="s">
        <v>648</v>
      </c>
      <c r="C102" s="2341" t="s">
        <v>647</v>
      </c>
      <c r="D102" s="2313" t="s">
        <v>643</v>
      </c>
      <c r="E102" s="2314"/>
      <c r="F102" s="2314"/>
      <c r="G102" s="2314"/>
      <c r="H102" s="2314"/>
      <c r="I102" s="2314"/>
      <c r="J102" s="2314"/>
      <c r="K102" s="2314"/>
      <c r="L102" s="2314"/>
      <c r="M102" s="2314"/>
      <c r="N102" s="2314"/>
      <c r="O102" s="2314"/>
      <c r="P102" s="2315"/>
      <c r="Q102" s="937" t="s">
        <v>638</v>
      </c>
      <c r="R102" s="3">
        <f>+P102-' Satış Konsolide'!P92</f>
        <v>0</v>
      </c>
    </row>
    <row r="103" spans="1:26" ht="30.75" customHeight="1" thickBot="1">
      <c r="A103" s="7"/>
      <c r="B103" s="2342"/>
      <c r="C103" s="2342"/>
      <c r="D103" s="740" t="s">
        <v>1</v>
      </c>
      <c r="E103" s="10" t="s">
        <v>2</v>
      </c>
      <c r="F103" s="10" t="s">
        <v>3</v>
      </c>
      <c r="G103" s="10" t="s">
        <v>4</v>
      </c>
      <c r="H103" s="10" t="s">
        <v>5</v>
      </c>
      <c r="I103" s="10" t="s">
        <v>6</v>
      </c>
      <c r="J103" s="10" t="s">
        <v>7</v>
      </c>
      <c r="K103" s="10" t="s">
        <v>8</v>
      </c>
      <c r="L103" s="10" t="s">
        <v>9</v>
      </c>
      <c r="M103" s="10" t="s">
        <v>10</v>
      </c>
      <c r="N103" s="10" t="s">
        <v>11</v>
      </c>
      <c r="O103" s="10" t="s">
        <v>12</v>
      </c>
      <c r="P103" s="11" t="s">
        <v>13</v>
      </c>
      <c r="Q103" s="941" t="s">
        <v>618</v>
      </c>
      <c r="R103" s="3" t="e">
        <f>+P103-' Satış Konsolide'!P93</f>
        <v>#VALUE!</v>
      </c>
    </row>
    <row r="104" spans="1:26" ht="22.5" customHeight="1" thickBot="1">
      <c r="A104" s="1140" t="s">
        <v>28</v>
      </c>
      <c r="B104" s="94">
        <f>+' Satış Konsolide'!B94</f>
        <v>0</v>
      </c>
      <c r="C104" s="94">
        <f>+' Satış Konsolide'!C94</f>
        <v>0</v>
      </c>
      <c r="D104" s="16">
        <f>İHALE!D94+'Ötv''siz Deniz'!D94+'Ötv''li Deniz'!D94+DAĞITICI!D94+Perakende!D94+ENDÜSTRİYEL!D94</f>
        <v>0</v>
      </c>
      <c r="E104" s="17">
        <f>İHALE!E94+'Ötv''siz Deniz'!E94+'Ötv''li Deniz'!E94+DAĞITICI!E94+Perakende!E94+ENDÜSTRİYEL!E94</f>
        <v>0</v>
      </c>
      <c r="F104" s="17">
        <f>İHALE!F94+'Ötv''siz Deniz'!F94+'Ötv''li Deniz'!F94+DAĞITICI!F94+Perakende!F94+ENDÜSTRİYEL!F94</f>
        <v>0</v>
      </c>
      <c r="G104" s="17">
        <f>İHALE!G94+'Ötv''siz Deniz'!G94+'Ötv''li Deniz'!G94+DAĞITICI!G94+Perakende!G94+ENDÜSTRİYEL!G94</f>
        <v>0</v>
      </c>
      <c r="H104" s="17">
        <f>İHALE!H94+'Ötv''siz Deniz'!H94+'Ötv''li Deniz'!H94+DAĞITICI!H94+Perakende!H94+ENDÜSTRİYEL!H94</f>
        <v>0</v>
      </c>
      <c r="I104" s="17">
        <f>İHALE!I94+'Ötv''siz Deniz'!I94+'Ötv''li Deniz'!I94+DAĞITICI!I94+Perakende!I94+ENDÜSTRİYEL!I94</f>
        <v>0</v>
      </c>
      <c r="J104" s="17">
        <f>İHALE!J94+'Ötv''siz Deniz'!J94+'Ötv''li Deniz'!J94+DAĞITICI!J94+Perakende!J94+ENDÜSTRİYEL!J94</f>
        <v>0</v>
      </c>
      <c r="K104" s="17">
        <f>İHALE!K94+'Ötv''siz Deniz'!K94+'Ötv''li Deniz'!K94+DAĞITICI!K94+Perakende!K94+ENDÜSTRİYEL!K94</f>
        <v>0</v>
      </c>
      <c r="L104" s="17">
        <f>İHALE!L94+'Ötv''siz Deniz'!L94+'Ötv''li Deniz'!L94+DAĞITICI!L94+Perakende!L94+ENDÜSTRİYEL!L94</f>
        <v>0</v>
      </c>
      <c r="M104" s="17">
        <f>İHALE!M94+'Ötv''siz Deniz'!M94+'Ötv''li Deniz'!M94+DAĞITICI!M94+Perakende!M94+ENDÜSTRİYEL!M94</f>
        <v>0</v>
      </c>
      <c r="N104" s="17">
        <f>İHALE!N94+'Ötv''siz Deniz'!N94+'Ötv''li Deniz'!N94+DAĞITICI!N94+Perakende!N94+ENDÜSTRİYEL!N94</f>
        <v>0</v>
      </c>
      <c r="O104" s="15">
        <f>İHALE!O94+'Ötv''siz Deniz'!O94+'Ötv''li Deniz'!O94+DAĞITICI!O94+Perakende!O94+ENDÜSTRİYEL!O94</f>
        <v>0</v>
      </c>
      <c r="P104" s="94">
        <f>P107+P108+P113</f>
        <v>0</v>
      </c>
      <c r="Q104" s="1130" t="str">
        <f t="shared" ref="Q104:Q119" si="31">IF(P104=0,"-",P104/C104-1)</f>
        <v>-</v>
      </c>
      <c r="R104" s="3">
        <f>+P104-' Satış Konsolide'!P94</f>
        <v>0</v>
      </c>
      <c r="Z104" s="249"/>
    </row>
    <row r="105" spans="1:26" ht="16.5" customHeight="1">
      <c r="A105" s="1141" t="s">
        <v>15</v>
      </c>
      <c r="B105" s="741">
        <f>+' Satış Konsolide'!B95</f>
        <v>0</v>
      </c>
      <c r="C105" s="741">
        <f>+' Satış Konsolide'!C95</f>
        <v>0</v>
      </c>
      <c r="D105" s="22">
        <f>+' Satış Konsolide'!D95</f>
        <v>0</v>
      </c>
      <c r="E105" s="23">
        <f>+' Satış Konsolide'!E95</f>
        <v>0</v>
      </c>
      <c r="F105" s="23">
        <f>+' Satış Konsolide'!F95</f>
        <v>0</v>
      </c>
      <c r="G105" s="23">
        <f>+' Satış Konsolide'!G95</f>
        <v>0</v>
      </c>
      <c r="H105" s="24">
        <f>+' Satış Konsolide'!H95</f>
        <v>0</v>
      </c>
      <c r="I105" s="24">
        <f>+' Satış Konsolide'!I95</f>
        <v>0</v>
      </c>
      <c r="J105" s="24">
        <f>+' Satış Konsolide'!J95</f>
        <v>0</v>
      </c>
      <c r="K105" s="24">
        <f>+' Satış Konsolide'!K95</f>
        <v>0</v>
      </c>
      <c r="L105" s="24">
        <f>+' Satış Konsolide'!L95</f>
        <v>0</v>
      </c>
      <c r="M105" s="24">
        <f>+' Satış Konsolide'!M95</f>
        <v>0</v>
      </c>
      <c r="N105" s="24">
        <f>+' Satış Konsolide'!N95</f>
        <v>0</v>
      </c>
      <c r="O105" s="25">
        <f>+' Satış Konsolide'!O95</f>
        <v>0</v>
      </c>
      <c r="P105" s="1131">
        <f t="shared" ref="P105:P112" si="32">SUM(D105:O105)</f>
        <v>0</v>
      </c>
      <c r="Q105" s="1122" t="str">
        <f t="shared" si="31"/>
        <v>-</v>
      </c>
      <c r="R105" s="3">
        <f>+P105-' Satış Konsolide'!P95</f>
        <v>0</v>
      </c>
    </row>
    <row r="106" spans="1:26" ht="16.5" customHeight="1">
      <c r="A106" s="1142" t="s">
        <v>16</v>
      </c>
      <c r="B106" s="742">
        <f>+' Satış Konsolide'!B96</f>
        <v>0</v>
      </c>
      <c r="C106" s="742">
        <f>+' Satış Konsolide'!C96</f>
        <v>0</v>
      </c>
      <c r="D106" s="31">
        <f>+' Satış Konsolide'!D96</f>
        <v>0</v>
      </c>
      <c r="E106" s="32">
        <f>+' Satış Konsolide'!E96</f>
        <v>0</v>
      </c>
      <c r="F106" s="32">
        <f>+' Satış Konsolide'!F96</f>
        <v>0</v>
      </c>
      <c r="G106" s="32">
        <f>+' Satış Konsolide'!G96</f>
        <v>0</v>
      </c>
      <c r="H106" s="33">
        <f>+' Satış Konsolide'!H96</f>
        <v>0</v>
      </c>
      <c r="I106" s="33">
        <f>+' Satış Konsolide'!I96</f>
        <v>0</v>
      </c>
      <c r="J106" s="33">
        <f>+' Satış Konsolide'!J96</f>
        <v>0</v>
      </c>
      <c r="K106" s="33">
        <f>+' Satış Konsolide'!K96</f>
        <v>0</v>
      </c>
      <c r="L106" s="33">
        <f>+' Satış Konsolide'!L96</f>
        <v>0</v>
      </c>
      <c r="M106" s="33">
        <f>+' Satış Konsolide'!M96</f>
        <v>0</v>
      </c>
      <c r="N106" s="33">
        <f>+' Satış Konsolide'!N96</f>
        <v>0</v>
      </c>
      <c r="O106" s="34">
        <f>+' Satış Konsolide'!O96</f>
        <v>0</v>
      </c>
      <c r="P106" s="1132">
        <f t="shared" si="32"/>
        <v>0</v>
      </c>
      <c r="Q106" s="1123" t="str">
        <f t="shared" si="31"/>
        <v>-</v>
      </c>
      <c r="R106" s="3">
        <f>+P106-' Satış Konsolide'!P96</f>
        <v>0</v>
      </c>
    </row>
    <row r="107" spans="1:26" ht="15" customHeight="1">
      <c r="A107" s="1143" t="s">
        <v>27</v>
      </c>
      <c r="B107" s="743">
        <f>+' Satış Konsolide'!B97</f>
        <v>0</v>
      </c>
      <c r="C107" s="743">
        <f>+' Satış Konsolide'!C97</f>
        <v>0</v>
      </c>
      <c r="D107" s="39">
        <f>+' Satış Konsolide'!D97</f>
        <v>0</v>
      </c>
      <c r="E107" s="40">
        <f>+' Satış Konsolide'!E97</f>
        <v>0</v>
      </c>
      <c r="F107" s="40">
        <f>+' Satış Konsolide'!F97</f>
        <v>0</v>
      </c>
      <c r="G107" s="40">
        <f>+' Satış Konsolide'!G97</f>
        <v>0</v>
      </c>
      <c r="H107" s="40">
        <f>+' Satış Konsolide'!H97</f>
        <v>0</v>
      </c>
      <c r="I107" s="40">
        <f>+' Satış Konsolide'!I97</f>
        <v>0</v>
      </c>
      <c r="J107" s="40">
        <f>+' Satış Konsolide'!J97</f>
        <v>0</v>
      </c>
      <c r="K107" s="40">
        <f>+' Satış Konsolide'!K97</f>
        <v>0</v>
      </c>
      <c r="L107" s="40">
        <f>+' Satış Konsolide'!L97</f>
        <v>0</v>
      </c>
      <c r="M107" s="40">
        <f>+' Satış Konsolide'!M97</f>
        <v>0</v>
      </c>
      <c r="N107" s="40">
        <f>+' Satış Konsolide'!N97</f>
        <v>0</v>
      </c>
      <c r="O107" s="38">
        <f>+' Satış Konsolide'!O97</f>
        <v>0</v>
      </c>
      <c r="P107" s="743">
        <f t="shared" si="32"/>
        <v>0</v>
      </c>
      <c r="Q107" s="1139" t="str">
        <f t="shared" si="31"/>
        <v>-</v>
      </c>
      <c r="R107" s="3">
        <f>+P107-' Satış Konsolide'!P97</f>
        <v>0</v>
      </c>
    </row>
    <row r="108" spans="1:26" ht="16.5" customHeight="1">
      <c r="A108" s="1144" t="s">
        <v>17</v>
      </c>
      <c r="B108" s="744">
        <f>+' Satış Konsolide'!B98</f>
        <v>0</v>
      </c>
      <c r="C108" s="744">
        <f>+' Satış Konsolide'!C98</f>
        <v>0</v>
      </c>
      <c r="D108" s="45">
        <f>+' Satış Konsolide'!D98</f>
        <v>0</v>
      </c>
      <c r="E108" s="46">
        <f>+' Satış Konsolide'!E98</f>
        <v>0</v>
      </c>
      <c r="F108" s="46">
        <f>+' Satış Konsolide'!F98</f>
        <v>0</v>
      </c>
      <c r="G108" s="46">
        <f>+' Satış Konsolide'!G98</f>
        <v>0</v>
      </c>
      <c r="H108" s="46">
        <f>+' Satış Konsolide'!H98</f>
        <v>0</v>
      </c>
      <c r="I108" s="46">
        <f>+' Satış Konsolide'!I98</f>
        <v>0</v>
      </c>
      <c r="J108" s="46">
        <f>+' Satış Konsolide'!J98</f>
        <v>0</v>
      </c>
      <c r="K108" s="46">
        <f>+' Satış Konsolide'!K98</f>
        <v>0</v>
      </c>
      <c r="L108" s="46">
        <f>+' Satış Konsolide'!L98</f>
        <v>0</v>
      </c>
      <c r="M108" s="46">
        <f>+' Satış Konsolide'!M98</f>
        <v>0</v>
      </c>
      <c r="N108" s="46">
        <f>+' Satış Konsolide'!N98</f>
        <v>0</v>
      </c>
      <c r="O108" s="47">
        <f>+' Satış Konsolide'!O98</f>
        <v>0</v>
      </c>
      <c r="P108" s="1133">
        <f t="shared" si="32"/>
        <v>0</v>
      </c>
      <c r="Q108" s="1123" t="str">
        <f t="shared" si="31"/>
        <v>-</v>
      </c>
      <c r="R108" s="3">
        <f>+P108-' Satış Konsolide'!P98</f>
        <v>0</v>
      </c>
    </row>
    <row r="109" spans="1:26" ht="16.5" customHeight="1">
      <c r="A109" s="1145" t="s">
        <v>81</v>
      </c>
      <c r="B109" s="745">
        <f>+' Satış Konsolide'!B99</f>
        <v>0</v>
      </c>
      <c r="C109" s="745">
        <f>+' Satış Konsolide'!C99</f>
        <v>0</v>
      </c>
      <c r="D109" s="39">
        <f>+' Satış Konsolide'!D99</f>
        <v>0</v>
      </c>
      <c r="E109" s="40">
        <f>+' Satış Konsolide'!E99</f>
        <v>0</v>
      </c>
      <c r="F109" s="40">
        <f>+' Satış Konsolide'!F99</f>
        <v>0</v>
      </c>
      <c r="G109" s="40">
        <f>+' Satış Konsolide'!G99</f>
        <v>0</v>
      </c>
      <c r="H109" s="40">
        <f>+' Satış Konsolide'!H99</f>
        <v>0</v>
      </c>
      <c r="I109" s="40">
        <f>+' Satış Konsolide'!I99</f>
        <v>0</v>
      </c>
      <c r="J109" s="40">
        <f>+' Satış Konsolide'!J99</f>
        <v>0</v>
      </c>
      <c r="K109" s="40">
        <f>+' Satış Konsolide'!K99</f>
        <v>0</v>
      </c>
      <c r="L109" s="40">
        <f>+' Satış Konsolide'!L99</f>
        <v>0</v>
      </c>
      <c r="M109" s="40">
        <f>+' Satış Konsolide'!M99</f>
        <v>0</v>
      </c>
      <c r="N109" s="40">
        <f>+' Satış Konsolide'!N99</f>
        <v>0</v>
      </c>
      <c r="O109" s="38">
        <f>+' Satış Konsolide'!O99</f>
        <v>0</v>
      </c>
      <c r="P109" s="1134">
        <f t="shared" si="32"/>
        <v>0</v>
      </c>
      <c r="Q109" s="1125" t="str">
        <f t="shared" si="31"/>
        <v>-</v>
      </c>
      <c r="R109" s="3">
        <f>+P109-' Satış Konsolide'!P99</f>
        <v>0</v>
      </c>
    </row>
    <row r="110" spans="1:26" ht="16.5" hidden="1" customHeight="1">
      <c r="A110" s="1146" t="s">
        <v>82</v>
      </c>
      <c r="B110" s="744">
        <f>+' Satış Konsolide'!B100</f>
        <v>0</v>
      </c>
      <c r="C110" s="744">
        <f>+' Satış Konsolide'!C100</f>
        <v>0</v>
      </c>
      <c r="D110" s="45">
        <f>+' Satış Konsolide'!D100</f>
        <v>0</v>
      </c>
      <c r="E110" s="46">
        <f>+' Satış Konsolide'!E100</f>
        <v>0</v>
      </c>
      <c r="F110" s="46">
        <f>+' Satış Konsolide'!F100</f>
        <v>0</v>
      </c>
      <c r="G110" s="46">
        <f>+' Satış Konsolide'!G100</f>
        <v>0</v>
      </c>
      <c r="H110" s="46">
        <f>+' Satış Konsolide'!H100</f>
        <v>0</v>
      </c>
      <c r="I110" s="46">
        <f>+' Satış Konsolide'!I100</f>
        <v>0</v>
      </c>
      <c r="J110" s="46">
        <f>+' Satış Konsolide'!J100</f>
        <v>0</v>
      </c>
      <c r="K110" s="46">
        <f>+' Satış Konsolide'!K100</f>
        <v>0</v>
      </c>
      <c r="L110" s="46">
        <f>+' Satış Konsolide'!L100</f>
        <v>0</v>
      </c>
      <c r="M110" s="46">
        <f>+' Satış Konsolide'!M100</f>
        <v>0</v>
      </c>
      <c r="N110" s="46">
        <f>+' Satış Konsolide'!N100</f>
        <v>0</v>
      </c>
      <c r="O110" s="47">
        <f>+' Satış Konsolide'!O100</f>
        <v>0</v>
      </c>
      <c r="P110" s="1133">
        <f t="shared" si="32"/>
        <v>0</v>
      </c>
      <c r="Q110" s="1123" t="str">
        <f t="shared" si="31"/>
        <v>-</v>
      </c>
      <c r="R110" s="3">
        <f>+P110-' Satış Konsolide'!P100</f>
        <v>0</v>
      </c>
    </row>
    <row r="111" spans="1:26" ht="16.5" customHeight="1">
      <c r="A111" s="1145" t="s">
        <v>83</v>
      </c>
      <c r="B111" s="746">
        <f>+' Satış Konsolide'!B101</f>
        <v>0</v>
      </c>
      <c r="C111" s="746">
        <f>+' Satış Konsolide'!C101</f>
        <v>0</v>
      </c>
      <c r="D111" s="52">
        <f>+' Satış Konsolide'!D101</f>
        <v>0</v>
      </c>
      <c r="E111" s="53">
        <f>+' Satış Konsolide'!E101</f>
        <v>0</v>
      </c>
      <c r="F111" s="54">
        <f>+' Satış Konsolide'!F101</f>
        <v>0</v>
      </c>
      <c r="G111" s="53">
        <f>+' Satış Konsolide'!G101</f>
        <v>0</v>
      </c>
      <c r="H111" s="53">
        <f>+' Satış Konsolide'!H101</f>
        <v>0</v>
      </c>
      <c r="I111" s="53">
        <f>+' Satış Konsolide'!I101</f>
        <v>0</v>
      </c>
      <c r="J111" s="53">
        <f>+' Satış Konsolide'!J101</f>
        <v>0</v>
      </c>
      <c r="K111" s="53">
        <f>+' Satış Konsolide'!K101</f>
        <v>0</v>
      </c>
      <c r="L111" s="53">
        <f>+' Satış Konsolide'!L101</f>
        <v>0</v>
      </c>
      <c r="M111" s="53">
        <f>+' Satış Konsolide'!M101</f>
        <v>0</v>
      </c>
      <c r="N111" s="53">
        <f>+' Satış Konsolide'!N101</f>
        <v>0</v>
      </c>
      <c r="O111" s="55">
        <f>+' Satış Konsolide'!O101</f>
        <v>0</v>
      </c>
      <c r="P111" s="1134">
        <f t="shared" si="32"/>
        <v>0</v>
      </c>
      <c r="Q111" s="1125" t="str">
        <f t="shared" si="31"/>
        <v>-</v>
      </c>
      <c r="R111" s="3">
        <f>+P111-' Satış Konsolide'!P101</f>
        <v>0</v>
      </c>
    </row>
    <row r="112" spans="1:26" ht="16.5" hidden="1" customHeight="1">
      <c r="A112" s="1146" t="s">
        <v>84</v>
      </c>
      <c r="B112" s="742">
        <f>+' Satış Konsolide'!B102</f>
        <v>0</v>
      </c>
      <c r="C112" s="742">
        <f>+' Satış Konsolide'!C102</f>
        <v>0</v>
      </c>
      <c r="D112" s="59">
        <f>+' Satış Konsolide'!D102</f>
        <v>0</v>
      </c>
      <c r="E112" s="33">
        <f>+' Satış Konsolide'!E102</f>
        <v>0</v>
      </c>
      <c r="F112" s="33">
        <f>+' Satış Konsolide'!F102</f>
        <v>0</v>
      </c>
      <c r="G112" s="33">
        <f>+' Satış Konsolide'!G102</f>
        <v>0</v>
      </c>
      <c r="H112" s="33">
        <f>+' Satış Konsolide'!H102</f>
        <v>0</v>
      </c>
      <c r="I112" s="32">
        <f>+' Satış Konsolide'!I102</f>
        <v>0</v>
      </c>
      <c r="J112" s="32">
        <f>+' Satış Konsolide'!J102</f>
        <v>0</v>
      </c>
      <c r="K112" s="33">
        <f>+' Satış Konsolide'!K102</f>
        <v>0</v>
      </c>
      <c r="L112" s="33">
        <f>+' Satış Konsolide'!L102</f>
        <v>0</v>
      </c>
      <c r="M112" s="33">
        <f>+' Satış Konsolide'!M102</f>
        <v>0</v>
      </c>
      <c r="N112" s="33">
        <f>+' Satış Konsolide'!N102</f>
        <v>0</v>
      </c>
      <c r="O112" s="34">
        <f>+' Satış Konsolide'!O102</f>
        <v>0</v>
      </c>
      <c r="P112" s="1133">
        <f t="shared" si="32"/>
        <v>0</v>
      </c>
      <c r="Q112" s="1123" t="str">
        <f t="shared" si="31"/>
        <v>-</v>
      </c>
      <c r="R112" s="3">
        <f>+P112-' Satış Konsolide'!P102</f>
        <v>0</v>
      </c>
    </row>
    <row r="113" spans="1:18" ht="15" customHeight="1" thickBot="1">
      <c r="A113" s="1147" t="s">
        <v>18</v>
      </c>
      <c r="B113" s="747">
        <f>+' Satış Konsolide'!B103</f>
        <v>0</v>
      </c>
      <c r="C113" s="747">
        <f>+' Satış Konsolide'!C103</f>
        <v>0</v>
      </c>
      <c r="D113" s="63">
        <f>+' Satış Konsolide'!D103</f>
        <v>0</v>
      </c>
      <c r="E113" s="64">
        <f>+' Satış Konsolide'!E103</f>
        <v>0</v>
      </c>
      <c r="F113" s="64">
        <f>+' Satış Konsolide'!F103</f>
        <v>0</v>
      </c>
      <c r="G113" s="64">
        <f>+' Satış Konsolide'!G103</f>
        <v>0</v>
      </c>
      <c r="H113" s="64">
        <f>+' Satış Konsolide'!H103</f>
        <v>0</v>
      </c>
      <c r="I113" s="64">
        <f>+' Satış Konsolide'!I103</f>
        <v>0</v>
      </c>
      <c r="J113" s="64">
        <f>+' Satış Konsolide'!J103</f>
        <v>0</v>
      </c>
      <c r="K113" s="64">
        <f>+' Satış Konsolide'!K103</f>
        <v>0</v>
      </c>
      <c r="L113" s="64">
        <f>+' Satış Konsolide'!L103</f>
        <v>0</v>
      </c>
      <c r="M113" s="64">
        <f>+' Satış Konsolide'!M103</f>
        <v>0</v>
      </c>
      <c r="N113" s="64">
        <f>+' Satış Konsolide'!N103</f>
        <v>0</v>
      </c>
      <c r="O113" s="62">
        <f>+' Satış Konsolide'!O103</f>
        <v>0</v>
      </c>
      <c r="P113" s="747">
        <f>SUM(P109:P112)</f>
        <v>0</v>
      </c>
      <c r="Q113" s="1126" t="str">
        <f t="shared" si="31"/>
        <v>-</v>
      </c>
      <c r="R113" s="3">
        <f>+P113-' Satış Konsolide'!P103</f>
        <v>0</v>
      </c>
    </row>
    <row r="114" spans="1:18" ht="22.5" customHeight="1" thickBot="1">
      <c r="A114" s="1140" t="s">
        <v>29</v>
      </c>
      <c r="B114" s="748">
        <f>+' Satış Konsolide'!B104</f>
        <v>0</v>
      </c>
      <c r="C114" s="748">
        <f>+' Satış Konsolide'!C104</f>
        <v>0</v>
      </c>
      <c r="D114" s="68">
        <f>+' Satış Konsolide'!D104</f>
        <v>0</v>
      </c>
      <c r="E114" s="69">
        <f>+' Satış Konsolide'!E104</f>
        <v>0</v>
      </c>
      <c r="F114" s="69">
        <f>+' Satış Konsolide'!F104</f>
        <v>0</v>
      </c>
      <c r="G114" s="69">
        <f>+' Satış Konsolide'!G104</f>
        <v>0</v>
      </c>
      <c r="H114" s="69">
        <f>+' Satış Konsolide'!H104</f>
        <v>0</v>
      </c>
      <c r="I114" s="69">
        <f>+' Satış Konsolide'!I104</f>
        <v>0</v>
      </c>
      <c r="J114" s="69">
        <f>+' Satış Konsolide'!J104</f>
        <v>0</v>
      </c>
      <c r="K114" s="69">
        <f>+' Satış Konsolide'!K104</f>
        <v>0</v>
      </c>
      <c r="L114" s="69">
        <f>+' Satış Konsolide'!L104</f>
        <v>0</v>
      </c>
      <c r="M114" s="69">
        <f>+' Satış Konsolide'!M104</f>
        <v>0</v>
      </c>
      <c r="N114" s="69">
        <f>+' Satış Konsolide'!N104</f>
        <v>0</v>
      </c>
      <c r="O114" s="70">
        <f>+' Satış Konsolide'!O104</f>
        <v>0</v>
      </c>
      <c r="P114" s="748">
        <f>SUM(P115:P116)</f>
        <v>0</v>
      </c>
      <c r="Q114" s="1105" t="str">
        <f t="shared" si="31"/>
        <v>-</v>
      </c>
      <c r="R114" s="3">
        <f>+P114-' Satış Konsolide'!P104</f>
        <v>0</v>
      </c>
    </row>
    <row r="115" spans="1:18" ht="16.5" customHeight="1">
      <c r="A115" s="72" t="s">
        <v>19</v>
      </c>
      <c r="B115" s="749">
        <f>+' Satış Konsolide'!B105</f>
        <v>0</v>
      </c>
      <c r="C115" s="749">
        <f>+' Satış Konsolide'!C105</f>
        <v>0</v>
      </c>
      <c r="D115" s="75">
        <f>+' Satış Konsolide'!D105</f>
        <v>0</v>
      </c>
      <c r="E115" s="75">
        <f>+' Satış Konsolide'!E105</f>
        <v>0</v>
      </c>
      <c r="F115" s="75">
        <f>+' Satış Konsolide'!F105</f>
        <v>0</v>
      </c>
      <c r="G115" s="75">
        <f>+' Satış Konsolide'!G105</f>
        <v>0</v>
      </c>
      <c r="H115" s="75">
        <f>+' Satış Konsolide'!H105</f>
        <v>0</v>
      </c>
      <c r="I115" s="75">
        <f>+' Satış Konsolide'!I105</f>
        <v>0</v>
      </c>
      <c r="J115" s="75">
        <f>+' Satış Konsolide'!J105</f>
        <v>0</v>
      </c>
      <c r="K115" s="75">
        <f>+' Satış Konsolide'!K105</f>
        <v>0</v>
      </c>
      <c r="L115" s="75">
        <f>+' Satış Konsolide'!L105</f>
        <v>0</v>
      </c>
      <c r="M115" s="75">
        <f>+' Satış Konsolide'!M105</f>
        <v>0</v>
      </c>
      <c r="N115" s="75">
        <f>+' Satış Konsolide'!N105</f>
        <v>0</v>
      </c>
      <c r="O115" s="75">
        <f>+' Satış Konsolide'!O105</f>
        <v>0</v>
      </c>
      <c r="P115" s="1135">
        <f>SUM(D115:O115)</f>
        <v>0</v>
      </c>
      <c r="Q115" s="1127" t="str">
        <f t="shared" si="31"/>
        <v>-</v>
      </c>
      <c r="R115" s="3">
        <f>+P115-' Satış Konsolide'!P105</f>
        <v>0</v>
      </c>
    </row>
    <row r="116" spans="1:18" ht="16.5" customHeight="1" thickBot="1">
      <c r="A116" s="80" t="s">
        <v>20</v>
      </c>
      <c r="B116" s="750">
        <f>+' Satış Konsolide'!B106</f>
        <v>0</v>
      </c>
      <c r="C116" s="750">
        <f>+' Satış Konsolide'!C106</f>
        <v>0</v>
      </c>
      <c r="D116" s="83">
        <f>+' Satış Konsolide'!D106</f>
        <v>0</v>
      </c>
      <c r="E116" s="83">
        <f>+' Satış Konsolide'!E106</f>
        <v>0</v>
      </c>
      <c r="F116" s="83">
        <f>+' Satış Konsolide'!F106</f>
        <v>0</v>
      </c>
      <c r="G116" s="83">
        <f>+' Satış Konsolide'!G106</f>
        <v>0</v>
      </c>
      <c r="H116" s="83">
        <f>+' Satış Konsolide'!H106</f>
        <v>0</v>
      </c>
      <c r="I116" s="83">
        <f>+' Satış Konsolide'!I106</f>
        <v>0</v>
      </c>
      <c r="J116" s="83">
        <f>+' Satış Konsolide'!J106</f>
        <v>0</v>
      </c>
      <c r="K116" s="83">
        <f>+' Satış Konsolide'!K106</f>
        <v>0</v>
      </c>
      <c r="L116" s="83">
        <f>+' Satış Konsolide'!L106</f>
        <v>0</v>
      </c>
      <c r="M116" s="83">
        <f>+' Satış Konsolide'!M106</f>
        <v>0</v>
      </c>
      <c r="N116" s="83">
        <f>+' Satış Konsolide'!N106</f>
        <v>0</v>
      </c>
      <c r="O116" s="83">
        <f>+' Satış Konsolide'!O106</f>
        <v>0</v>
      </c>
      <c r="P116" s="1136">
        <f>SUM(D116:O116)</f>
        <v>0</v>
      </c>
      <c r="Q116" s="1128" t="str">
        <f t="shared" si="31"/>
        <v>-</v>
      </c>
      <c r="R116" s="3">
        <f>+P116-' Satış Konsolide'!P106</f>
        <v>0</v>
      </c>
    </row>
    <row r="117" spans="1:18" ht="22.5" customHeight="1" thickBot="1">
      <c r="A117" s="1140" t="s">
        <v>30</v>
      </c>
      <c r="B117" s="748">
        <f>+' Satış Konsolide'!B107</f>
        <v>0.12118642995000001</v>
      </c>
      <c r="C117" s="748">
        <f>+' Satış Konsolide'!C107</f>
        <v>0</v>
      </c>
      <c r="D117" s="68">
        <f>+' Satış Konsolide'!D107</f>
        <v>0</v>
      </c>
      <c r="E117" s="68">
        <f>+' Satış Konsolide'!E107</f>
        <v>0</v>
      </c>
      <c r="F117" s="68">
        <f>+' Satış Konsolide'!F107</f>
        <v>0</v>
      </c>
      <c r="G117" s="68">
        <f>+' Satış Konsolide'!G107</f>
        <v>0</v>
      </c>
      <c r="H117" s="68">
        <f>+' Satış Konsolide'!H107</f>
        <v>0</v>
      </c>
      <c r="I117" s="68">
        <f>+' Satış Konsolide'!I107</f>
        <v>0</v>
      </c>
      <c r="J117" s="68">
        <f>+' Satış Konsolide'!J107</f>
        <v>0</v>
      </c>
      <c r="K117" s="68">
        <f>+' Satış Konsolide'!K107</f>
        <v>0</v>
      </c>
      <c r="L117" s="68">
        <f>+' Satış Konsolide'!L107</f>
        <v>0</v>
      </c>
      <c r="M117" s="68">
        <f>+' Satış Konsolide'!M107</f>
        <v>0</v>
      </c>
      <c r="N117" s="68">
        <f>+' Satış Konsolide'!N107</f>
        <v>0</v>
      </c>
      <c r="O117" s="68">
        <f>+' Satış Konsolide'!O107</f>
        <v>0</v>
      </c>
      <c r="P117" s="748">
        <f>SUM(P118:P119)</f>
        <v>0</v>
      </c>
      <c r="Q117" s="1105" t="str">
        <f t="shared" si="31"/>
        <v>-</v>
      </c>
      <c r="R117" s="3">
        <f>+P117-' Satış Konsolide'!P107</f>
        <v>0</v>
      </c>
    </row>
    <row r="118" spans="1:18" ht="16.5" customHeight="1">
      <c r="A118" s="72" t="s">
        <v>106</v>
      </c>
      <c r="B118" s="749">
        <f>+' Satış Konsolide'!B108</f>
        <v>0.12118642995000001</v>
      </c>
      <c r="C118" s="749">
        <f>+' Satış Konsolide'!C108</f>
        <v>0</v>
      </c>
      <c r="D118" s="75">
        <f>+' Satış Konsolide'!D108</f>
        <v>0</v>
      </c>
      <c r="E118" s="75">
        <f>+' Satış Konsolide'!E108</f>
        <v>0</v>
      </c>
      <c r="F118" s="75">
        <f>+' Satış Konsolide'!F108</f>
        <v>0</v>
      </c>
      <c r="G118" s="75">
        <f>+' Satış Konsolide'!G108</f>
        <v>0</v>
      </c>
      <c r="H118" s="75">
        <f>+' Satış Konsolide'!H108</f>
        <v>0</v>
      </c>
      <c r="I118" s="75">
        <f>+' Satış Konsolide'!I108</f>
        <v>0</v>
      </c>
      <c r="J118" s="75">
        <f>+' Satış Konsolide'!J108</f>
        <v>0</v>
      </c>
      <c r="K118" s="75">
        <f>+' Satış Konsolide'!K108</f>
        <v>0</v>
      </c>
      <c r="L118" s="75">
        <f>+' Satış Konsolide'!L108</f>
        <v>0</v>
      </c>
      <c r="M118" s="75">
        <f>+' Satış Konsolide'!M108</f>
        <v>0</v>
      </c>
      <c r="N118" s="75">
        <f>+' Satış Konsolide'!N108</f>
        <v>0</v>
      </c>
      <c r="O118" s="75">
        <f>+' Satış Konsolide'!O108</f>
        <v>0</v>
      </c>
      <c r="P118" s="1135">
        <f>SUM(D118:O118)</f>
        <v>0</v>
      </c>
      <c r="Q118" s="1127" t="str">
        <f t="shared" si="31"/>
        <v>-</v>
      </c>
      <c r="R118" s="3">
        <f>+P118-' Satış Konsolide'!P108</f>
        <v>0</v>
      </c>
    </row>
    <row r="119" spans="1:18" ht="16.5" customHeight="1" thickBot="1">
      <c r="A119" s="122" t="s">
        <v>105</v>
      </c>
      <c r="B119" s="751">
        <f>+' Satış Konsolide'!B109</f>
        <v>0</v>
      </c>
      <c r="C119" s="751">
        <f>+' Satış Konsolide'!C109</f>
        <v>0</v>
      </c>
      <c r="D119" s="125">
        <f>+' Satış Konsolide'!D109</f>
        <v>0</v>
      </c>
      <c r="E119" s="125">
        <f>+' Satış Konsolide'!E109</f>
        <v>0</v>
      </c>
      <c r="F119" s="125">
        <f>+' Satış Konsolide'!F109</f>
        <v>0</v>
      </c>
      <c r="G119" s="125">
        <f>+' Satış Konsolide'!G109</f>
        <v>0</v>
      </c>
      <c r="H119" s="125">
        <f>+' Satış Konsolide'!H109</f>
        <v>0</v>
      </c>
      <c r="I119" s="125">
        <f>+' Satış Konsolide'!I109</f>
        <v>0</v>
      </c>
      <c r="J119" s="125">
        <f>+' Satış Konsolide'!J109</f>
        <v>0</v>
      </c>
      <c r="K119" s="125">
        <f>+' Satış Konsolide'!K109</f>
        <v>0</v>
      </c>
      <c r="L119" s="125">
        <f>+' Satış Konsolide'!L109</f>
        <v>0</v>
      </c>
      <c r="M119" s="125">
        <f>+' Satış Konsolide'!M109</f>
        <v>0</v>
      </c>
      <c r="N119" s="125">
        <f>+' Satış Konsolide'!N109</f>
        <v>0</v>
      </c>
      <c r="O119" s="125">
        <f>+' Satış Konsolide'!O109</f>
        <v>0</v>
      </c>
      <c r="P119" s="1137">
        <f>SUM(D119:O119)</f>
        <v>0</v>
      </c>
      <c r="Q119" s="1129" t="str">
        <f t="shared" si="31"/>
        <v>-</v>
      </c>
      <c r="R119" s="3">
        <f>+P119-' Satış Konsolide'!P109</f>
        <v>0</v>
      </c>
    </row>
    <row r="120" spans="1:18" ht="16.5" customHeight="1" thickBot="1">
      <c r="B120" s="3">
        <f>İHALE!B110+'Ötv''siz Deniz'!B110+'Ötv''li Deniz'!B110+DAĞITICI!B110+Perakende!B110+ENDÜSTRİYEL!B110</f>
        <v>0</v>
      </c>
      <c r="C120" s="3">
        <f>İHALE!C110+'Ötv''siz Deniz'!C110+'Ötv''li Deniz'!C110+DAĞITICI!C110+Perakende!C110+ENDÜSTRİYEL!C110</f>
        <v>0</v>
      </c>
      <c r="D120" s="88">
        <f>İHALE!D110+'Ötv''siz Deniz'!D110+'Ötv''li Deniz'!D110+DAĞITICI!D110+Perakende!D110+ENDÜSTRİYEL!D110</f>
        <v>0</v>
      </c>
      <c r="E120" s="88">
        <f>İHALE!E110+'Ötv''siz Deniz'!E110+'Ötv''li Deniz'!E110+DAĞITICI!E110+Perakende!E110+ENDÜSTRİYEL!E110</f>
        <v>0</v>
      </c>
      <c r="F120" s="88">
        <f>İHALE!F110+'Ötv''siz Deniz'!F110+'Ötv''li Deniz'!F110+DAĞITICI!F110+Perakende!F110+ENDÜSTRİYEL!F110</f>
        <v>0</v>
      </c>
      <c r="G120" s="88">
        <f>İHALE!G110+'Ötv''siz Deniz'!G110+'Ötv''li Deniz'!G110+DAĞITICI!G110+Perakende!G110+ENDÜSTRİYEL!G110</f>
        <v>0</v>
      </c>
      <c r="H120" s="88">
        <f>İHALE!H110+'Ötv''siz Deniz'!H110+'Ötv''li Deniz'!H110+DAĞITICI!H110+Perakende!H110+ENDÜSTRİYEL!H110</f>
        <v>0</v>
      </c>
      <c r="I120" s="88">
        <f>İHALE!I110+'Ötv''siz Deniz'!I110+'Ötv''li Deniz'!I110+DAĞITICI!I110+Perakende!I110+ENDÜSTRİYEL!I110</f>
        <v>0</v>
      </c>
      <c r="J120" s="88">
        <f>İHALE!J110+'Ötv''siz Deniz'!J110+'Ötv''li Deniz'!J110+DAĞITICI!J110+Perakende!J110+ENDÜSTRİYEL!J110</f>
        <v>0</v>
      </c>
      <c r="K120" s="88">
        <f>İHALE!K110+'Ötv''siz Deniz'!K110+'Ötv''li Deniz'!K110+DAĞITICI!K110+Perakende!K110+ENDÜSTRİYEL!K110</f>
        <v>0</v>
      </c>
      <c r="L120" s="88">
        <f>İHALE!L110+'Ötv''siz Deniz'!L110+'Ötv''li Deniz'!L110+DAĞITICI!L110+Perakende!L110+ENDÜSTRİYEL!L110</f>
        <v>0</v>
      </c>
      <c r="M120" s="88">
        <f>İHALE!M110+'Ötv''siz Deniz'!M110+'Ötv''li Deniz'!M110+DAĞITICI!M110+Perakende!M110+ENDÜSTRİYEL!M110</f>
        <v>0</v>
      </c>
      <c r="N120" s="88">
        <f>İHALE!N110+'Ötv''siz Deniz'!N110+'Ötv''li Deniz'!N110+DAĞITICI!N110+Perakende!N110+ENDÜSTRİYEL!N110</f>
        <v>0</v>
      </c>
      <c r="O120" s="88">
        <f>İHALE!O110+'Ötv''siz Deniz'!O110+'Ötv''li Deniz'!O110+DAĞITICI!O110+Perakende!O110+ENDÜSTRİYEL!O110</f>
        <v>0</v>
      </c>
      <c r="P120" s="88"/>
      <c r="Q120" s="89"/>
      <c r="R120" s="3">
        <f>+P120-' Satış Konsolide'!P110</f>
        <v>0</v>
      </c>
    </row>
    <row r="121" spans="1:18" ht="22.5" customHeight="1" thickBot="1">
      <c r="A121" s="13" t="s">
        <v>86</v>
      </c>
      <c r="B121" s="15">
        <f>+' Satış Konsolide'!B111</f>
        <v>0</v>
      </c>
      <c r="C121" s="15">
        <f>+' Satış Konsolide'!C111</f>
        <v>0</v>
      </c>
      <c r="D121" s="16">
        <f>+' Satış Konsolide'!D111</f>
        <v>0</v>
      </c>
      <c r="E121" s="16">
        <f>+' Satış Konsolide'!E111</f>
        <v>0</v>
      </c>
      <c r="F121" s="16">
        <f>+' Satış Konsolide'!F111</f>
        <v>0</v>
      </c>
      <c r="G121" s="16">
        <f>+' Satış Konsolide'!G111</f>
        <v>0</v>
      </c>
      <c r="H121" s="16">
        <f>+' Satış Konsolide'!H111</f>
        <v>0</v>
      </c>
      <c r="I121" s="16">
        <f>+' Satış Konsolide'!I111</f>
        <v>0</v>
      </c>
      <c r="J121" s="16">
        <f>+' Satış Konsolide'!J111</f>
        <v>0</v>
      </c>
      <c r="K121" s="16">
        <f>+' Satış Konsolide'!K111</f>
        <v>0</v>
      </c>
      <c r="L121" s="16">
        <f>+' Satış Konsolide'!L111</f>
        <v>0</v>
      </c>
      <c r="M121" s="16">
        <f>+' Satış Konsolide'!M111</f>
        <v>0</v>
      </c>
      <c r="N121" s="16">
        <f>+' Satış Konsolide'!N111</f>
        <v>0</v>
      </c>
      <c r="O121" s="16">
        <f>+' Satış Konsolide'!O111</f>
        <v>0</v>
      </c>
      <c r="P121" s="94">
        <f>SUM(D121:O121)</f>
        <v>0</v>
      </c>
      <c r="Q121" s="1130" t="str">
        <f>IF(P121=0,"-",P121/C121-1)</f>
        <v>-</v>
      </c>
      <c r="R121" s="3">
        <f>+P121-' Satış Konsolide'!P111</f>
        <v>0</v>
      </c>
    </row>
    <row r="122" spans="1:18" s="93" customFormat="1" ht="14.25" customHeight="1" thickBot="1">
      <c r="A122" s="90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2"/>
      <c r="R122" s="3">
        <f>+P122-' Satış Konsolide'!P112</f>
        <v>0</v>
      </c>
    </row>
    <row r="123" spans="1:18" ht="22.5" customHeight="1" thickBot="1">
      <c r="A123" s="13" t="s">
        <v>35</v>
      </c>
      <c r="B123" s="15">
        <f>+B104+B114+B117+B121</f>
        <v>0.12118642995000001</v>
      </c>
      <c r="C123" s="15">
        <f>+C104+C114+C117+C121</f>
        <v>0</v>
      </c>
      <c r="D123" s="16">
        <f t="shared" ref="D123:P123" si="33">+D104+D114+D117+D121</f>
        <v>0</v>
      </c>
      <c r="E123" s="17">
        <f t="shared" si="33"/>
        <v>0</v>
      </c>
      <c r="F123" s="17">
        <f t="shared" si="33"/>
        <v>0</v>
      </c>
      <c r="G123" s="17">
        <f t="shared" si="33"/>
        <v>0</v>
      </c>
      <c r="H123" s="17">
        <f t="shared" si="33"/>
        <v>0</v>
      </c>
      <c r="I123" s="17">
        <f t="shared" si="33"/>
        <v>0</v>
      </c>
      <c r="J123" s="17">
        <f t="shared" si="33"/>
        <v>0</v>
      </c>
      <c r="K123" s="17">
        <f t="shared" si="33"/>
        <v>0</v>
      </c>
      <c r="L123" s="17">
        <f t="shared" si="33"/>
        <v>0</v>
      </c>
      <c r="M123" s="17">
        <f t="shared" si="33"/>
        <v>0</v>
      </c>
      <c r="N123" s="17">
        <f t="shared" si="33"/>
        <v>0</v>
      </c>
      <c r="O123" s="120">
        <f t="shared" si="33"/>
        <v>0</v>
      </c>
      <c r="P123" s="94">
        <f t="shared" si="33"/>
        <v>0</v>
      </c>
      <c r="Q123" s="1130" t="str">
        <f>IF(P123=0,"-",P123/C123-1)</f>
        <v>-</v>
      </c>
      <c r="R123" s="3">
        <f>+P123-' Satış Konsolide'!P113</f>
        <v>0</v>
      </c>
    </row>
    <row r="124" spans="1:18" ht="14.4" thickBot="1">
      <c r="R124" s="3">
        <f>+P124-' Satış Konsolide'!P114</f>
        <v>0</v>
      </c>
    </row>
    <row r="125" spans="1:18" ht="33" customHeight="1">
      <c r="A125" s="5"/>
      <c r="B125" s="2341" t="s">
        <v>648</v>
      </c>
      <c r="C125" s="2341" t="s">
        <v>647</v>
      </c>
      <c r="D125" s="2313" t="s">
        <v>644</v>
      </c>
      <c r="E125" s="2314"/>
      <c r="F125" s="2314"/>
      <c r="G125" s="2314"/>
      <c r="H125" s="2314"/>
      <c r="I125" s="2314"/>
      <c r="J125" s="2314"/>
      <c r="K125" s="2314"/>
      <c r="L125" s="2314"/>
      <c r="M125" s="2314"/>
      <c r="N125" s="2314"/>
      <c r="O125" s="2314"/>
      <c r="P125" s="2315"/>
      <c r="Q125" s="937" t="s">
        <v>638</v>
      </c>
      <c r="R125" s="3">
        <f>+P125-' Satış Konsolide'!P115</f>
        <v>0</v>
      </c>
    </row>
    <row r="126" spans="1:18" ht="30.75" customHeight="1" thickBot="1">
      <c r="A126" s="7"/>
      <c r="B126" s="2342"/>
      <c r="C126" s="2342"/>
      <c r="D126" s="740" t="s">
        <v>1</v>
      </c>
      <c r="E126" s="10" t="s">
        <v>2</v>
      </c>
      <c r="F126" s="10" t="s">
        <v>3</v>
      </c>
      <c r="G126" s="10" t="s">
        <v>4</v>
      </c>
      <c r="H126" s="10" t="s">
        <v>5</v>
      </c>
      <c r="I126" s="10" t="s">
        <v>6</v>
      </c>
      <c r="J126" s="10" t="s">
        <v>7</v>
      </c>
      <c r="K126" s="10" t="s">
        <v>8</v>
      </c>
      <c r="L126" s="10" t="s">
        <v>9</v>
      </c>
      <c r="M126" s="10" t="s">
        <v>10</v>
      </c>
      <c r="N126" s="10" t="s">
        <v>11</v>
      </c>
      <c r="O126" s="10" t="s">
        <v>12</v>
      </c>
      <c r="P126" s="11" t="s">
        <v>13</v>
      </c>
      <c r="Q126" s="941" t="s">
        <v>618</v>
      </c>
      <c r="R126" s="3" t="e">
        <f>+P126-' Satış Konsolide'!P116</f>
        <v>#VALUE!</v>
      </c>
    </row>
    <row r="127" spans="1:18" ht="22.5" customHeight="1" thickBot="1">
      <c r="A127" s="1140" t="s">
        <v>28</v>
      </c>
      <c r="B127" s="94">
        <f t="shared" ref="B127" si="34">B130+B131+B136</f>
        <v>0</v>
      </c>
      <c r="C127" s="94">
        <f t="shared" ref="C127:P127" si="35">C130+C131+C136</f>
        <v>0</v>
      </c>
      <c r="D127" s="16">
        <f>D130+D131+D136</f>
        <v>0</v>
      </c>
      <c r="E127" s="17">
        <f t="shared" si="35"/>
        <v>0</v>
      </c>
      <c r="F127" s="17">
        <f t="shared" si="35"/>
        <v>0</v>
      </c>
      <c r="G127" s="17">
        <f t="shared" si="35"/>
        <v>0</v>
      </c>
      <c r="H127" s="17">
        <f t="shared" si="35"/>
        <v>0</v>
      </c>
      <c r="I127" s="17">
        <f t="shared" si="35"/>
        <v>0</v>
      </c>
      <c r="J127" s="17">
        <f t="shared" si="35"/>
        <v>0</v>
      </c>
      <c r="K127" s="17">
        <f t="shared" si="35"/>
        <v>0</v>
      </c>
      <c r="L127" s="17">
        <f t="shared" si="35"/>
        <v>0</v>
      </c>
      <c r="M127" s="17">
        <f t="shared" si="35"/>
        <v>0</v>
      </c>
      <c r="N127" s="17">
        <f t="shared" si="35"/>
        <v>0</v>
      </c>
      <c r="O127" s="15">
        <f t="shared" si="35"/>
        <v>0</v>
      </c>
      <c r="P127" s="94">
        <f t="shared" si="35"/>
        <v>0</v>
      </c>
      <c r="Q127" s="1130" t="str">
        <f t="shared" ref="Q127:Q142" si="36">IF(P127=0,"-",P127/C127-1)</f>
        <v>-</v>
      </c>
      <c r="R127" s="3">
        <f>+P127-' Satış Konsolide'!P117</f>
        <v>0</v>
      </c>
    </row>
    <row r="128" spans="1:18" ht="16.5" customHeight="1">
      <c r="A128" s="1141" t="s">
        <v>15</v>
      </c>
      <c r="B128" s="741">
        <f>+B82-B105</f>
        <v>0</v>
      </c>
      <c r="C128" s="741">
        <f>+C82-C105</f>
        <v>0</v>
      </c>
      <c r="D128" s="22">
        <f t="shared" ref="C128:O139" si="37">+D82-D105</f>
        <v>0</v>
      </c>
      <c r="E128" s="23">
        <f t="shared" si="37"/>
        <v>0</v>
      </c>
      <c r="F128" s="23">
        <f t="shared" si="37"/>
        <v>0</v>
      </c>
      <c r="G128" s="23">
        <f t="shared" si="37"/>
        <v>0</v>
      </c>
      <c r="H128" s="24">
        <f t="shared" si="37"/>
        <v>0</v>
      </c>
      <c r="I128" s="24">
        <f t="shared" si="37"/>
        <v>0</v>
      </c>
      <c r="J128" s="24">
        <f t="shared" si="37"/>
        <v>0</v>
      </c>
      <c r="K128" s="24">
        <f t="shared" si="37"/>
        <v>0</v>
      </c>
      <c r="L128" s="24">
        <f t="shared" si="37"/>
        <v>0</v>
      </c>
      <c r="M128" s="24">
        <f t="shared" si="37"/>
        <v>0</v>
      </c>
      <c r="N128" s="24">
        <f t="shared" si="37"/>
        <v>0</v>
      </c>
      <c r="O128" s="25">
        <f t="shared" si="37"/>
        <v>0</v>
      </c>
      <c r="P128" s="1131">
        <f t="shared" ref="P128:P135" si="38">SUM(D128:O128)</f>
        <v>0</v>
      </c>
      <c r="Q128" s="1122" t="str">
        <f t="shared" si="36"/>
        <v>-</v>
      </c>
      <c r="R128" s="3">
        <f>+P128-' Satış Konsolide'!P118</f>
        <v>0</v>
      </c>
    </row>
    <row r="129" spans="1:18" ht="16.5" hidden="1" customHeight="1">
      <c r="A129" s="1142" t="s">
        <v>16</v>
      </c>
      <c r="B129" s="742">
        <f t="shared" ref="B129" si="39">+B83-B106</f>
        <v>0</v>
      </c>
      <c r="C129" s="742">
        <f t="shared" si="37"/>
        <v>0</v>
      </c>
      <c r="D129" s="31">
        <f t="shared" si="37"/>
        <v>0</v>
      </c>
      <c r="E129" s="32">
        <f t="shared" si="37"/>
        <v>0</v>
      </c>
      <c r="F129" s="32">
        <f t="shared" si="37"/>
        <v>0</v>
      </c>
      <c r="G129" s="32">
        <f t="shared" si="37"/>
        <v>0</v>
      </c>
      <c r="H129" s="33">
        <f t="shared" si="37"/>
        <v>0</v>
      </c>
      <c r="I129" s="33">
        <f t="shared" si="37"/>
        <v>0</v>
      </c>
      <c r="J129" s="33">
        <f t="shared" si="37"/>
        <v>0</v>
      </c>
      <c r="K129" s="33">
        <f t="shared" si="37"/>
        <v>0</v>
      </c>
      <c r="L129" s="33">
        <f t="shared" si="37"/>
        <v>0</v>
      </c>
      <c r="M129" s="33">
        <f t="shared" si="37"/>
        <v>0</v>
      </c>
      <c r="N129" s="33">
        <f t="shared" si="37"/>
        <v>0</v>
      </c>
      <c r="O129" s="34">
        <f t="shared" si="37"/>
        <v>0</v>
      </c>
      <c r="P129" s="1132">
        <f t="shared" si="38"/>
        <v>0</v>
      </c>
      <c r="Q129" s="1123" t="str">
        <f t="shared" si="36"/>
        <v>-</v>
      </c>
      <c r="R129" s="3">
        <f>+P129-' Satış Konsolide'!P119</f>
        <v>0</v>
      </c>
    </row>
    <row r="130" spans="1:18" ht="15" customHeight="1">
      <c r="A130" s="1143" t="s">
        <v>27</v>
      </c>
      <c r="B130" s="743">
        <f>+B129+B128</f>
        <v>0</v>
      </c>
      <c r="C130" s="743">
        <f>+C129+C128</f>
        <v>0</v>
      </c>
      <c r="D130" s="39">
        <f t="shared" ref="D130:O130" si="40">SUM(D128:D129)</f>
        <v>0</v>
      </c>
      <c r="E130" s="40">
        <f t="shared" si="40"/>
        <v>0</v>
      </c>
      <c r="F130" s="40">
        <f t="shared" si="40"/>
        <v>0</v>
      </c>
      <c r="G130" s="40">
        <f t="shared" si="40"/>
        <v>0</v>
      </c>
      <c r="H130" s="40">
        <f t="shared" si="40"/>
        <v>0</v>
      </c>
      <c r="I130" s="40">
        <f t="shared" si="40"/>
        <v>0</v>
      </c>
      <c r="J130" s="40">
        <f t="shared" si="40"/>
        <v>0</v>
      </c>
      <c r="K130" s="40">
        <f t="shared" si="40"/>
        <v>0</v>
      </c>
      <c r="L130" s="40">
        <f t="shared" si="40"/>
        <v>0</v>
      </c>
      <c r="M130" s="40">
        <f t="shared" si="40"/>
        <v>0</v>
      </c>
      <c r="N130" s="40">
        <f t="shared" si="40"/>
        <v>0</v>
      </c>
      <c r="O130" s="38">
        <f t="shared" si="40"/>
        <v>0</v>
      </c>
      <c r="P130" s="743">
        <f t="shared" si="38"/>
        <v>0</v>
      </c>
      <c r="Q130" s="1139" t="str">
        <f t="shared" si="36"/>
        <v>-</v>
      </c>
      <c r="R130" s="3">
        <f>+P130-' Satış Konsolide'!P120</f>
        <v>0</v>
      </c>
    </row>
    <row r="131" spans="1:18" ht="16.5" customHeight="1">
      <c r="A131" s="1144" t="s">
        <v>17</v>
      </c>
      <c r="B131" s="1944">
        <f t="shared" ref="B131:D132" si="41">+B85-B108</f>
        <v>0</v>
      </c>
      <c r="C131" s="1944">
        <f t="shared" si="41"/>
        <v>0</v>
      </c>
      <c r="D131" s="1926">
        <f t="shared" si="41"/>
        <v>0</v>
      </c>
      <c r="E131" s="1927">
        <f t="shared" si="37"/>
        <v>0</v>
      </c>
      <c r="F131" s="1927">
        <f t="shared" si="37"/>
        <v>0</v>
      </c>
      <c r="G131" s="1927">
        <f t="shared" si="37"/>
        <v>0</v>
      </c>
      <c r="H131" s="1927">
        <f t="shared" si="37"/>
        <v>0</v>
      </c>
      <c r="I131" s="1927">
        <f t="shared" si="37"/>
        <v>0</v>
      </c>
      <c r="J131" s="1927">
        <f t="shared" si="37"/>
        <v>0</v>
      </c>
      <c r="K131" s="1927">
        <f t="shared" si="37"/>
        <v>0</v>
      </c>
      <c r="L131" s="1927">
        <f t="shared" si="37"/>
        <v>0</v>
      </c>
      <c r="M131" s="1927">
        <f t="shared" si="37"/>
        <v>0</v>
      </c>
      <c r="N131" s="1927">
        <f t="shared" si="37"/>
        <v>0</v>
      </c>
      <c r="O131" s="1928">
        <f t="shared" si="37"/>
        <v>0</v>
      </c>
      <c r="P131" s="1945">
        <f t="shared" si="38"/>
        <v>0</v>
      </c>
      <c r="Q131" s="1123" t="str">
        <f t="shared" si="36"/>
        <v>-</v>
      </c>
      <c r="R131" s="3">
        <f>+P131-' Satış Konsolide'!P121</f>
        <v>0</v>
      </c>
    </row>
    <row r="132" spans="1:18" ht="16.5" customHeight="1">
      <c r="A132" s="1145" t="s">
        <v>81</v>
      </c>
      <c r="B132" s="745">
        <f t="shared" si="41"/>
        <v>0</v>
      </c>
      <c r="C132" s="745">
        <f t="shared" si="41"/>
        <v>0</v>
      </c>
      <c r="D132" s="52">
        <f t="shared" si="41"/>
        <v>0</v>
      </c>
      <c r="E132" s="53">
        <f t="shared" si="37"/>
        <v>0</v>
      </c>
      <c r="F132" s="53">
        <f t="shared" si="37"/>
        <v>0</v>
      </c>
      <c r="G132" s="53">
        <f t="shared" si="37"/>
        <v>0</v>
      </c>
      <c r="H132" s="53">
        <f t="shared" si="37"/>
        <v>0</v>
      </c>
      <c r="I132" s="53">
        <f t="shared" si="37"/>
        <v>0</v>
      </c>
      <c r="J132" s="53">
        <f t="shared" si="37"/>
        <v>0</v>
      </c>
      <c r="K132" s="53">
        <f t="shared" si="37"/>
        <v>0</v>
      </c>
      <c r="L132" s="53">
        <f t="shared" si="37"/>
        <v>0</v>
      </c>
      <c r="M132" s="53">
        <f t="shared" si="37"/>
        <v>0</v>
      </c>
      <c r="N132" s="53">
        <f t="shared" si="37"/>
        <v>0</v>
      </c>
      <c r="O132" s="55">
        <f t="shared" si="37"/>
        <v>0</v>
      </c>
      <c r="P132" s="1134">
        <f t="shared" si="38"/>
        <v>0</v>
      </c>
      <c r="Q132" s="1125" t="str">
        <f t="shared" si="36"/>
        <v>-</v>
      </c>
      <c r="R132" s="3">
        <f>+P132-' Satış Konsolide'!P122</f>
        <v>0</v>
      </c>
    </row>
    <row r="133" spans="1:18" ht="16.5" hidden="1" customHeight="1">
      <c r="A133" s="1146" t="s">
        <v>82</v>
      </c>
      <c r="B133" s="744">
        <f t="shared" ref="B133" si="42">+B87-B110</f>
        <v>0</v>
      </c>
      <c r="C133" s="744">
        <f t="shared" si="37"/>
        <v>0</v>
      </c>
      <c r="D133" s="59">
        <f t="shared" si="37"/>
        <v>0</v>
      </c>
      <c r="E133" s="33">
        <f t="shared" si="37"/>
        <v>0</v>
      </c>
      <c r="F133" s="33">
        <f t="shared" si="37"/>
        <v>0</v>
      </c>
      <c r="G133" s="33">
        <f t="shared" si="37"/>
        <v>0</v>
      </c>
      <c r="H133" s="33">
        <f t="shared" si="37"/>
        <v>0</v>
      </c>
      <c r="I133" s="33">
        <f t="shared" si="37"/>
        <v>0</v>
      </c>
      <c r="J133" s="33">
        <f t="shared" si="37"/>
        <v>0</v>
      </c>
      <c r="K133" s="33">
        <f t="shared" si="37"/>
        <v>0</v>
      </c>
      <c r="L133" s="33">
        <f t="shared" si="37"/>
        <v>0</v>
      </c>
      <c r="M133" s="33">
        <f t="shared" si="37"/>
        <v>0</v>
      </c>
      <c r="N133" s="33">
        <f t="shared" si="37"/>
        <v>0</v>
      </c>
      <c r="O133" s="34">
        <f t="shared" si="37"/>
        <v>0</v>
      </c>
      <c r="P133" s="1133">
        <f t="shared" si="38"/>
        <v>0</v>
      </c>
      <c r="Q133" s="1123" t="str">
        <f t="shared" si="36"/>
        <v>-</v>
      </c>
      <c r="R133" s="3">
        <f>+P133-' Satış Konsolide'!P123</f>
        <v>0</v>
      </c>
    </row>
    <row r="134" spans="1:18" ht="16.5" customHeight="1">
      <c r="A134" s="1145" t="s">
        <v>83</v>
      </c>
      <c r="B134" s="746">
        <f>+B88-B111</f>
        <v>0</v>
      </c>
      <c r="C134" s="746">
        <f>+C88-C111</f>
        <v>0</v>
      </c>
      <c r="D134" s="52">
        <f t="shared" si="37"/>
        <v>0</v>
      </c>
      <c r="E134" s="53">
        <f t="shared" si="37"/>
        <v>0</v>
      </c>
      <c r="F134" s="53">
        <f t="shared" si="37"/>
        <v>0</v>
      </c>
      <c r="G134" s="53">
        <f t="shared" si="37"/>
        <v>0</v>
      </c>
      <c r="H134" s="53">
        <f t="shared" si="37"/>
        <v>0</v>
      </c>
      <c r="I134" s="53">
        <f t="shared" si="37"/>
        <v>0</v>
      </c>
      <c r="J134" s="53">
        <f t="shared" si="37"/>
        <v>0</v>
      </c>
      <c r="K134" s="53">
        <f t="shared" si="37"/>
        <v>0</v>
      </c>
      <c r="L134" s="53">
        <f t="shared" si="37"/>
        <v>0</v>
      </c>
      <c r="M134" s="53">
        <f t="shared" si="37"/>
        <v>0</v>
      </c>
      <c r="N134" s="53">
        <f t="shared" si="37"/>
        <v>0</v>
      </c>
      <c r="O134" s="55">
        <f t="shared" si="37"/>
        <v>0</v>
      </c>
      <c r="P134" s="1134">
        <f t="shared" si="38"/>
        <v>0</v>
      </c>
      <c r="Q134" s="1125" t="str">
        <f t="shared" si="36"/>
        <v>-</v>
      </c>
      <c r="R134" s="3">
        <f>+P134-' Satış Konsolide'!P124</f>
        <v>0</v>
      </c>
    </row>
    <row r="135" spans="1:18" ht="16.5" hidden="1" customHeight="1">
      <c r="A135" s="1146" t="s">
        <v>84</v>
      </c>
      <c r="B135" s="742">
        <f t="shared" ref="B135" si="43">+B89-B112</f>
        <v>0</v>
      </c>
      <c r="C135" s="742">
        <f t="shared" si="37"/>
        <v>0</v>
      </c>
      <c r="D135" s="59">
        <f t="shared" si="37"/>
        <v>0</v>
      </c>
      <c r="E135" s="33">
        <f t="shared" si="37"/>
        <v>0</v>
      </c>
      <c r="F135" s="33">
        <f t="shared" si="37"/>
        <v>0</v>
      </c>
      <c r="G135" s="33">
        <f t="shared" si="37"/>
        <v>0</v>
      </c>
      <c r="H135" s="33">
        <f t="shared" si="37"/>
        <v>0</v>
      </c>
      <c r="I135" s="32">
        <f t="shared" si="37"/>
        <v>0</v>
      </c>
      <c r="J135" s="32">
        <f t="shared" si="37"/>
        <v>0</v>
      </c>
      <c r="K135" s="33">
        <f t="shared" si="37"/>
        <v>0</v>
      </c>
      <c r="L135" s="33">
        <f t="shared" si="37"/>
        <v>0</v>
      </c>
      <c r="M135" s="33">
        <f t="shared" si="37"/>
        <v>0</v>
      </c>
      <c r="N135" s="33">
        <f t="shared" si="37"/>
        <v>0</v>
      </c>
      <c r="O135" s="34">
        <f t="shared" si="37"/>
        <v>0</v>
      </c>
      <c r="P135" s="1133">
        <f t="shared" si="38"/>
        <v>0</v>
      </c>
      <c r="Q135" s="1123" t="str">
        <f t="shared" si="36"/>
        <v>-</v>
      </c>
      <c r="R135" s="3">
        <f>+P135-' Satış Konsolide'!P125</f>
        <v>0</v>
      </c>
    </row>
    <row r="136" spans="1:18" ht="15" customHeight="1" thickBot="1">
      <c r="A136" s="1147" t="s">
        <v>18</v>
      </c>
      <c r="B136" s="747">
        <f>SUM(B132:B135)</f>
        <v>0</v>
      </c>
      <c r="C136" s="747">
        <f>SUM(C132:C135)</f>
        <v>0</v>
      </c>
      <c r="D136" s="63">
        <f>SUM(D132:D135)</f>
        <v>0</v>
      </c>
      <c r="E136" s="64">
        <f t="shared" ref="E136:P136" si="44">SUM(E132:E135)</f>
        <v>0</v>
      </c>
      <c r="F136" s="64">
        <f t="shared" si="44"/>
        <v>0</v>
      </c>
      <c r="G136" s="64">
        <f t="shared" si="44"/>
        <v>0</v>
      </c>
      <c r="H136" s="64">
        <f t="shared" si="44"/>
        <v>0</v>
      </c>
      <c r="I136" s="64">
        <f t="shared" si="44"/>
        <v>0</v>
      </c>
      <c r="J136" s="64">
        <f t="shared" si="44"/>
        <v>0</v>
      </c>
      <c r="K136" s="64">
        <f t="shared" si="44"/>
        <v>0</v>
      </c>
      <c r="L136" s="64">
        <f t="shared" si="44"/>
        <v>0</v>
      </c>
      <c r="M136" s="64">
        <f t="shared" si="44"/>
        <v>0</v>
      </c>
      <c r="N136" s="64">
        <f t="shared" si="44"/>
        <v>0</v>
      </c>
      <c r="O136" s="62">
        <f t="shared" si="44"/>
        <v>0</v>
      </c>
      <c r="P136" s="747">
        <f t="shared" si="44"/>
        <v>0</v>
      </c>
      <c r="Q136" s="1126" t="str">
        <f t="shared" si="36"/>
        <v>-</v>
      </c>
      <c r="R136" s="3">
        <f>+P136-' Satış Konsolide'!P126</f>
        <v>0</v>
      </c>
    </row>
    <row r="137" spans="1:18" ht="22.5" customHeight="1" thickBot="1">
      <c r="A137" s="1140" t="s">
        <v>29</v>
      </c>
      <c r="B137" s="748">
        <f t="shared" ref="B137:C139" si="45">+B91-B114</f>
        <v>0</v>
      </c>
      <c r="C137" s="748">
        <f t="shared" si="45"/>
        <v>0</v>
      </c>
      <c r="D137" s="68">
        <f t="shared" si="37"/>
        <v>0</v>
      </c>
      <c r="E137" s="69">
        <f t="shared" si="37"/>
        <v>0</v>
      </c>
      <c r="F137" s="69">
        <f t="shared" si="37"/>
        <v>0</v>
      </c>
      <c r="G137" s="69">
        <f t="shared" si="37"/>
        <v>0</v>
      </c>
      <c r="H137" s="69">
        <f t="shared" si="37"/>
        <v>0</v>
      </c>
      <c r="I137" s="69">
        <f t="shared" si="37"/>
        <v>0</v>
      </c>
      <c r="J137" s="69">
        <f t="shared" si="37"/>
        <v>0</v>
      </c>
      <c r="K137" s="69">
        <f t="shared" si="37"/>
        <v>0</v>
      </c>
      <c r="L137" s="69">
        <f t="shared" si="37"/>
        <v>0</v>
      </c>
      <c r="M137" s="69">
        <f t="shared" si="37"/>
        <v>0</v>
      </c>
      <c r="N137" s="69">
        <f t="shared" si="37"/>
        <v>0</v>
      </c>
      <c r="O137" s="70">
        <f t="shared" si="37"/>
        <v>0</v>
      </c>
      <c r="P137" s="748">
        <f>SUM(P138:P139)</f>
        <v>0</v>
      </c>
      <c r="Q137" s="1105" t="str">
        <f t="shared" si="36"/>
        <v>-</v>
      </c>
      <c r="R137" s="3">
        <f>+P137-' Satış Konsolide'!P127</f>
        <v>0</v>
      </c>
    </row>
    <row r="138" spans="1:18" ht="16.5" customHeight="1">
      <c r="A138" s="72" t="s">
        <v>19</v>
      </c>
      <c r="B138" s="749">
        <f t="shared" si="45"/>
        <v>0</v>
      </c>
      <c r="C138" s="749">
        <f t="shared" si="45"/>
        <v>0</v>
      </c>
      <c r="D138" s="75">
        <f t="shared" si="37"/>
        <v>0</v>
      </c>
      <c r="E138" s="76">
        <f t="shared" si="37"/>
        <v>0</v>
      </c>
      <c r="F138" s="76">
        <f t="shared" si="37"/>
        <v>0</v>
      </c>
      <c r="G138" s="76">
        <f t="shared" si="37"/>
        <v>0</v>
      </c>
      <c r="H138" s="76">
        <f t="shared" si="37"/>
        <v>0</v>
      </c>
      <c r="I138" s="76">
        <f t="shared" si="37"/>
        <v>0</v>
      </c>
      <c r="J138" s="76">
        <f t="shared" si="37"/>
        <v>0</v>
      </c>
      <c r="K138" s="76">
        <f t="shared" si="37"/>
        <v>0</v>
      </c>
      <c r="L138" s="76">
        <f t="shared" si="37"/>
        <v>0</v>
      </c>
      <c r="M138" s="76">
        <f t="shared" si="37"/>
        <v>0</v>
      </c>
      <c r="N138" s="76">
        <f t="shared" si="37"/>
        <v>0</v>
      </c>
      <c r="O138" s="77">
        <f t="shared" si="37"/>
        <v>0</v>
      </c>
      <c r="P138" s="1135">
        <f>SUM(D138:O138)</f>
        <v>0</v>
      </c>
      <c r="Q138" s="1127" t="str">
        <f t="shared" si="36"/>
        <v>-</v>
      </c>
      <c r="R138" s="3">
        <f>+P138-' Satış Konsolide'!P128</f>
        <v>0</v>
      </c>
    </row>
    <row r="139" spans="1:18" ht="16.5" customHeight="1" thickBot="1">
      <c r="A139" s="80" t="s">
        <v>20</v>
      </c>
      <c r="B139" s="750">
        <f t="shared" si="45"/>
        <v>0</v>
      </c>
      <c r="C139" s="750">
        <f t="shared" si="45"/>
        <v>0</v>
      </c>
      <c r="D139" s="83">
        <f>+D93-D116</f>
        <v>0</v>
      </c>
      <c r="E139" s="84">
        <f t="shared" si="37"/>
        <v>0</v>
      </c>
      <c r="F139" s="84">
        <f t="shared" si="37"/>
        <v>0</v>
      </c>
      <c r="G139" s="84">
        <f t="shared" si="37"/>
        <v>0</v>
      </c>
      <c r="H139" s="84">
        <f t="shared" si="37"/>
        <v>0</v>
      </c>
      <c r="I139" s="84">
        <f t="shared" si="37"/>
        <v>0</v>
      </c>
      <c r="J139" s="84">
        <f t="shared" si="37"/>
        <v>0</v>
      </c>
      <c r="K139" s="84">
        <f t="shared" si="37"/>
        <v>0</v>
      </c>
      <c r="L139" s="84">
        <f t="shared" si="37"/>
        <v>0</v>
      </c>
      <c r="M139" s="84">
        <f t="shared" si="37"/>
        <v>0</v>
      </c>
      <c r="N139" s="84">
        <f t="shared" si="37"/>
        <v>0</v>
      </c>
      <c r="O139" s="85">
        <f t="shared" si="37"/>
        <v>0</v>
      </c>
      <c r="P139" s="1136">
        <f>SUM(D139:O139)</f>
        <v>0</v>
      </c>
      <c r="Q139" s="1128" t="str">
        <f t="shared" si="36"/>
        <v>-</v>
      </c>
      <c r="R139" s="3">
        <f>+P139-' Satış Konsolide'!P129</f>
        <v>0</v>
      </c>
    </row>
    <row r="140" spans="1:18" ht="22.5" customHeight="1" thickBot="1">
      <c r="A140" s="1140" t="s">
        <v>30</v>
      </c>
      <c r="B140" s="748">
        <f>SUM(B141:B142)</f>
        <v>4.8303570049999994E-2</v>
      </c>
      <c r="C140" s="748">
        <f>SUM(C141:C142)</f>
        <v>0</v>
      </c>
      <c r="D140" s="68">
        <f t="shared" ref="D140:P140" si="46">SUM(D141:D142)</f>
        <v>0</v>
      </c>
      <c r="E140" s="69">
        <f t="shared" si="46"/>
        <v>0</v>
      </c>
      <c r="F140" s="69">
        <f t="shared" si="46"/>
        <v>0</v>
      </c>
      <c r="G140" s="69">
        <f t="shared" si="46"/>
        <v>0</v>
      </c>
      <c r="H140" s="69">
        <f t="shared" si="46"/>
        <v>0</v>
      </c>
      <c r="I140" s="69">
        <f t="shared" si="46"/>
        <v>0</v>
      </c>
      <c r="J140" s="69">
        <f t="shared" si="46"/>
        <v>0</v>
      </c>
      <c r="K140" s="69">
        <f t="shared" si="46"/>
        <v>0</v>
      </c>
      <c r="L140" s="69">
        <f t="shared" si="46"/>
        <v>0</v>
      </c>
      <c r="M140" s="69">
        <f t="shared" si="46"/>
        <v>0</v>
      </c>
      <c r="N140" s="69">
        <f t="shared" si="46"/>
        <v>0</v>
      </c>
      <c r="O140" s="70">
        <f t="shared" si="46"/>
        <v>0</v>
      </c>
      <c r="P140" s="748">
        <f t="shared" si="46"/>
        <v>0</v>
      </c>
      <c r="Q140" s="1105" t="str">
        <f t="shared" si="36"/>
        <v>-</v>
      </c>
      <c r="R140" s="3">
        <f>+P140-' Satış Konsolide'!P130</f>
        <v>0</v>
      </c>
    </row>
    <row r="141" spans="1:18" ht="16.5" customHeight="1">
      <c r="A141" s="72" t="s">
        <v>106</v>
      </c>
      <c r="B141" s="749">
        <f>+B95-B118</f>
        <v>4.8303570049999994E-2</v>
      </c>
      <c r="C141" s="749">
        <f t="shared" ref="C141:O142" si="47">+C95-C118</f>
        <v>0</v>
      </c>
      <c r="D141" s="75">
        <f t="shared" si="47"/>
        <v>0</v>
      </c>
      <c r="E141" s="76">
        <f t="shared" si="47"/>
        <v>0</v>
      </c>
      <c r="F141" s="76">
        <f t="shared" si="47"/>
        <v>0</v>
      </c>
      <c r="G141" s="76">
        <f t="shared" si="47"/>
        <v>0</v>
      </c>
      <c r="H141" s="76">
        <f t="shared" si="47"/>
        <v>0</v>
      </c>
      <c r="I141" s="76">
        <f t="shared" si="47"/>
        <v>0</v>
      </c>
      <c r="J141" s="76">
        <f t="shared" si="47"/>
        <v>0</v>
      </c>
      <c r="K141" s="76">
        <f t="shared" si="47"/>
        <v>0</v>
      </c>
      <c r="L141" s="76">
        <f t="shared" si="47"/>
        <v>0</v>
      </c>
      <c r="M141" s="76">
        <f t="shared" si="47"/>
        <v>0</v>
      </c>
      <c r="N141" s="76">
        <f t="shared" si="47"/>
        <v>0</v>
      </c>
      <c r="O141" s="77">
        <f t="shared" si="47"/>
        <v>0</v>
      </c>
      <c r="P141" s="1135">
        <f>SUM(D141:O141)</f>
        <v>0</v>
      </c>
      <c r="Q141" s="1127" t="str">
        <f t="shared" si="36"/>
        <v>-</v>
      </c>
      <c r="R141" s="3">
        <f>+P141-' Satış Konsolide'!P131</f>
        <v>0</v>
      </c>
    </row>
    <row r="142" spans="1:18" ht="16.5" customHeight="1" thickBot="1">
      <c r="A142" s="122" t="s">
        <v>105</v>
      </c>
      <c r="B142" s="751">
        <f t="shared" ref="B142" si="48">+B96-B119</f>
        <v>0</v>
      </c>
      <c r="C142" s="751">
        <f t="shared" si="47"/>
        <v>0</v>
      </c>
      <c r="D142" s="125">
        <f t="shared" si="47"/>
        <v>0</v>
      </c>
      <c r="E142" s="126">
        <f t="shared" si="47"/>
        <v>0</v>
      </c>
      <c r="F142" s="126">
        <f t="shared" si="47"/>
        <v>0</v>
      </c>
      <c r="G142" s="126">
        <f t="shared" si="47"/>
        <v>0</v>
      </c>
      <c r="H142" s="126">
        <f t="shared" si="47"/>
        <v>0</v>
      </c>
      <c r="I142" s="126">
        <f t="shared" si="47"/>
        <v>0</v>
      </c>
      <c r="J142" s="126">
        <f t="shared" si="47"/>
        <v>0</v>
      </c>
      <c r="K142" s="126">
        <f t="shared" si="47"/>
        <v>0</v>
      </c>
      <c r="L142" s="126">
        <f t="shared" si="47"/>
        <v>0</v>
      </c>
      <c r="M142" s="126">
        <f t="shared" si="47"/>
        <v>0</v>
      </c>
      <c r="N142" s="126">
        <f t="shared" si="47"/>
        <v>0</v>
      </c>
      <c r="O142" s="127">
        <f t="shared" si="47"/>
        <v>0</v>
      </c>
      <c r="P142" s="1137">
        <f>SUM(D142:O142)</f>
        <v>0</v>
      </c>
      <c r="Q142" s="1129" t="str">
        <f t="shared" si="36"/>
        <v>-</v>
      </c>
      <c r="R142" s="3">
        <f>+P142-' Satış Konsolide'!P132</f>
        <v>0</v>
      </c>
    </row>
    <row r="143" spans="1:18" ht="16.5" customHeight="1" thickBot="1">
      <c r="B143" s="3"/>
      <c r="C143" s="3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9"/>
      <c r="R143" s="3">
        <f>+P143-' Satış Konsolide'!P133</f>
        <v>0</v>
      </c>
    </row>
    <row r="144" spans="1:18" ht="22.5" customHeight="1" thickBot="1">
      <c r="A144" s="13" t="s">
        <v>86</v>
      </c>
      <c r="B144" s="15">
        <f t="shared" ref="B144" si="49">+B98-B121</f>
        <v>0</v>
      </c>
      <c r="C144" s="15">
        <f t="shared" ref="C144:O144" si="50">+C98-C121</f>
        <v>0</v>
      </c>
      <c r="D144" s="16">
        <f t="shared" si="50"/>
        <v>0</v>
      </c>
      <c r="E144" s="17">
        <f t="shared" si="50"/>
        <v>0</v>
      </c>
      <c r="F144" s="17">
        <f t="shared" si="50"/>
        <v>0</v>
      </c>
      <c r="G144" s="17">
        <f t="shared" si="50"/>
        <v>0</v>
      </c>
      <c r="H144" s="17">
        <f t="shared" si="50"/>
        <v>0</v>
      </c>
      <c r="I144" s="17">
        <f t="shared" si="50"/>
        <v>0</v>
      </c>
      <c r="J144" s="17">
        <f t="shared" si="50"/>
        <v>0</v>
      </c>
      <c r="K144" s="17">
        <f t="shared" si="50"/>
        <v>0</v>
      </c>
      <c r="L144" s="17">
        <f t="shared" si="50"/>
        <v>0</v>
      </c>
      <c r="M144" s="17">
        <f t="shared" si="50"/>
        <v>0</v>
      </c>
      <c r="N144" s="17">
        <f t="shared" si="50"/>
        <v>0</v>
      </c>
      <c r="O144" s="120">
        <f t="shared" si="50"/>
        <v>0</v>
      </c>
      <c r="P144" s="94">
        <f>SUM(D144:O144)</f>
        <v>0</v>
      </c>
      <c r="Q144" s="1130" t="str">
        <f>IF(P144=0,"-",P144/C144-1)</f>
        <v>-</v>
      </c>
      <c r="R144" s="3">
        <f>+P144-' Satış Konsolide'!P134</f>
        <v>0</v>
      </c>
    </row>
    <row r="145" spans="1:20" s="93" customFormat="1" ht="14.25" customHeight="1" thickBot="1">
      <c r="A145" s="90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2"/>
      <c r="R145" s="3">
        <f>+P145-' Satış Konsolide'!P135</f>
        <v>0</v>
      </c>
    </row>
    <row r="146" spans="1:20" s="93" customFormat="1" ht="23.25" customHeight="1" thickBot="1">
      <c r="A146" s="13" t="s">
        <v>36</v>
      </c>
      <c r="B146" s="15">
        <f>+B127+B137+B140+B144</f>
        <v>4.8303570049999994E-2</v>
      </c>
      <c r="C146" s="15">
        <f>+C127+C137+C140+C144</f>
        <v>0</v>
      </c>
      <c r="D146" s="16">
        <f>+D127+D137+D140+D144</f>
        <v>0</v>
      </c>
      <c r="E146" s="17">
        <f t="shared" ref="E146:O146" si="51">+E127+E137+E140+E144</f>
        <v>0</v>
      </c>
      <c r="F146" s="17">
        <f t="shared" si="51"/>
        <v>0</v>
      </c>
      <c r="G146" s="17">
        <f t="shared" si="51"/>
        <v>0</v>
      </c>
      <c r="H146" s="17">
        <f t="shared" si="51"/>
        <v>0</v>
      </c>
      <c r="I146" s="17">
        <f t="shared" si="51"/>
        <v>0</v>
      </c>
      <c r="J146" s="17">
        <f t="shared" si="51"/>
        <v>0</v>
      </c>
      <c r="K146" s="17">
        <f t="shared" si="51"/>
        <v>0</v>
      </c>
      <c r="L146" s="17">
        <f t="shared" si="51"/>
        <v>0</v>
      </c>
      <c r="M146" s="17">
        <f t="shared" si="51"/>
        <v>0</v>
      </c>
      <c r="N146" s="17">
        <f t="shared" si="51"/>
        <v>0</v>
      </c>
      <c r="O146" s="15">
        <f t="shared" si="51"/>
        <v>0</v>
      </c>
      <c r="P146" s="94">
        <f>+P127+P137+P140+P144</f>
        <v>0</v>
      </c>
      <c r="Q146" s="1130" t="str">
        <f>IF(P146=0,"-",P146/C146-1)</f>
        <v>-</v>
      </c>
      <c r="R146" s="3">
        <f>+P146-' Satış Konsolide'!P136</f>
        <v>0</v>
      </c>
    </row>
    <row r="147" spans="1:20" ht="14.4" thickBot="1"/>
    <row r="148" spans="1:20" ht="33" customHeight="1">
      <c r="A148" s="5"/>
      <c r="B148" s="2341" t="s">
        <v>648</v>
      </c>
      <c r="C148" s="2341" t="s">
        <v>647</v>
      </c>
      <c r="D148" s="2313" t="s">
        <v>645</v>
      </c>
      <c r="E148" s="2314"/>
      <c r="F148" s="2314"/>
      <c r="G148" s="2314"/>
      <c r="H148" s="2314"/>
      <c r="I148" s="2314"/>
      <c r="J148" s="2314"/>
      <c r="K148" s="2314"/>
      <c r="L148" s="2314"/>
      <c r="M148" s="2314"/>
      <c r="N148" s="2314"/>
      <c r="O148" s="2314"/>
      <c r="P148" s="2315"/>
      <c r="Q148" s="937" t="s">
        <v>638</v>
      </c>
    </row>
    <row r="149" spans="1:20" ht="20.25" customHeight="1" thickBot="1">
      <c r="A149" s="7"/>
      <c r="B149" s="2342"/>
      <c r="C149" s="2342"/>
      <c r="D149" s="9" t="s">
        <v>1</v>
      </c>
      <c r="E149" s="10" t="s">
        <v>2</v>
      </c>
      <c r="F149" s="10" t="s">
        <v>3</v>
      </c>
      <c r="G149" s="10" t="s">
        <v>4</v>
      </c>
      <c r="H149" s="10" t="s">
        <v>5</v>
      </c>
      <c r="I149" s="10" t="s">
        <v>6</v>
      </c>
      <c r="J149" s="10" t="s">
        <v>7</v>
      </c>
      <c r="K149" s="10" t="s">
        <v>8</v>
      </c>
      <c r="L149" s="10" t="s">
        <v>9</v>
      </c>
      <c r="M149" s="10" t="s">
        <v>10</v>
      </c>
      <c r="N149" s="10" t="s">
        <v>11</v>
      </c>
      <c r="O149" s="10" t="s">
        <v>12</v>
      </c>
      <c r="P149" s="11" t="s">
        <v>13</v>
      </c>
      <c r="Q149" s="941" t="s">
        <v>618</v>
      </c>
    </row>
    <row r="150" spans="1:20" ht="22.5" customHeight="1" thickBot="1">
      <c r="A150" s="13" t="s">
        <v>37</v>
      </c>
      <c r="B150" s="68">
        <f>SUM(B151:B183)</f>
        <v>0</v>
      </c>
      <c r="C150" s="2129">
        <f>SUM(C151:C183)</f>
        <v>0</v>
      </c>
      <c r="D150" s="14">
        <f>SUM(D151:D183)</f>
        <v>0</v>
      </c>
      <c r="E150" s="17">
        <f t="shared" ref="E150:P150" si="52">SUM(E151:E183)</f>
        <v>0</v>
      </c>
      <c r="F150" s="17">
        <f t="shared" si="52"/>
        <v>0</v>
      </c>
      <c r="G150" s="17">
        <f t="shared" si="52"/>
        <v>0</v>
      </c>
      <c r="H150" s="17">
        <f t="shared" si="52"/>
        <v>0</v>
      </c>
      <c r="I150" s="17">
        <f t="shared" si="52"/>
        <v>0</v>
      </c>
      <c r="J150" s="17">
        <f t="shared" si="52"/>
        <v>0</v>
      </c>
      <c r="K150" s="17">
        <f t="shared" si="52"/>
        <v>0</v>
      </c>
      <c r="L150" s="17">
        <f t="shared" si="52"/>
        <v>0</v>
      </c>
      <c r="M150" s="17">
        <f t="shared" si="52"/>
        <v>0</v>
      </c>
      <c r="N150" s="17">
        <f t="shared" si="52"/>
        <v>0</v>
      </c>
      <c r="O150" s="15">
        <f t="shared" si="52"/>
        <v>0</v>
      </c>
      <c r="P150" s="94">
        <f t="shared" si="52"/>
        <v>0</v>
      </c>
      <c r="Q150" s="1105" t="str">
        <f t="shared" ref="Q150:Q183" si="53">IF(P150=0,"-",P150/C150-1)</f>
        <v>-</v>
      </c>
      <c r="R150" s="3">
        <f>+P150-R195</f>
        <v>0</v>
      </c>
      <c r="S150" s="3"/>
      <c r="T150" s="3"/>
    </row>
    <row r="151" spans="1:20">
      <c r="A151" s="1897" t="s">
        <v>38</v>
      </c>
      <c r="B151" s="1898">
        <f>+' Satış Konsolide'!B141+'Genel Yönetim Giderleri'!C5</f>
        <v>0</v>
      </c>
      <c r="C151" s="1898">
        <f>+' Satış Konsolide'!C141+'Genel Yönetim Giderleri'!D5</f>
        <v>0</v>
      </c>
      <c r="D151" s="1898">
        <f>+' Satış Konsolide'!D141+'Genel Yönetim Giderleri'!E5</f>
        <v>0</v>
      </c>
      <c r="E151" s="1899">
        <f>+' Satış Konsolide'!E141+'Genel Yönetim Giderleri'!F5</f>
        <v>0</v>
      </c>
      <c r="F151" s="1899">
        <f>+' Satış Konsolide'!F141+'Genel Yönetim Giderleri'!G5</f>
        <v>0</v>
      </c>
      <c r="G151" s="1899">
        <f>+' Satış Konsolide'!G141+'Genel Yönetim Giderleri'!H5</f>
        <v>0</v>
      </c>
      <c r="H151" s="1899">
        <f>+' Satış Konsolide'!H141+'Genel Yönetim Giderleri'!I5</f>
        <v>0</v>
      </c>
      <c r="I151" s="1899">
        <f>+' Satış Konsolide'!I141+'Genel Yönetim Giderleri'!J5</f>
        <v>0</v>
      </c>
      <c r="J151" s="1899">
        <f>+' Satış Konsolide'!J141+'Genel Yönetim Giderleri'!K5</f>
        <v>0</v>
      </c>
      <c r="K151" s="1899">
        <f>+' Satış Konsolide'!K141+'Genel Yönetim Giderleri'!L5</f>
        <v>0</v>
      </c>
      <c r="L151" s="1899">
        <f>+' Satış Konsolide'!L141+'Genel Yönetim Giderleri'!M5</f>
        <v>0</v>
      </c>
      <c r="M151" s="1899">
        <f>+' Satış Konsolide'!M141+'Genel Yönetim Giderleri'!N5</f>
        <v>0</v>
      </c>
      <c r="N151" s="1899">
        <f>+' Satış Konsolide'!N141+'Genel Yönetim Giderleri'!O5</f>
        <v>0</v>
      </c>
      <c r="O151" s="1900">
        <f>+' Satış Konsolide'!O141+'Genel Yönetim Giderleri'!P5</f>
        <v>0</v>
      </c>
      <c r="P151" s="1901">
        <f t="shared" ref="P151:P183" si="54">SUM(D151:O151)</f>
        <v>0</v>
      </c>
      <c r="Q151" s="1106" t="str">
        <f>IF(P151=0,"-",P151/C151-1)</f>
        <v>-</v>
      </c>
      <c r="R151" s="3"/>
    </row>
    <row r="152" spans="1:20">
      <c r="A152" s="1902" t="s">
        <v>39</v>
      </c>
      <c r="B152" s="1903">
        <f>+' Satış Konsolide'!B142+'Genel Yönetim Giderleri'!C6</f>
        <v>0</v>
      </c>
      <c r="C152" s="1903">
        <f>+' Satış Konsolide'!C142+'Genel Yönetim Giderleri'!D6</f>
        <v>0</v>
      </c>
      <c r="D152" s="1903">
        <f>+' Satış Konsolide'!D142+'Genel Yönetim Giderleri'!E6</f>
        <v>0</v>
      </c>
      <c r="E152" s="1904">
        <f>+' Satış Konsolide'!E142+'Genel Yönetim Giderleri'!F6</f>
        <v>0</v>
      </c>
      <c r="F152" s="1904">
        <f>+' Satış Konsolide'!F142+'Genel Yönetim Giderleri'!G6</f>
        <v>0</v>
      </c>
      <c r="G152" s="1904">
        <f>+' Satış Konsolide'!G142+'Genel Yönetim Giderleri'!H6</f>
        <v>0</v>
      </c>
      <c r="H152" s="1904">
        <f>+' Satış Konsolide'!H142+'Genel Yönetim Giderleri'!I6</f>
        <v>0</v>
      </c>
      <c r="I152" s="1904">
        <f>+' Satış Konsolide'!I142+'Genel Yönetim Giderleri'!J6</f>
        <v>0</v>
      </c>
      <c r="J152" s="1904">
        <f>+' Satış Konsolide'!J142+'Genel Yönetim Giderleri'!K6</f>
        <v>0</v>
      </c>
      <c r="K152" s="1904">
        <f>+' Satış Konsolide'!K142+'Genel Yönetim Giderleri'!L6</f>
        <v>0</v>
      </c>
      <c r="L152" s="1904">
        <f>+' Satış Konsolide'!L142+'Genel Yönetim Giderleri'!M6</f>
        <v>0</v>
      </c>
      <c r="M152" s="1904">
        <f>+' Satış Konsolide'!M142+'Genel Yönetim Giderleri'!N6</f>
        <v>0</v>
      </c>
      <c r="N152" s="1904">
        <f>+' Satış Konsolide'!N142+'Genel Yönetim Giderleri'!O6</f>
        <v>0</v>
      </c>
      <c r="O152" s="1905">
        <f>+' Satış Konsolide'!O142+'Genel Yönetim Giderleri'!P6</f>
        <v>0</v>
      </c>
      <c r="P152" s="1906">
        <f t="shared" si="54"/>
        <v>0</v>
      </c>
      <c r="Q152" s="1107" t="str">
        <f t="shared" si="53"/>
        <v>-</v>
      </c>
      <c r="R152" s="3"/>
    </row>
    <row r="153" spans="1:20">
      <c r="A153" s="1907" t="s">
        <v>67</v>
      </c>
      <c r="B153" s="1908">
        <f>+' Satış Konsolide'!B143+'Genel Yönetim Giderleri'!C7</f>
        <v>0</v>
      </c>
      <c r="C153" s="1908">
        <f>+' Satış Konsolide'!C143+'Genel Yönetim Giderleri'!D7</f>
        <v>0</v>
      </c>
      <c r="D153" s="1908">
        <f>+' Satış Konsolide'!D143+'Genel Yönetim Giderleri'!E7</f>
        <v>0</v>
      </c>
      <c r="E153" s="1909">
        <f>+' Satış Konsolide'!E143+'Genel Yönetim Giderleri'!F7</f>
        <v>0</v>
      </c>
      <c r="F153" s="1909">
        <f>+' Satış Konsolide'!F143+'Genel Yönetim Giderleri'!G7</f>
        <v>0</v>
      </c>
      <c r="G153" s="1909">
        <f>+' Satış Konsolide'!G143+'Genel Yönetim Giderleri'!H7</f>
        <v>0</v>
      </c>
      <c r="H153" s="1909">
        <f>+' Satış Konsolide'!H143+'Genel Yönetim Giderleri'!I7</f>
        <v>0</v>
      </c>
      <c r="I153" s="1909">
        <f>+' Satış Konsolide'!I143+'Genel Yönetim Giderleri'!J7</f>
        <v>0</v>
      </c>
      <c r="J153" s="1909">
        <f>+' Satış Konsolide'!J143+'Genel Yönetim Giderleri'!K7</f>
        <v>0</v>
      </c>
      <c r="K153" s="1909">
        <f>+' Satış Konsolide'!K143+'Genel Yönetim Giderleri'!L7</f>
        <v>0</v>
      </c>
      <c r="L153" s="1909">
        <f>+' Satış Konsolide'!L143+'Genel Yönetim Giderleri'!M7</f>
        <v>0</v>
      </c>
      <c r="M153" s="1909">
        <f>+' Satış Konsolide'!M143+'Genel Yönetim Giderleri'!N7</f>
        <v>0</v>
      </c>
      <c r="N153" s="1909">
        <f>+' Satış Konsolide'!N143+'Genel Yönetim Giderleri'!O7</f>
        <v>0</v>
      </c>
      <c r="O153" s="1910">
        <f>+' Satış Konsolide'!O143+'Genel Yönetim Giderleri'!P7</f>
        <v>0</v>
      </c>
      <c r="P153" s="1911">
        <f t="shared" si="54"/>
        <v>0</v>
      </c>
      <c r="Q153" s="1108" t="str">
        <f t="shared" si="53"/>
        <v>-</v>
      </c>
      <c r="R153" s="3"/>
    </row>
    <row r="154" spans="1:20">
      <c r="A154" s="1902" t="s">
        <v>40</v>
      </c>
      <c r="B154" s="1903">
        <f>+' Satış Konsolide'!B144+'Genel Yönetim Giderleri'!C8</f>
        <v>0</v>
      </c>
      <c r="C154" s="1903">
        <f>+' Satış Konsolide'!C144+'Genel Yönetim Giderleri'!D8</f>
        <v>0</v>
      </c>
      <c r="D154" s="1903">
        <f>+' Satış Konsolide'!D144+'Genel Yönetim Giderleri'!E8</f>
        <v>0</v>
      </c>
      <c r="E154" s="1904">
        <f>+' Satış Konsolide'!E144+'Genel Yönetim Giderleri'!F8</f>
        <v>0</v>
      </c>
      <c r="F154" s="1904">
        <f>+' Satış Konsolide'!F144+'Genel Yönetim Giderleri'!G8</f>
        <v>0</v>
      </c>
      <c r="G154" s="1904">
        <f>+' Satış Konsolide'!G144+'Genel Yönetim Giderleri'!H8</f>
        <v>0</v>
      </c>
      <c r="H154" s="1904">
        <f>+' Satış Konsolide'!H144+'Genel Yönetim Giderleri'!I8</f>
        <v>0</v>
      </c>
      <c r="I154" s="1904">
        <f>+' Satış Konsolide'!I144+'Genel Yönetim Giderleri'!J8</f>
        <v>0</v>
      </c>
      <c r="J154" s="1904">
        <f>+' Satış Konsolide'!J144+'Genel Yönetim Giderleri'!K8</f>
        <v>0</v>
      </c>
      <c r="K154" s="1904">
        <f>+' Satış Konsolide'!K144+'Genel Yönetim Giderleri'!L8</f>
        <v>0</v>
      </c>
      <c r="L154" s="1904">
        <f>+' Satış Konsolide'!L144+'Genel Yönetim Giderleri'!M8</f>
        <v>0</v>
      </c>
      <c r="M154" s="1904">
        <f>+' Satış Konsolide'!M144+'Genel Yönetim Giderleri'!N8</f>
        <v>0</v>
      </c>
      <c r="N154" s="1904">
        <f>+' Satış Konsolide'!N144+'Genel Yönetim Giderleri'!O8</f>
        <v>0</v>
      </c>
      <c r="O154" s="1905">
        <f>+' Satış Konsolide'!O144+'Genel Yönetim Giderleri'!P8</f>
        <v>0</v>
      </c>
      <c r="P154" s="1906">
        <f t="shared" si="54"/>
        <v>0</v>
      </c>
      <c r="Q154" s="1107" t="str">
        <f t="shared" si="53"/>
        <v>-</v>
      </c>
      <c r="R154" s="3"/>
    </row>
    <row r="155" spans="1:20">
      <c r="A155" s="1907" t="s">
        <v>41</v>
      </c>
      <c r="B155" s="1908">
        <f>+' Satış Konsolide'!B145+'Genel Yönetim Giderleri'!C9</f>
        <v>0</v>
      </c>
      <c r="C155" s="1908">
        <f>+' Satış Konsolide'!C145+'Genel Yönetim Giderleri'!D9</f>
        <v>0</v>
      </c>
      <c r="D155" s="1908">
        <f>+' Satış Konsolide'!D145+'Genel Yönetim Giderleri'!E9</f>
        <v>0</v>
      </c>
      <c r="E155" s="1909">
        <f>+' Satış Konsolide'!E145+'Genel Yönetim Giderleri'!F9</f>
        <v>0</v>
      </c>
      <c r="F155" s="1909">
        <f>+' Satış Konsolide'!F145+'Genel Yönetim Giderleri'!G9</f>
        <v>0</v>
      </c>
      <c r="G155" s="1909">
        <f>+' Satış Konsolide'!G145+'Genel Yönetim Giderleri'!H9</f>
        <v>0</v>
      </c>
      <c r="H155" s="1909">
        <f>+' Satış Konsolide'!H145+'Genel Yönetim Giderleri'!I9</f>
        <v>0</v>
      </c>
      <c r="I155" s="1909">
        <f>+' Satış Konsolide'!I145+'Genel Yönetim Giderleri'!J9</f>
        <v>0</v>
      </c>
      <c r="J155" s="1909">
        <f>+' Satış Konsolide'!J145+'Genel Yönetim Giderleri'!K9</f>
        <v>0</v>
      </c>
      <c r="K155" s="1909">
        <f>+' Satış Konsolide'!K145+'Genel Yönetim Giderleri'!L9</f>
        <v>0</v>
      </c>
      <c r="L155" s="1909">
        <f>+' Satış Konsolide'!L145+'Genel Yönetim Giderleri'!M9</f>
        <v>0</v>
      </c>
      <c r="M155" s="1909">
        <f>+' Satış Konsolide'!M145+'Genel Yönetim Giderleri'!N9</f>
        <v>0</v>
      </c>
      <c r="N155" s="1909">
        <f>+' Satış Konsolide'!N145+'Genel Yönetim Giderleri'!O9</f>
        <v>0</v>
      </c>
      <c r="O155" s="1910">
        <f>+' Satış Konsolide'!O145+'Genel Yönetim Giderleri'!P9</f>
        <v>0</v>
      </c>
      <c r="P155" s="1911">
        <f t="shared" si="54"/>
        <v>0</v>
      </c>
      <c r="Q155" s="1108" t="str">
        <f t="shared" si="53"/>
        <v>-</v>
      </c>
      <c r="R155" s="3"/>
    </row>
    <row r="156" spans="1:20">
      <c r="A156" s="1902" t="s">
        <v>42</v>
      </c>
      <c r="B156" s="1903">
        <f>+' Satış Konsolide'!B146+'Genel Yönetim Giderleri'!C10</f>
        <v>0</v>
      </c>
      <c r="C156" s="1903">
        <f>+' Satış Konsolide'!C146+'Genel Yönetim Giderleri'!D10</f>
        <v>0</v>
      </c>
      <c r="D156" s="1903">
        <f>+' Satış Konsolide'!D146+'Genel Yönetim Giderleri'!E10</f>
        <v>0</v>
      </c>
      <c r="E156" s="1904">
        <f>+' Satış Konsolide'!E146+'Genel Yönetim Giderleri'!F10</f>
        <v>0</v>
      </c>
      <c r="F156" s="1904">
        <f>+' Satış Konsolide'!F146+'Genel Yönetim Giderleri'!G10</f>
        <v>0</v>
      </c>
      <c r="G156" s="1904">
        <f>+' Satış Konsolide'!G146+'Genel Yönetim Giderleri'!H10</f>
        <v>0</v>
      </c>
      <c r="H156" s="1904">
        <f>+' Satış Konsolide'!H146+'Genel Yönetim Giderleri'!I10</f>
        <v>0</v>
      </c>
      <c r="I156" s="1904">
        <f>+' Satış Konsolide'!I146+'Genel Yönetim Giderleri'!J10</f>
        <v>0</v>
      </c>
      <c r="J156" s="1904">
        <f>+' Satış Konsolide'!J146+'Genel Yönetim Giderleri'!K10</f>
        <v>0</v>
      </c>
      <c r="K156" s="1904">
        <f>+' Satış Konsolide'!K146+'Genel Yönetim Giderleri'!L10</f>
        <v>0</v>
      </c>
      <c r="L156" s="1904">
        <f>+' Satış Konsolide'!L146+'Genel Yönetim Giderleri'!M10</f>
        <v>0</v>
      </c>
      <c r="M156" s="1904">
        <f>+' Satış Konsolide'!M146+'Genel Yönetim Giderleri'!N10</f>
        <v>0</v>
      </c>
      <c r="N156" s="1904">
        <f>+' Satış Konsolide'!N146+'Genel Yönetim Giderleri'!O10</f>
        <v>0</v>
      </c>
      <c r="O156" s="1905">
        <f>+' Satış Konsolide'!O146+'Genel Yönetim Giderleri'!P10</f>
        <v>0</v>
      </c>
      <c r="P156" s="1906">
        <f t="shared" si="54"/>
        <v>0</v>
      </c>
      <c r="Q156" s="1107" t="str">
        <f t="shared" si="53"/>
        <v>-</v>
      </c>
      <c r="R156" s="3"/>
    </row>
    <row r="157" spans="1:20">
      <c r="A157" s="1907" t="s">
        <v>43</v>
      </c>
      <c r="B157" s="1908">
        <f>+' Satış Konsolide'!B147+'Genel Yönetim Giderleri'!C11</f>
        <v>0</v>
      </c>
      <c r="C157" s="1908">
        <f>+' Satış Konsolide'!C147+'Genel Yönetim Giderleri'!D11</f>
        <v>0</v>
      </c>
      <c r="D157" s="1908">
        <f>+' Satış Konsolide'!D147+'Genel Yönetim Giderleri'!E11</f>
        <v>0</v>
      </c>
      <c r="E157" s="1909">
        <f>+' Satış Konsolide'!E147+'Genel Yönetim Giderleri'!F11</f>
        <v>0</v>
      </c>
      <c r="F157" s="1909">
        <f>+' Satış Konsolide'!F147+'Genel Yönetim Giderleri'!G11</f>
        <v>0</v>
      </c>
      <c r="G157" s="1909">
        <f>+' Satış Konsolide'!G147+'Genel Yönetim Giderleri'!H11</f>
        <v>0</v>
      </c>
      <c r="H157" s="1909">
        <f>+' Satış Konsolide'!H147+'Genel Yönetim Giderleri'!I11</f>
        <v>0</v>
      </c>
      <c r="I157" s="1909">
        <f>+' Satış Konsolide'!I147+'Genel Yönetim Giderleri'!J11</f>
        <v>0</v>
      </c>
      <c r="J157" s="1909">
        <f>+' Satış Konsolide'!J147+'Genel Yönetim Giderleri'!K11</f>
        <v>0</v>
      </c>
      <c r="K157" s="1912">
        <f>+' Satış Konsolide'!K147+'Genel Yönetim Giderleri'!L11</f>
        <v>0</v>
      </c>
      <c r="L157" s="1909">
        <f>+' Satış Konsolide'!L147+'Genel Yönetim Giderleri'!M11</f>
        <v>0</v>
      </c>
      <c r="M157" s="1909">
        <f>+' Satış Konsolide'!M147+'Genel Yönetim Giderleri'!N11</f>
        <v>0</v>
      </c>
      <c r="N157" s="1909">
        <f>+' Satış Konsolide'!N147+'Genel Yönetim Giderleri'!O11</f>
        <v>0</v>
      </c>
      <c r="O157" s="1910">
        <f>+' Satış Konsolide'!O147+'Genel Yönetim Giderleri'!P11</f>
        <v>0</v>
      </c>
      <c r="P157" s="1911">
        <f t="shared" si="54"/>
        <v>0</v>
      </c>
      <c r="Q157" s="1108" t="str">
        <f>IF(P157=0,"-",P157/C157-1)</f>
        <v>-</v>
      </c>
      <c r="R157" s="3"/>
    </row>
    <row r="158" spans="1:20">
      <c r="A158" s="1902" t="s">
        <v>44</v>
      </c>
      <c r="B158" s="1903">
        <f>+' Satış Konsolide'!B148+'Genel Yönetim Giderleri'!C12</f>
        <v>0</v>
      </c>
      <c r="C158" s="1903">
        <f>+' Satış Konsolide'!C148+'Genel Yönetim Giderleri'!D12</f>
        <v>0</v>
      </c>
      <c r="D158" s="1903">
        <f>+' Satış Konsolide'!D148+'Genel Yönetim Giderleri'!E12</f>
        <v>0</v>
      </c>
      <c r="E158" s="1904">
        <f>+' Satış Konsolide'!E148+'Genel Yönetim Giderleri'!F12</f>
        <v>0</v>
      </c>
      <c r="F158" s="1904">
        <f>+' Satış Konsolide'!F148+'Genel Yönetim Giderleri'!G12</f>
        <v>0</v>
      </c>
      <c r="G158" s="1904">
        <f>+' Satış Konsolide'!G148+'Genel Yönetim Giderleri'!H12</f>
        <v>0</v>
      </c>
      <c r="H158" s="1904">
        <f>+' Satış Konsolide'!H148+'Genel Yönetim Giderleri'!I12</f>
        <v>0</v>
      </c>
      <c r="I158" s="1904">
        <f>+' Satış Konsolide'!I148+'Genel Yönetim Giderleri'!J12</f>
        <v>0</v>
      </c>
      <c r="J158" s="1904">
        <f>+' Satış Konsolide'!J148+'Genel Yönetim Giderleri'!K12</f>
        <v>0</v>
      </c>
      <c r="K158" s="1904">
        <f>+' Satış Konsolide'!K148+'Genel Yönetim Giderleri'!L12</f>
        <v>0</v>
      </c>
      <c r="L158" s="1904">
        <f>+' Satış Konsolide'!L148+'Genel Yönetim Giderleri'!M12</f>
        <v>0</v>
      </c>
      <c r="M158" s="1904">
        <f>+' Satış Konsolide'!M148+'Genel Yönetim Giderleri'!N12</f>
        <v>0</v>
      </c>
      <c r="N158" s="1904">
        <f>+' Satış Konsolide'!N148+'Genel Yönetim Giderleri'!O12</f>
        <v>0</v>
      </c>
      <c r="O158" s="1905">
        <f>+' Satış Konsolide'!O148+'Genel Yönetim Giderleri'!P12</f>
        <v>0</v>
      </c>
      <c r="P158" s="1906">
        <f t="shared" si="54"/>
        <v>0</v>
      </c>
      <c r="Q158" s="1107" t="str">
        <f t="shared" si="53"/>
        <v>-</v>
      </c>
      <c r="R158" s="3"/>
    </row>
    <row r="159" spans="1:20">
      <c r="A159" s="1907" t="s">
        <v>45</v>
      </c>
      <c r="B159" s="1908">
        <f>+' Satış Konsolide'!B149+'Genel Yönetim Giderleri'!C13</f>
        <v>0</v>
      </c>
      <c r="C159" s="1908">
        <f>+' Satış Konsolide'!C149+'Genel Yönetim Giderleri'!D13</f>
        <v>0</v>
      </c>
      <c r="D159" s="1908">
        <f>+' Satış Konsolide'!D149+'Genel Yönetim Giderleri'!E13</f>
        <v>0</v>
      </c>
      <c r="E159" s="1909">
        <f>+' Satış Konsolide'!E149+'Genel Yönetim Giderleri'!F13</f>
        <v>0</v>
      </c>
      <c r="F159" s="1909">
        <f>+' Satış Konsolide'!F149+'Genel Yönetim Giderleri'!G13</f>
        <v>0</v>
      </c>
      <c r="G159" s="1909">
        <f>+' Satış Konsolide'!G149+'Genel Yönetim Giderleri'!H13</f>
        <v>0</v>
      </c>
      <c r="H159" s="1909">
        <f>+' Satış Konsolide'!H149+'Genel Yönetim Giderleri'!I13</f>
        <v>0</v>
      </c>
      <c r="I159" s="1909">
        <f>+' Satış Konsolide'!I149+'Genel Yönetim Giderleri'!J13</f>
        <v>0</v>
      </c>
      <c r="J159" s="1909">
        <f>+' Satış Konsolide'!J149+'Genel Yönetim Giderleri'!K13</f>
        <v>0</v>
      </c>
      <c r="K159" s="1909">
        <f>+' Satış Konsolide'!K149+'Genel Yönetim Giderleri'!L13</f>
        <v>0</v>
      </c>
      <c r="L159" s="1909">
        <f>+' Satış Konsolide'!L149+'Genel Yönetim Giderleri'!M13</f>
        <v>0</v>
      </c>
      <c r="M159" s="1909">
        <f>+' Satış Konsolide'!M149+'Genel Yönetim Giderleri'!N13</f>
        <v>0</v>
      </c>
      <c r="N159" s="1909">
        <f>+' Satış Konsolide'!N149+'Genel Yönetim Giderleri'!O13</f>
        <v>0</v>
      </c>
      <c r="O159" s="1910">
        <f>+' Satış Konsolide'!O149+'Genel Yönetim Giderleri'!P13</f>
        <v>0</v>
      </c>
      <c r="P159" s="1911">
        <f t="shared" si="54"/>
        <v>0</v>
      </c>
      <c r="Q159" s="1108" t="str">
        <f t="shared" si="53"/>
        <v>-</v>
      </c>
      <c r="R159" s="3"/>
    </row>
    <row r="160" spans="1:20">
      <c r="A160" s="1902" t="s">
        <v>46</v>
      </c>
      <c r="B160" s="1903">
        <f>+' Satış Konsolide'!B150+'Genel Yönetim Giderleri'!C14</f>
        <v>0</v>
      </c>
      <c r="C160" s="1903">
        <f>+' Satış Konsolide'!C150+'Genel Yönetim Giderleri'!D14</f>
        <v>0</v>
      </c>
      <c r="D160" s="1903">
        <f>+' Satış Konsolide'!D150+'Genel Yönetim Giderleri'!E14</f>
        <v>0</v>
      </c>
      <c r="E160" s="1904">
        <f>+' Satış Konsolide'!E150+'Genel Yönetim Giderleri'!F14</f>
        <v>0</v>
      </c>
      <c r="F160" s="1904">
        <f>+' Satış Konsolide'!F150+'Genel Yönetim Giderleri'!G14</f>
        <v>0</v>
      </c>
      <c r="G160" s="1904">
        <f>+' Satış Konsolide'!G150+'Genel Yönetim Giderleri'!H14</f>
        <v>0</v>
      </c>
      <c r="H160" s="1904">
        <f>+' Satış Konsolide'!H150+'Genel Yönetim Giderleri'!I14</f>
        <v>0</v>
      </c>
      <c r="I160" s="1904">
        <f>+' Satış Konsolide'!I150+'Genel Yönetim Giderleri'!J14</f>
        <v>0</v>
      </c>
      <c r="J160" s="1904">
        <f>+' Satış Konsolide'!J150+'Genel Yönetim Giderleri'!K14</f>
        <v>0</v>
      </c>
      <c r="K160" s="1904">
        <f>+' Satış Konsolide'!K150+'Genel Yönetim Giderleri'!L14</f>
        <v>0</v>
      </c>
      <c r="L160" s="1904">
        <f>+' Satış Konsolide'!L150+'Genel Yönetim Giderleri'!M14</f>
        <v>0</v>
      </c>
      <c r="M160" s="1904">
        <f>+' Satış Konsolide'!M150+'Genel Yönetim Giderleri'!N14</f>
        <v>0</v>
      </c>
      <c r="N160" s="1904">
        <f>+' Satış Konsolide'!N150+'Genel Yönetim Giderleri'!O14</f>
        <v>0</v>
      </c>
      <c r="O160" s="1905">
        <f>+' Satış Konsolide'!O150+'Genel Yönetim Giderleri'!P14</f>
        <v>0</v>
      </c>
      <c r="P160" s="1906">
        <f t="shared" si="54"/>
        <v>0</v>
      </c>
      <c r="Q160" s="1107" t="str">
        <f t="shared" si="53"/>
        <v>-</v>
      </c>
      <c r="R160" s="3"/>
    </row>
    <row r="161" spans="1:19">
      <c r="A161" s="1907" t="s">
        <v>65</v>
      </c>
      <c r="B161" s="1908">
        <f>+' Satış Konsolide'!B151+'Genel Yönetim Giderleri'!C15</f>
        <v>0</v>
      </c>
      <c r="C161" s="1908">
        <f>+' Satış Konsolide'!C151+'Genel Yönetim Giderleri'!D15</f>
        <v>0</v>
      </c>
      <c r="D161" s="1908">
        <f>+' Satış Konsolide'!D151+'Genel Yönetim Giderleri'!E15</f>
        <v>0</v>
      </c>
      <c r="E161" s="1909">
        <f>+' Satış Konsolide'!E151+'Genel Yönetim Giderleri'!F15</f>
        <v>0</v>
      </c>
      <c r="F161" s="1909">
        <f>+' Satış Konsolide'!F151+'Genel Yönetim Giderleri'!G15</f>
        <v>0</v>
      </c>
      <c r="G161" s="1909">
        <f>+' Satış Konsolide'!G151+'Genel Yönetim Giderleri'!H15</f>
        <v>0</v>
      </c>
      <c r="H161" s="1909">
        <f>+' Satış Konsolide'!H151+'Genel Yönetim Giderleri'!I15</f>
        <v>0</v>
      </c>
      <c r="I161" s="1909">
        <f>+' Satış Konsolide'!I151+'Genel Yönetim Giderleri'!J15</f>
        <v>0</v>
      </c>
      <c r="J161" s="1909">
        <f>+' Satış Konsolide'!J151+'Genel Yönetim Giderleri'!K15</f>
        <v>0</v>
      </c>
      <c r="K161" s="1909">
        <f>+' Satış Konsolide'!K151+'Genel Yönetim Giderleri'!L15</f>
        <v>0</v>
      </c>
      <c r="L161" s="1909">
        <f>+' Satış Konsolide'!L151+'Genel Yönetim Giderleri'!M15</f>
        <v>0</v>
      </c>
      <c r="M161" s="1909">
        <f>+' Satış Konsolide'!M151+'Genel Yönetim Giderleri'!N15</f>
        <v>0</v>
      </c>
      <c r="N161" s="1909">
        <f>+' Satış Konsolide'!N151+'Genel Yönetim Giderleri'!O15</f>
        <v>0</v>
      </c>
      <c r="O161" s="1910">
        <f>+' Satış Konsolide'!O151+'Genel Yönetim Giderleri'!P15</f>
        <v>0</v>
      </c>
      <c r="P161" s="1911">
        <f t="shared" si="54"/>
        <v>0</v>
      </c>
      <c r="Q161" s="1108" t="str">
        <f t="shared" si="53"/>
        <v>-</v>
      </c>
      <c r="R161" s="3"/>
    </row>
    <row r="162" spans="1:19">
      <c r="A162" s="1902" t="s">
        <v>78</v>
      </c>
      <c r="B162" s="1903">
        <f>+' Satış Konsolide'!B152+'Genel Yönetim Giderleri'!C16</f>
        <v>0</v>
      </c>
      <c r="C162" s="1903">
        <f>+' Satış Konsolide'!C152+'Genel Yönetim Giderleri'!D16</f>
        <v>0</v>
      </c>
      <c r="D162" s="1903">
        <f>+' Satış Konsolide'!D152+'Genel Yönetim Giderleri'!E16</f>
        <v>0</v>
      </c>
      <c r="E162" s="1904">
        <f>+' Satış Konsolide'!E152+'Genel Yönetim Giderleri'!F16</f>
        <v>0</v>
      </c>
      <c r="F162" s="1904">
        <f>+' Satış Konsolide'!F152+'Genel Yönetim Giderleri'!G16</f>
        <v>0</v>
      </c>
      <c r="G162" s="1904">
        <f>+' Satış Konsolide'!G152+'Genel Yönetim Giderleri'!H16</f>
        <v>0</v>
      </c>
      <c r="H162" s="1904">
        <f>+' Satış Konsolide'!H152+'Genel Yönetim Giderleri'!I16</f>
        <v>0</v>
      </c>
      <c r="I162" s="1904">
        <f>+' Satış Konsolide'!I152+'Genel Yönetim Giderleri'!J16</f>
        <v>0</v>
      </c>
      <c r="J162" s="1904">
        <f>+' Satış Konsolide'!J152+'Genel Yönetim Giderleri'!K16</f>
        <v>0</v>
      </c>
      <c r="K162" s="1904">
        <f>+' Satış Konsolide'!K152+'Genel Yönetim Giderleri'!L16</f>
        <v>0</v>
      </c>
      <c r="L162" s="1904">
        <f>+' Satış Konsolide'!L152+'Genel Yönetim Giderleri'!M16</f>
        <v>0</v>
      </c>
      <c r="M162" s="1904">
        <f>+' Satış Konsolide'!M152+'Genel Yönetim Giderleri'!N16</f>
        <v>0</v>
      </c>
      <c r="N162" s="1904">
        <f>+' Satış Konsolide'!N152+'Genel Yönetim Giderleri'!O16</f>
        <v>0</v>
      </c>
      <c r="O162" s="1905">
        <f>+' Satış Konsolide'!O152+'Genel Yönetim Giderleri'!P16</f>
        <v>0</v>
      </c>
      <c r="P162" s="1906">
        <f t="shared" si="54"/>
        <v>0</v>
      </c>
      <c r="Q162" s="1107" t="str">
        <f t="shared" si="53"/>
        <v>-</v>
      </c>
      <c r="R162" s="3"/>
    </row>
    <row r="163" spans="1:19">
      <c r="A163" s="1907" t="s">
        <v>47</v>
      </c>
      <c r="B163" s="1908">
        <f>+' Satış Konsolide'!B153+'Genel Yönetim Giderleri'!C17</f>
        <v>0</v>
      </c>
      <c r="C163" s="1908">
        <f>+' Satış Konsolide'!C153+'Genel Yönetim Giderleri'!D17</f>
        <v>0</v>
      </c>
      <c r="D163" s="1908">
        <f>+' Satış Konsolide'!D153+'Genel Yönetim Giderleri'!E17</f>
        <v>0</v>
      </c>
      <c r="E163" s="1909">
        <f>+' Satış Konsolide'!E153+'Genel Yönetim Giderleri'!F17</f>
        <v>0</v>
      </c>
      <c r="F163" s="1909">
        <f>+' Satış Konsolide'!F153+'Genel Yönetim Giderleri'!G17</f>
        <v>0</v>
      </c>
      <c r="G163" s="1909">
        <f>+' Satış Konsolide'!G153+'Genel Yönetim Giderleri'!H17</f>
        <v>0</v>
      </c>
      <c r="H163" s="1909">
        <f>+' Satış Konsolide'!H153+'Genel Yönetim Giderleri'!I17</f>
        <v>0</v>
      </c>
      <c r="I163" s="1909">
        <f>+' Satış Konsolide'!I153+'Genel Yönetim Giderleri'!J17</f>
        <v>0</v>
      </c>
      <c r="J163" s="1909">
        <f>+' Satış Konsolide'!J153+'Genel Yönetim Giderleri'!K17</f>
        <v>0</v>
      </c>
      <c r="K163" s="1909">
        <f>+' Satış Konsolide'!K153+'Genel Yönetim Giderleri'!L17</f>
        <v>0</v>
      </c>
      <c r="L163" s="1909">
        <f>+' Satış Konsolide'!L153+'Genel Yönetim Giderleri'!M17</f>
        <v>0</v>
      </c>
      <c r="M163" s="1909">
        <f>+' Satış Konsolide'!M153+'Genel Yönetim Giderleri'!N17</f>
        <v>0</v>
      </c>
      <c r="N163" s="1909">
        <f>+' Satış Konsolide'!N153+'Genel Yönetim Giderleri'!O17</f>
        <v>0</v>
      </c>
      <c r="O163" s="1910">
        <f>+' Satış Konsolide'!O153+'Genel Yönetim Giderleri'!P17</f>
        <v>0</v>
      </c>
      <c r="P163" s="1911">
        <f t="shared" si="54"/>
        <v>0</v>
      </c>
      <c r="Q163" s="1108" t="str">
        <f t="shared" si="53"/>
        <v>-</v>
      </c>
      <c r="R163" s="3"/>
    </row>
    <row r="164" spans="1:19">
      <c r="A164" s="1902" t="s">
        <v>48</v>
      </c>
      <c r="B164" s="1903">
        <f>+' Satış Konsolide'!B154+'Genel Yönetim Giderleri'!C18</f>
        <v>0</v>
      </c>
      <c r="C164" s="1903">
        <f>+' Satış Konsolide'!C154+'Genel Yönetim Giderleri'!D18</f>
        <v>0</v>
      </c>
      <c r="D164" s="1903">
        <f>+' Satış Konsolide'!D154+'Genel Yönetim Giderleri'!E18</f>
        <v>0</v>
      </c>
      <c r="E164" s="1904">
        <f>+' Satış Konsolide'!E154+'Genel Yönetim Giderleri'!F18</f>
        <v>0</v>
      </c>
      <c r="F164" s="1904">
        <f>+' Satış Konsolide'!F154+'Genel Yönetim Giderleri'!G18</f>
        <v>0</v>
      </c>
      <c r="G164" s="1904">
        <f>+' Satış Konsolide'!G154+'Genel Yönetim Giderleri'!H18</f>
        <v>0</v>
      </c>
      <c r="H164" s="1904">
        <f>+' Satış Konsolide'!H154+'Genel Yönetim Giderleri'!I18</f>
        <v>0</v>
      </c>
      <c r="I164" s="1904">
        <f>+' Satış Konsolide'!I154+'Genel Yönetim Giderleri'!J18</f>
        <v>0</v>
      </c>
      <c r="J164" s="1904">
        <f>+' Satış Konsolide'!J154+'Genel Yönetim Giderleri'!K18</f>
        <v>0</v>
      </c>
      <c r="K164" s="1904">
        <f>+' Satış Konsolide'!K154+'Genel Yönetim Giderleri'!L18</f>
        <v>0</v>
      </c>
      <c r="L164" s="1904">
        <f>+' Satış Konsolide'!L154+'Genel Yönetim Giderleri'!M18</f>
        <v>0</v>
      </c>
      <c r="M164" s="1904">
        <f>+' Satış Konsolide'!M154+'Genel Yönetim Giderleri'!N18</f>
        <v>0</v>
      </c>
      <c r="N164" s="1904">
        <f>+' Satış Konsolide'!N154+'Genel Yönetim Giderleri'!O18</f>
        <v>0</v>
      </c>
      <c r="O164" s="1905">
        <f>+' Satış Konsolide'!O154+'Genel Yönetim Giderleri'!P18</f>
        <v>0</v>
      </c>
      <c r="P164" s="1906">
        <f t="shared" si="54"/>
        <v>0</v>
      </c>
      <c r="Q164" s="1107" t="str">
        <f t="shared" si="53"/>
        <v>-</v>
      </c>
      <c r="R164" s="3"/>
    </row>
    <row r="165" spans="1:19">
      <c r="A165" s="1907" t="s">
        <v>77</v>
      </c>
      <c r="B165" s="1908">
        <f>+' Satış Konsolide'!B155+'Genel Yönetim Giderleri'!C19</f>
        <v>0</v>
      </c>
      <c r="C165" s="1908">
        <f>+' Satış Konsolide'!C155+'Genel Yönetim Giderleri'!D19</f>
        <v>0</v>
      </c>
      <c r="D165" s="1908">
        <f>+' Satış Konsolide'!D155+'Genel Yönetim Giderleri'!E19</f>
        <v>0</v>
      </c>
      <c r="E165" s="1909">
        <f>+' Satış Konsolide'!E155+'Genel Yönetim Giderleri'!F19</f>
        <v>0</v>
      </c>
      <c r="F165" s="1909">
        <f>+' Satış Konsolide'!F155+'Genel Yönetim Giderleri'!G19</f>
        <v>0</v>
      </c>
      <c r="G165" s="1909">
        <f>+' Satış Konsolide'!G155+'Genel Yönetim Giderleri'!H19</f>
        <v>0</v>
      </c>
      <c r="H165" s="1909">
        <f>+' Satış Konsolide'!H155+'Genel Yönetim Giderleri'!I19</f>
        <v>0</v>
      </c>
      <c r="I165" s="1909">
        <f>+' Satış Konsolide'!I155+'Genel Yönetim Giderleri'!J19</f>
        <v>0</v>
      </c>
      <c r="J165" s="1909">
        <f>+' Satış Konsolide'!J155+'Genel Yönetim Giderleri'!K19</f>
        <v>0</v>
      </c>
      <c r="K165" s="1909">
        <f>+' Satış Konsolide'!K155+'Genel Yönetim Giderleri'!L19</f>
        <v>0</v>
      </c>
      <c r="L165" s="1909">
        <f>+' Satış Konsolide'!L155+'Genel Yönetim Giderleri'!M19</f>
        <v>0</v>
      </c>
      <c r="M165" s="1909">
        <f>+' Satış Konsolide'!M155+'Genel Yönetim Giderleri'!N19</f>
        <v>0</v>
      </c>
      <c r="N165" s="1909">
        <f>+' Satış Konsolide'!N155+'Genel Yönetim Giderleri'!O19</f>
        <v>0</v>
      </c>
      <c r="O165" s="1910">
        <f>+' Satış Konsolide'!O155+'Genel Yönetim Giderleri'!P19</f>
        <v>0</v>
      </c>
      <c r="P165" s="1911">
        <f t="shared" si="54"/>
        <v>0</v>
      </c>
      <c r="Q165" s="1108" t="str">
        <f t="shared" si="53"/>
        <v>-</v>
      </c>
      <c r="R165" s="3"/>
    </row>
    <row r="166" spans="1:19">
      <c r="A166" s="1902" t="s">
        <v>49</v>
      </c>
      <c r="B166" s="1903">
        <f>+' Satış Konsolide'!B156+'Genel Yönetim Giderleri'!C20</f>
        <v>0</v>
      </c>
      <c r="C166" s="1903">
        <f>+' Satış Konsolide'!C156+'Genel Yönetim Giderleri'!D20</f>
        <v>0</v>
      </c>
      <c r="D166" s="1903">
        <f>+' Satış Konsolide'!D156+'Genel Yönetim Giderleri'!E20</f>
        <v>0</v>
      </c>
      <c r="E166" s="1904">
        <f>+' Satış Konsolide'!E156+'Genel Yönetim Giderleri'!F20</f>
        <v>0</v>
      </c>
      <c r="F166" s="1904">
        <f>+' Satış Konsolide'!F156+'Genel Yönetim Giderleri'!G20</f>
        <v>0</v>
      </c>
      <c r="G166" s="1904">
        <f>+' Satış Konsolide'!G156+'Genel Yönetim Giderleri'!H20</f>
        <v>0</v>
      </c>
      <c r="H166" s="1904">
        <f>+' Satış Konsolide'!H156+'Genel Yönetim Giderleri'!I20</f>
        <v>0</v>
      </c>
      <c r="I166" s="1904">
        <f>+' Satış Konsolide'!I156+'Genel Yönetim Giderleri'!J20</f>
        <v>0</v>
      </c>
      <c r="J166" s="1904">
        <f>+' Satış Konsolide'!J156+'Genel Yönetim Giderleri'!K20</f>
        <v>0</v>
      </c>
      <c r="K166" s="1904">
        <f>+' Satış Konsolide'!K156+'Genel Yönetim Giderleri'!L20</f>
        <v>0</v>
      </c>
      <c r="L166" s="1904">
        <f>+' Satış Konsolide'!L156+'Genel Yönetim Giderleri'!M20</f>
        <v>0</v>
      </c>
      <c r="M166" s="1904">
        <f>+' Satış Konsolide'!M156+'Genel Yönetim Giderleri'!N20</f>
        <v>0</v>
      </c>
      <c r="N166" s="1904">
        <f>+' Satış Konsolide'!N156+'Genel Yönetim Giderleri'!O20</f>
        <v>0</v>
      </c>
      <c r="O166" s="1905">
        <f>+' Satış Konsolide'!O156+'Genel Yönetim Giderleri'!P20</f>
        <v>0</v>
      </c>
      <c r="P166" s="1906">
        <f t="shared" si="54"/>
        <v>0</v>
      </c>
      <c r="Q166" s="1107" t="str">
        <f t="shared" si="53"/>
        <v>-</v>
      </c>
      <c r="R166" s="3"/>
    </row>
    <row r="167" spans="1:19">
      <c r="A167" s="1907" t="s">
        <v>50</v>
      </c>
      <c r="B167" s="1908">
        <f>+' Satış Konsolide'!B157+'Genel Yönetim Giderleri'!C21</f>
        <v>0</v>
      </c>
      <c r="C167" s="1908">
        <f>+' Satış Konsolide'!C157+'Genel Yönetim Giderleri'!D21</f>
        <v>0</v>
      </c>
      <c r="D167" s="1908">
        <f>+' Satış Konsolide'!D157+'Genel Yönetim Giderleri'!E21</f>
        <v>0</v>
      </c>
      <c r="E167" s="1909">
        <f>+' Satış Konsolide'!E157+'Genel Yönetim Giderleri'!F21</f>
        <v>0</v>
      </c>
      <c r="F167" s="1909">
        <f>+' Satış Konsolide'!F157+'Genel Yönetim Giderleri'!G21</f>
        <v>0</v>
      </c>
      <c r="G167" s="1909">
        <f>+' Satış Konsolide'!G157+'Genel Yönetim Giderleri'!H21</f>
        <v>0</v>
      </c>
      <c r="H167" s="1909">
        <f>+' Satış Konsolide'!H157+'Genel Yönetim Giderleri'!I21</f>
        <v>0</v>
      </c>
      <c r="I167" s="1909">
        <f>+' Satış Konsolide'!I157+'Genel Yönetim Giderleri'!J21</f>
        <v>0</v>
      </c>
      <c r="J167" s="1909">
        <f>+' Satış Konsolide'!J157+'Genel Yönetim Giderleri'!K21</f>
        <v>0</v>
      </c>
      <c r="K167" s="1909">
        <f>+' Satış Konsolide'!K157+'Genel Yönetim Giderleri'!L21</f>
        <v>0</v>
      </c>
      <c r="L167" s="1909">
        <f>+' Satış Konsolide'!L157+'Genel Yönetim Giderleri'!M21</f>
        <v>0</v>
      </c>
      <c r="M167" s="1909">
        <f>+' Satış Konsolide'!M157+'Genel Yönetim Giderleri'!N21</f>
        <v>0</v>
      </c>
      <c r="N167" s="1909">
        <f>+' Satış Konsolide'!N157+'Genel Yönetim Giderleri'!O21</f>
        <v>0</v>
      </c>
      <c r="O167" s="1910">
        <f>+' Satış Konsolide'!O157+'Genel Yönetim Giderleri'!P21</f>
        <v>0</v>
      </c>
      <c r="P167" s="1911">
        <f t="shared" si="54"/>
        <v>0</v>
      </c>
      <c r="Q167" s="1108" t="str">
        <f t="shared" si="53"/>
        <v>-</v>
      </c>
      <c r="R167" s="3"/>
    </row>
    <row r="168" spans="1:19" ht="15" customHeight="1">
      <c r="A168" s="2259" t="s">
        <v>76</v>
      </c>
      <c r="B168" s="1903">
        <f>+' Satış Konsolide'!B158+'Genel Yönetim Giderleri'!C22</f>
        <v>0</v>
      </c>
      <c r="C168" s="1903">
        <f>+' Satış Konsolide'!C158+'Genel Yönetim Giderleri'!D22</f>
        <v>0</v>
      </c>
      <c r="D168" s="1903">
        <f>+' Satış Konsolide'!D158+'Genel Yönetim Giderleri'!E22</f>
        <v>0</v>
      </c>
      <c r="E168" s="1904">
        <f>+' Satış Konsolide'!E158+'Genel Yönetim Giderleri'!F22</f>
        <v>0</v>
      </c>
      <c r="F168" s="1904">
        <f>+' Satış Konsolide'!F158+'Genel Yönetim Giderleri'!G22</f>
        <v>0</v>
      </c>
      <c r="G168" s="1904">
        <f>+' Satış Konsolide'!G158+'Genel Yönetim Giderleri'!H22</f>
        <v>0</v>
      </c>
      <c r="H168" s="1904">
        <f>+' Satış Konsolide'!H158+'Genel Yönetim Giderleri'!I22</f>
        <v>0</v>
      </c>
      <c r="I168" s="1904">
        <f>+' Satış Konsolide'!I158+'Genel Yönetim Giderleri'!J22</f>
        <v>0</v>
      </c>
      <c r="J168" s="1904">
        <f>+' Satış Konsolide'!J158+'Genel Yönetim Giderleri'!K22</f>
        <v>0</v>
      </c>
      <c r="K168" s="1904">
        <f>+' Satış Konsolide'!K158+'Genel Yönetim Giderleri'!L22</f>
        <v>0</v>
      </c>
      <c r="L168" s="1904">
        <f>+' Satış Konsolide'!L158+'Genel Yönetim Giderleri'!M22</f>
        <v>0</v>
      </c>
      <c r="M168" s="1904">
        <f>+' Satış Konsolide'!M158+'Genel Yönetim Giderleri'!N22</f>
        <v>0</v>
      </c>
      <c r="N168" s="1904">
        <f>+' Satış Konsolide'!N158+'Genel Yönetim Giderleri'!O22</f>
        <v>0</v>
      </c>
      <c r="O168" s="1905">
        <f>+' Satış Konsolide'!O158+'Genel Yönetim Giderleri'!P22</f>
        <v>0</v>
      </c>
      <c r="P168" s="1906">
        <f t="shared" si="54"/>
        <v>0</v>
      </c>
      <c r="Q168" s="1107" t="str">
        <f t="shared" si="53"/>
        <v>-</v>
      </c>
      <c r="R168" s="3"/>
    </row>
    <row r="169" spans="1:19">
      <c r="A169" s="1907" t="s">
        <v>51</v>
      </c>
      <c r="B169" s="1908">
        <f>+' Satış Konsolide'!B159+'Genel Yönetim Giderleri'!C23</f>
        <v>0</v>
      </c>
      <c r="C169" s="1908">
        <f>+' Satış Konsolide'!C159+'Genel Yönetim Giderleri'!D23</f>
        <v>0</v>
      </c>
      <c r="D169" s="1908">
        <f>+' Satış Konsolide'!D159+'Genel Yönetim Giderleri'!E23</f>
        <v>0</v>
      </c>
      <c r="E169" s="1909">
        <f>+' Satış Konsolide'!E159+'Genel Yönetim Giderleri'!F23</f>
        <v>0</v>
      </c>
      <c r="F169" s="1909">
        <f>+' Satış Konsolide'!F159+'Genel Yönetim Giderleri'!G23</f>
        <v>0</v>
      </c>
      <c r="G169" s="1909">
        <f>+' Satış Konsolide'!G159+'Genel Yönetim Giderleri'!H23</f>
        <v>0</v>
      </c>
      <c r="H169" s="1909">
        <f>+' Satış Konsolide'!H159+'Genel Yönetim Giderleri'!I23</f>
        <v>0</v>
      </c>
      <c r="I169" s="1909">
        <f>+' Satış Konsolide'!I159+'Genel Yönetim Giderleri'!J23</f>
        <v>0</v>
      </c>
      <c r="J169" s="1909">
        <f>+' Satış Konsolide'!J159+'Genel Yönetim Giderleri'!K23</f>
        <v>0</v>
      </c>
      <c r="K169" s="1909">
        <f>+' Satış Konsolide'!K159+'Genel Yönetim Giderleri'!L23</f>
        <v>0</v>
      </c>
      <c r="L169" s="1909">
        <f>+' Satış Konsolide'!L159+'Genel Yönetim Giderleri'!M23</f>
        <v>0</v>
      </c>
      <c r="M169" s="1909">
        <f>+' Satış Konsolide'!M159+'Genel Yönetim Giderleri'!N23</f>
        <v>0</v>
      </c>
      <c r="N169" s="1909">
        <f>+' Satış Konsolide'!N159+'Genel Yönetim Giderleri'!O23</f>
        <v>0</v>
      </c>
      <c r="O169" s="1910">
        <f>+' Satış Konsolide'!O159+'Genel Yönetim Giderleri'!P23</f>
        <v>0</v>
      </c>
      <c r="P169" s="1911">
        <f t="shared" si="54"/>
        <v>0</v>
      </c>
      <c r="Q169" s="1108" t="str">
        <f t="shared" si="53"/>
        <v>-</v>
      </c>
      <c r="R169" s="3"/>
    </row>
    <row r="170" spans="1:19">
      <c r="A170" s="1902" t="s">
        <v>52</v>
      </c>
      <c r="B170" s="1903">
        <f>+' Satış Konsolide'!B160+'Genel Yönetim Giderleri'!C24</f>
        <v>0</v>
      </c>
      <c r="C170" s="1903">
        <f>+' Satış Konsolide'!C160+'Genel Yönetim Giderleri'!D24</f>
        <v>0</v>
      </c>
      <c r="D170" s="1903">
        <f>+' Satış Konsolide'!D160+'Genel Yönetim Giderleri'!E24</f>
        <v>0</v>
      </c>
      <c r="E170" s="1904">
        <f>+' Satış Konsolide'!E160+'Genel Yönetim Giderleri'!F24</f>
        <v>0</v>
      </c>
      <c r="F170" s="1904">
        <f>+' Satış Konsolide'!F160+'Genel Yönetim Giderleri'!G24</f>
        <v>0</v>
      </c>
      <c r="G170" s="1904">
        <f>+' Satış Konsolide'!G160+'Genel Yönetim Giderleri'!H24</f>
        <v>0</v>
      </c>
      <c r="H170" s="1904">
        <f>+' Satış Konsolide'!H160+'Genel Yönetim Giderleri'!I24</f>
        <v>0</v>
      </c>
      <c r="I170" s="1904">
        <f>+' Satış Konsolide'!I160+'Genel Yönetim Giderleri'!J24</f>
        <v>0</v>
      </c>
      <c r="J170" s="1904">
        <f>+' Satış Konsolide'!J160+'Genel Yönetim Giderleri'!K24</f>
        <v>0</v>
      </c>
      <c r="K170" s="1904">
        <f>+' Satış Konsolide'!K160+'Genel Yönetim Giderleri'!L24</f>
        <v>0</v>
      </c>
      <c r="L170" s="1904">
        <f>+' Satış Konsolide'!L160+'Genel Yönetim Giderleri'!M24</f>
        <v>0</v>
      </c>
      <c r="M170" s="1904">
        <f>+' Satış Konsolide'!M160+'Genel Yönetim Giderleri'!N24</f>
        <v>0</v>
      </c>
      <c r="N170" s="1904">
        <f>+' Satış Konsolide'!N160+'Genel Yönetim Giderleri'!O24</f>
        <v>0</v>
      </c>
      <c r="O170" s="1905">
        <f>+' Satış Konsolide'!O160+'Genel Yönetim Giderleri'!P24</f>
        <v>0</v>
      </c>
      <c r="P170" s="1906">
        <f t="shared" si="54"/>
        <v>0</v>
      </c>
      <c r="Q170" s="1107" t="str">
        <f t="shared" si="53"/>
        <v>-</v>
      </c>
      <c r="R170" s="3"/>
    </row>
    <row r="171" spans="1:19">
      <c r="A171" s="1907" t="s">
        <v>53</v>
      </c>
      <c r="B171" s="1908">
        <f>+' Satış Konsolide'!B161+'Genel Yönetim Giderleri'!C25</f>
        <v>0</v>
      </c>
      <c r="C171" s="1908">
        <f>+' Satış Konsolide'!C161+'Genel Yönetim Giderleri'!D25</f>
        <v>0</v>
      </c>
      <c r="D171" s="1908">
        <f>+' Satış Konsolide'!D161+'Genel Yönetim Giderleri'!E25</f>
        <v>0</v>
      </c>
      <c r="E171" s="1909">
        <f>+' Satış Konsolide'!E161+'Genel Yönetim Giderleri'!F25</f>
        <v>0</v>
      </c>
      <c r="F171" s="1909">
        <f>+' Satış Konsolide'!F161+'Genel Yönetim Giderleri'!G25</f>
        <v>0</v>
      </c>
      <c r="G171" s="1909">
        <f>+' Satış Konsolide'!G161+'Genel Yönetim Giderleri'!H25</f>
        <v>0</v>
      </c>
      <c r="H171" s="1909">
        <f>+' Satış Konsolide'!H161+'Genel Yönetim Giderleri'!I25</f>
        <v>0</v>
      </c>
      <c r="I171" s="1909">
        <f>+' Satış Konsolide'!I161+'Genel Yönetim Giderleri'!J25</f>
        <v>0</v>
      </c>
      <c r="J171" s="1909">
        <f>+' Satış Konsolide'!J161+'Genel Yönetim Giderleri'!K25</f>
        <v>0</v>
      </c>
      <c r="K171" s="1909">
        <f>+' Satış Konsolide'!K161+'Genel Yönetim Giderleri'!L25</f>
        <v>0</v>
      </c>
      <c r="L171" s="1909">
        <f>+' Satış Konsolide'!L161+'Genel Yönetim Giderleri'!M25</f>
        <v>0</v>
      </c>
      <c r="M171" s="1909">
        <f>+' Satış Konsolide'!M161+'Genel Yönetim Giderleri'!N25</f>
        <v>0</v>
      </c>
      <c r="N171" s="1909">
        <f>+' Satış Konsolide'!N161+'Genel Yönetim Giderleri'!O25</f>
        <v>0</v>
      </c>
      <c r="O171" s="1910">
        <f>+' Satış Konsolide'!O161+'Genel Yönetim Giderleri'!P25</f>
        <v>0</v>
      </c>
      <c r="P171" s="1911">
        <f t="shared" si="54"/>
        <v>0</v>
      </c>
      <c r="Q171" s="1108" t="str">
        <f t="shared" si="53"/>
        <v>-</v>
      </c>
      <c r="R171" s="3"/>
    </row>
    <row r="172" spans="1:19">
      <c r="A172" s="1902" t="s">
        <v>54</v>
      </c>
      <c r="B172" s="1903">
        <f>+' Satış Konsolide'!B162+'Genel Yönetim Giderleri'!C26</f>
        <v>0</v>
      </c>
      <c r="C172" s="1903">
        <f>+' Satış Konsolide'!C162+'Genel Yönetim Giderleri'!D26</f>
        <v>0</v>
      </c>
      <c r="D172" s="1903">
        <f>+' Satış Konsolide'!D162+'Genel Yönetim Giderleri'!E26</f>
        <v>0</v>
      </c>
      <c r="E172" s="1904">
        <f>+' Satış Konsolide'!E162+'Genel Yönetim Giderleri'!F26</f>
        <v>0</v>
      </c>
      <c r="F172" s="1904">
        <f>+' Satış Konsolide'!F162+'Genel Yönetim Giderleri'!G26</f>
        <v>0</v>
      </c>
      <c r="G172" s="1904">
        <f>+' Satış Konsolide'!G162+'Genel Yönetim Giderleri'!H26</f>
        <v>0</v>
      </c>
      <c r="H172" s="1904">
        <f>+' Satış Konsolide'!H162+'Genel Yönetim Giderleri'!I26</f>
        <v>0</v>
      </c>
      <c r="I172" s="1904">
        <f>+' Satış Konsolide'!I162+'Genel Yönetim Giderleri'!J26</f>
        <v>0</v>
      </c>
      <c r="J172" s="1904">
        <f>+' Satış Konsolide'!J162+'Genel Yönetim Giderleri'!K26</f>
        <v>0</v>
      </c>
      <c r="K172" s="1904">
        <f>+' Satış Konsolide'!K162+'Genel Yönetim Giderleri'!L26</f>
        <v>0</v>
      </c>
      <c r="L172" s="1904">
        <f>+' Satış Konsolide'!L162+'Genel Yönetim Giderleri'!M26</f>
        <v>0</v>
      </c>
      <c r="M172" s="1904">
        <f>+' Satış Konsolide'!M162+'Genel Yönetim Giderleri'!N26</f>
        <v>0</v>
      </c>
      <c r="N172" s="1904">
        <f>+' Satış Konsolide'!N162+'Genel Yönetim Giderleri'!O26</f>
        <v>0</v>
      </c>
      <c r="O172" s="1905">
        <f>+' Satış Konsolide'!O162+'Genel Yönetim Giderleri'!P26</f>
        <v>0</v>
      </c>
      <c r="P172" s="1906">
        <f t="shared" si="54"/>
        <v>0</v>
      </c>
      <c r="Q172" s="1107" t="str">
        <f t="shared" si="53"/>
        <v>-</v>
      </c>
      <c r="R172" s="3"/>
    </row>
    <row r="173" spans="1:19">
      <c r="A173" s="1907" t="s">
        <v>55</v>
      </c>
      <c r="B173" s="1908">
        <f>+' Satış Konsolide'!B163+'Genel Yönetim Giderleri'!C27</f>
        <v>0</v>
      </c>
      <c r="C173" s="1908">
        <f>+' Satış Konsolide'!C163+'Genel Yönetim Giderleri'!D27</f>
        <v>0</v>
      </c>
      <c r="D173" s="1908">
        <f>+' Satış Konsolide'!D163+'Genel Yönetim Giderleri'!E27</f>
        <v>0</v>
      </c>
      <c r="E173" s="1909">
        <f>+' Satış Konsolide'!E163+'Genel Yönetim Giderleri'!F27</f>
        <v>0</v>
      </c>
      <c r="F173" s="1909">
        <f>+' Satış Konsolide'!F163+'Genel Yönetim Giderleri'!G27</f>
        <v>0</v>
      </c>
      <c r="G173" s="1909">
        <f>+' Satış Konsolide'!G163+'Genel Yönetim Giderleri'!H27</f>
        <v>0</v>
      </c>
      <c r="H173" s="1909">
        <f>+' Satış Konsolide'!H163+'Genel Yönetim Giderleri'!I27</f>
        <v>0</v>
      </c>
      <c r="I173" s="1909">
        <f>+' Satış Konsolide'!I163+'Genel Yönetim Giderleri'!J27</f>
        <v>0</v>
      </c>
      <c r="J173" s="1909">
        <f>+' Satış Konsolide'!J163+'Genel Yönetim Giderleri'!K27</f>
        <v>0</v>
      </c>
      <c r="K173" s="1909">
        <f>+' Satış Konsolide'!K163+'Genel Yönetim Giderleri'!L27</f>
        <v>0</v>
      </c>
      <c r="L173" s="1909">
        <f>+' Satış Konsolide'!L163+'Genel Yönetim Giderleri'!M27</f>
        <v>0</v>
      </c>
      <c r="M173" s="1909">
        <f>+' Satış Konsolide'!M163+'Genel Yönetim Giderleri'!N27</f>
        <v>0</v>
      </c>
      <c r="N173" s="1909">
        <f>+' Satış Konsolide'!N163+'Genel Yönetim Giderleri'!O27</f>
        <v>0</v>
      </c>
      <c r="O173" s="1910">
        <f>+' Satış Konsolide'!O163+'Genel Yönetim Giderleri'!P27</f>
        <v>0</v>
      </c>
      <c r="P173" s="1911">
        <f t="shared" si="54"/>
        <v>0</v>
      </c>
      <c r="Q173" s="1108" t="str">
        <f t="shared" si="53"/>
        <v>-</v>
      </c>
      <c r="R173" s="3"/>
      <c r="S173" s="3">
        <f>+C189-C100</f>
        <v>0</v>
      </c>
    </row>
    <row r="174" spans="1:19">
      <c r="A174" s="1902" t="s">
        <v>56</v>
      </c>
      <c r="B174" s="1903">
        <f>+' Satış Konsolide'!B164+'Genel Yönetim Giderleri'!C28</f>
        <v>0</v>
      </c>
      <c r="C174" s="1903">
        <f>+' Satış Konsolide'!C164+'Genel Yönetim Giderleri'!D28</f>
        <v>0</v>
      </c>
      <c r="D174" s="1903">
        <f>+' Satış Konsolide'!D164+'Genel Yönetim Giderleri'!E28</f>
        <v>0</v>
      </c>
      <c r="E174" s="1904">
        <f>+' Satış Konsolide'!E164+'Genel Yönetim Giderleri'!F28</f>
        <v>0</v>
      </c>
      <c r="F174" s="1904">
        <f>+' Satış Konsolide'!F164+'Genel Yönetim Giderleri'!G28</f>
        <v>0</v>
      </c>
      <c r="G174" s="1904">
        <f>+' Satış Konsolide'!G164+'Genel Yönetim Giderleri'!H28</f>
        <v>0</v>
      </c>
      <c r="H174" s="1904">
        <f>+' Satış Konsolide'!H164+'Genel Yönetim Giderleri'!I28</f>
        <v>0</v>
      </c>
      <c r="I174" s="1904">
        <f>+' Satış Konsolide'!I164+'Genel Yönetim Giderleri'!J28</f>
        <v>0</v>
      </c>
      <c r="J174" s="1904">
        <f>+' Satış Konsolide'!J164+'Genel Yönetim Giderleri'!K28</f>
        <v>0</v>
      </c>
      <c r="K174" s="1904">
        <f>+' Satış Konsolide'!K164+'Genel Yönetim Giderleri'!L28</f>
        <v>0</v>
      </c>
      <c r="L174" s="1904">
        <f>+' Satış Konsolide'!L164+'Genel Yönetim Giderleri'!M28</f>
        <v>0</v>
      </c>
      <c r="M174" s="1904">
        <f>+' Satış Konsolide'!M164+'Genel Yönetim Giderleri'!N28</f>
        <v>0</v>
      </c>
      <c r="N174" s="1904">
        <f>+' Satış Konsolide'!N164+'Genel Yönetim Giderleri'!O28</f>
        <v>0</v>
      </c>
      <c r="O174" s="1905">
        <f>+' Satış Konsolide'!O164+'Genel Yönetim Giderleri'!P28</f>
        <v>0</v>
      </c>
      <c r="P174" s="1906">
        <f t="shared" si="54"/>
        <v>0</v>
      </c>
      <c r="Q174" s="1107" t="str">
        <f t="shared" si="53"/>
        <v>-</v>
      </c>
      <c r="R174" s="3"/>
    </row>
    <row r="175" spans="1:19">
      <c r="A175" s="1907" t="s">
        <v>57</v>
      </c>
      <c r="B175" s="1908">
        <f>+' Satış Konsolide'!B165+'Genel Yönetim Giderleri'!C29</f>
        <v>0</v>
      </c>
      <c r="C175" s="1908">
        <f>+' Satış Konsolide'!C165+'Genel Yönetim Giderleri'!D29</f>
        <v>0</v>
      </c>
      <c r="D175" s="1908">
        <f>+' Satış Konsolide'!D165+'Genel Yönetim Giderleri'!E29</f>
        <v>0</v>
      </c>
      <c r="E175" s="1909">
        <f>+' Satış Konsolide'!E165+'Genel Yönetim Giderleri'!F29</f>
        <v>0</v>
      </c>
      <c r="F175" s="1909">
        <f>+' Satış Konsolide'!F165+'Genel Yönetim Giderleri'!G29</f>
        <v>0</v>
      </c>
      <c r="G175" s="1909">
        <f>+' Satış Konsolide'!G165+'Genel Yönetim Giderleri'!H29</f>
        <v>0</v>
      </c>
      <c r="H175" s="1909">
        <f>+' Satış Konsolide'!H165+'Genel Yönetim Giderleri'!I29</f>
        <v>0</v>
      </c>
      <c r="I175" s="1909">
        <f>+' Satış Konsolide'!I165+'Genel Yönetim Giderleri'!J29</f>
        <v>0</v>
      </c>
      <c r="J175" s="1909">
        <f>+' Satış Konsolide'!J165+'Genel Yönetim Giderleri'!K29</f>
        <v>0</v>
      </c>
      <c r="K175" s="1909">
        <f>+' Satış Konsolide'!K165+'Genel Yönetim Giderleri'!L29</f>
        <v>0</v>
      </c>
      <c r="L175" s="1909">
        <f>+' Satış Konsolide'!L165+'Genel Yönetim Giderleri'!M29</f>
        <v>0</v>
      </c>
      <c r="M175" s="1909">
        <f>+' Satış Konsolide'!M165+'Genel Yönetim Giderleri'!N29</f>
        <v>0</v>
      </c>
      <c r="N175" s="1909">
        <f>+' Satış Konsolide'!N165+'Genel Yönetim Giderleri'!O29</f>
        <v>0</v>
      </c>
      <c r="O175" s="1910">
        <f>+' Satış Konsolide'!O165+'Genel Yönetim Giderleri'!P29</f>
        <v>0</v>
      </c>
      <c r="P175" s="1911">
        <f t="shared" si="54"/>
        <v>0</v>
      </c>
      <c r="Q175" s="1108" t="str">
        <f t="shared" si="53"/>
        <v>-</v>
      </c>
      <c r="R175" s="3"/>
    </row>
    <row r="176" spans="1:19">
      <c r="A176" s="1902" t="s">
        <v>58</v>
      </c>
      <c r="B176" s="1903">
        <f>+' Satış Konsolide'!B166+'Genel Yönetim Giderleri'!C30</f>
        <v>0</v>
      </c>
      <c r="C176" s="1903">
        <f>+' Satış Konsolide'!C166+'Genel Yönetim Giderleri'!D30</f>
        <v>0</v>
      </c>
      <c r="D176" s="1903">
        <f>+' Satış Konsolide'!D166+'Genel Yönetim Giderleri'!E30</f>
        <v>0</v>
      </c>
      <c r="E176" s="1904">
        <f>+' Satış Konsolide'!E166+'Genel Yönetim Giderleri'!F30</f>
        <v>0</v>
      </c>
      <c r="F176" s="1904">
        <f>+' Satış Konsolide'!F166+'Genel Yönetim Giderleri'!G30</f>
        <v>0</v>
      </c>
      <c r="G176" s="1904">
        <f>+' Satış Konsolide'!G166+'Genel Yönetim Giderleri'!H30</f>
        <v>0</v>
      </c>
      <c r="H176" s="1904">
        <f>+' Satış Konsolide'!H166+'Genel Yönetim Giderleri'!I30</f>
        <v>0</v>
      </c>
      <c r="I176" s="1904">
        <f>+' Satış Konsolide'!I166+'Genel Yönetim Giderleri'!J30</f>
        <v>0</v>
      </c>
      <c r="J176" s="1904">
        <f>+' Satış Konsolide'!J166+'Genel Yönetim Giderleri'!K30</f>
        <v>0</v>
      </c>
      <c r="K176" s="1904">
        <f>+' Satış Konsolide'!K166+'Genel Yönetim Giderleri'!L30</f>
        <v>0</v>
      </c>
      <c r="L176" s="1904">
        <f>+' Satış Konsolide'!L166+'Genel Yönetim Giderleri'!M30</f>
        <v>0</v>
      </c>
      <c r="M176" s="1904">
        <f>+' Satış Konsolide'!M166+'Genel Yönetim Giderleri'!N30</f>
        <v>0</v>
      </c>
      <c r="N176" s="1904">
        <f>+' Satış Konsolide'!N166+'Genel Yönetim Giderleri'!O30</f>
        <v>0</v>
      </c>
      <c r="O176" s="1905">
        <f>+' Satış Konsolide'!O166+'Genel Yönetim Giderleri'!P30</f>
        <v>0</v>
      </c>
      <c r="P176" s="1906">
        <f t="shared" si="54"/>
        <v>0</v>
      </c>
      <c r="Q176" s="1107" t="str">
        <f t="shared" si="53"/>
        <v>-</v>
      </c>
      <c r="R176" s="3"/>
    </row>
    <row r="177" spans="1:18">
      <c r="A177" s="1907" t="s">
        <v>59</v>
      </c>
      <c r="B177" s="1908">
        <f>+' Satış Konsolide'!B167+'Genel Yönetim Giderleri'!C31</f>
        <v>0</v>
      </c>
      <c r="C177" s="1908">
        <f>+' Satış Konsolide'!C167+'Genel Yönetim Giderleri'!D31</f>
        <v>0</v>
      </c>
      <c r="D177" s="1908">
        <f>+' Satış Konsolide'!D167+'Genel Yönetim Giderleri'!E31</f>
        <v>0</v>
      </c>
      <c r="E177" s="1909">
        <f>+' Satış Konsolide'!E167+'Genel Yönetim Giderleri'!F31</f>
        <v>0</v>
      </c>
      <c r="F177" s="1909">
        <f>+' Satış Konsolide'!F167+'Genel Yönetim Giderleri'!G31</f>
        <v>0</v>
      </c>
      <c r="G177" s="1909">
        <f>+' Satış Konsolide'!G167+'Genel Yönetim Giderleri'!H31</f>
        <v>0</v>
      </c>
      <c r="H177" s="1909">
        <f>+' Satış Konsolide'!H167+'Genel Yönetim Giderleri'!I31</f>
        <v>0</v>
      </c>
      <c r="I177" s="1909">
        <f>+' Satış Konsolide'!I167+'Genel Yönetim Giderleri'!J31</f>
        <v>0</v>
      </c>
      <c r="J177" s="1909">
        <f>+' Satış Konsolide'!J167+'Genel Yönetim Giderleri'!K31</f>
        <v>0</v>
      </c>
      <c r="K177" s="1909">
        <f>+' Satış Konsolide'!K167+'Genel Yönetim Giderleri'!L31</f>
        <v>0</v>
      </c>
      <c r="L177" s="1909">
        <f>+' Satış Konsolide'!L167+'Genel Yönetim Giderleri'!M31</f>
        <v>0</v>
      </c>
      <c r="M177" s="1909">
        <f>+' Satış Konsolide'!M167+'Genel Yönetim Giderleri'!N31</f>
        <v>0</v>
      </c>
      <c r="N177" s="1909">
        <f>+' Satış Konsolide'!N167+'Genel Yönetim Giderleri'!O31</f>
        <v>0</v>
      </c>
      <c r="O177" s="1910">
        <f>+' Satış Konsolide'!O167+'Genel Yönetim Giderleri'!P31</f>
        <v>0</v>
      </c>
      <c r="P177" s="1911">
        <f t="shared" si="54"/>
        <v>0</v>
      </c>
      <c r="Q177" s="1108" t="str">
        <f t="shared" si="53"/>
        <v>-</v>
      </c>
      <c r="R177" s="3"/>
    </row>
    <row r="178" spans="1:18">
      <c r="A178" s="1902" t="s">
        <v>60</v>
      </c>
      <c r="B178" s="1903">
        <f>+' Satış Konsolide'!B168+'Genel Yönetim Giderleri'!C32</f>
        <v>0</v>
      </c>
      <c r="C178" s="1903">
        <f>+' Satış Konsolide'!C168+'Genel Yönetim Giderleri'!D32</f>
        <v>0</v>
      </c>
      <c r="D178" s="1903">
        <f>+'Genel Yönetim Giderleri'!E32+' Satış Konsolide'!D168</f>
        <v>0</v>
      </c>
      <c r="E178" s="1904">
        <f>+'Genel Yönetim Giderleri'!F32+' Satış Konsolide'!E168</f>
        <v>0</v>
      </c>
      <c r="F178" s="1904">
        <f>+'Genel Yönetim Giderleri'!G32+' Satış Konsolide'!F168</f>
        <v>0</v>
      </c>
      <c r="G178" s="1904">
        <f>+'Genel Yönetim Giderleri'!H32+' Satış Konsolide'!G168</f>
        <v>0</v>
      </c>
      <c r="H178" s="1904">
        <f>+'Genel Yönetim Giderleri'!I32+' Satış Konsolide'!H168</f>
        <v>0</v>
      </c>
      <c r="I178" s="1904">
        <f>+'Genel Yönetim Giderleri'!J32+' Satış Konsolide'!I168</f>
        <v>0</v>
      </c>
      <c r="J178" s="1904">
        <f>+'Genel Yönetim Giderleri'!K32+' Satış Konsolide'!J168</f>
        <v>0</v>
      </c>
      <c r="K178" s="1904">
        <f>+'Genel Yönetim Giderleri'!L32+' Satış Konsolide'!K168</f>
        <v>0</v>
      </c>
      <c r="L178" s="1904">
        <f>+'Genel Yönetim Giderleri'!M32+' Satış Konsolide'!L168</f>
        <v>0</v>
      </c>
      <c r="M178" s="1904">
        <f>+'Genel Yönetim Giderleri'!N32+' Satış Konsolide'!M168</f>
        <v>0</v>
      </c>
      <c r="N178" s="1904">
        <f>+'Genel Yönetim Giderleri'!O32+' Satış Konsolide'!N168</f>
        <v>0</v>
      </c>
      <c r="O178" s="1905">
        <f>+'Genel Yönetim Giderleri'!P32+' Satış Konsolide'!O168</f>
        <v>0</v>
      </c>
      <c r="P178" s="1906">
        <f t="shared" si="54"/>
        <v>0</v>
      </c>
      <c r="Q178" s="1107" t="str">
        <f t="shared" si="53"/>
        <v>-</v>
      </c>
      <c r="R178" s="3"/>
    </row>
    <row r="179" spans="1:18">
      <c r="A179" s="1907" t="s">
        <v>61</v>
      </c>
      <c r="B179" s="1908">
        <f>+' Satış Konsolide'!B169+'Genel Yönetim Giderleri'!C33</f>
        <v>0</v>
      </c>
      <c r="C179" s="1908">
        <f>+' Satış Konsolide'!C169+'Genel Yönetim Giderleri'!D33</f>
        <v>0</v>
      </c>
      <c r="D179" s="1908">
        <f>+' Satış Konsolide'!D169+'Genel Yönetim Giderleri'!E33</f>
        <v>0</v>
      </c>
      <c r="E179" s="1909">
        <f>+' Satış Konsolide'!E169+'Genel Yönetim Giderleri'!F33</f>
        <v>0</v>
      </c>
      <c r="F179" s="1909">
        <f>+' Satış Konsolide'!F169+'Genel Yönetim Giderleri'!G33</f>
        <v>0</v>
      </c>
      <c r="G179" s="1909">
        <f>+' Satış Konsolide'!G169+'Genel Yönetim Giderleri'!H33</f>
        <v>0</v>
      </c>
      <c r="H179" s="1909">
        <f>+' Satış Konsolide'!H169+'Genel Yönetim Giderleri'!I33</f>
        <v>0</v>
      </c>
      <c r="I179" s="1909">
        <f>+' Satış Konsolide'!I169+'Genel Yönetim Giderleri'!J33</f>
        <v>0</v>
      </c>
      <c r="J179" s="1909">
        <f>+' Satış Konsolide'!J169+'Genel Yönetim Giderleri'!K33</f>
        <v>0</v>
      </c>
      <c r="K179" s="1909">
        <f>+' Satış Konsolide'!K169+'Genel Yönetim Giderleri'!L33</f>
        <v>0</v>
      </c>
      <c r="L179" s="1909">
        <f>+' Satış Konsolide'!L169+'Genel Yönetim Giderleri'!M33</f>
        <v>0</v>
      </c>
      <c r="M179" s="1909">
        <f>+' Satış Konsolide'!M169+'Genel Yönetim Giderleri'!N33</f>
        <v>0</v>
      </c>
      <c r="N179" s="1909">
        <f>+' Satış Konsolide'!N169+'Genel Yönetim Giderleri'!O33</f>
        <v>0</v>
      </c>
      <c r="O179" s="1910">
        <f>+' Satış Konsolide'!O169+'Genel Yönetim Giderleri'!P33</f>
        <v>0</v>
      </c>
      <c r="P179" s="1911">
        <f t="shared" si="54"/>
        <v>0</v>
      </c>
      <c r="Q179" s="1108" t="str">
        <f t="shared" si="53"/>
        <v>-</v>
      </c>
      <c r="R179" s="3"/>
    </row>
    <row r="180" spans="1:18">
      <c r="A180" s="1902" t="s">
        <v>62</v>
      </c>
      <c r="B180" s="1903">
        <f>+' Satış Konsolide'!B170+'Genel Yönetim Giderleri'!C34</f>
        <v>0</v>
      </c>
      <c r="C180" s="1903">
        <f>+' Satış Konsolide'!C170+'Genel Yönetim Giderleri'!D34</f>
        <v>0</v>
      </c>
      <c r="D180" s="1903">
        <f>+' Satış Konsolide'!D170+'Genel Yönetim Giderleri'!E34</f>
        <v>0</v>
      </c>
      <c r="E180" s="1904">
        <f>+' Satış Konsolide'!E170+'Genel Yönetim Giderleri'!F34</f>
        <v>0</v>
      </c>
      <c r="F180" s="1904">
        <f>+' Satış Konsolide'!F170+'Genel Yönetim Giderleri'!G34</f>
        <v>0</v>
      </c>
      <c r="G180" s="1904">
        <f>+' Satış Konsolide'!G170+'Genel Yönetim Giderleri'!H34</f>
        <v>0</v>
      </c>
      <c r="H180" s="1904">
        <f>+' Satış Konsolide'!H170+'Genel Yönetim Giderleri'!I34</f>
        <v>0</v>
      </c>
      <c r="I180" s="1904">
        <f>+' Satış Konsolide'!I170+'Genel Yönetim Giderleri'!J34</f>
        <v>0</v>
      </c>
      <c r="J180" s="1904">
        <f>+' Satış Konsolide'!J170+'Genel Yönetim Giderleri'!K34</f>
        <v>0</v>
      </c>
      <c r="K180" s="1904">
        <f>+' Satış Konsolide'!K170+'Genel Yönetim Giderleri'!L34</f>
        <v>0</v>
      </c>
      <c r="L180" s="1904">
        <f>+' Satış Konsolide'!L170+'Genel Yönetim Giderleri'!M34</f>
        <v>0</v>
      </c>
      <c r="M180" s="1904">
        <f>+' Satış Konsolide'!M170+'Genel Yönetim Giderleri'!N34</f>
        <v>0</v>
      </c>
      <c r="N180" s="1904">
        <f>+' Satış Konsolide'!N170+'Genel Yönetim Giderleri'!O34</f>
        <v>0</v>
      </c>
      <c r="O180" s="1905">
        <f>+' Satış Konsolide'!O170+'Genel Yönetim Giderleri'!P34</f>
        <v>0</v>
      </c>
      <c r="P180" s="1906">
        <f t="shared" si="54"/>
        <v>0</v>
      </c>
      <c r="Q180" s="1107" t="str">
        <f t="shared" si="53"/>
        <v>-</v>
      </c>
      <c r="R180" s="3"/>
    </row>
    <row r="181" spans="1:18">
      <c r="A181" s="1907" t="s">
        <v>63</v>
      </c>
      <c r="B181" s="1908">
        <f>+' Satış Konsolide'!B171+'Genel Yönetim Giderleri'!C35</f>
        <v>0</v>
      </c>
      <c r="C181" s="1908">
        <f>+' Satış Konsolide'!C171+'Genel Yönetim Giderleri'!D35</f>
        <v>0</v>
      </c>
      <c r="D181" s="1908">
        <f>+' Satış Konsolide'!D171+'Genel Yönetim Giderleri'!E35</f>
        <v>0</v>
      </c>
      <c r="E181" s="1909">
        <f>+' Satış Konsolide'!E171+'Genel Yönetim Giderleri'!F35</f>
        <v>0</v>
      </c>
      <c r="F181" s="1909">
        <f>+' Satış Konsolide'!F171+'Genel Yönetim Giderleri'!G35</f>
        <v>0</v>
      </c>
      <c r="G181" s="1909">
        <f>+' Satış Konsolide'!G171+'Genel Yönetim Giderleri'!H35</f>
        <v>0</v>
      </c>
      <c r="H181" s="1909">
        <f>+' Satış Konsolide'!H171+'Genel Yönetim Giderleri'!I35</f>
        <v>0</v>
      </c>
      <c r="I181" s="1909">
        <f>+' Satış Konsolide'!I171+'Genel Yönetim Giderleri'!J35</f>
        <v>0</v>
      </c>
      <c r="J181" s="1909">
        <f>+' Satış Konsolide'!J171+'Genel Yönetim Giderleri'!K35</f>
        <v>0</v>
      </c>
      <c r="K181" s="1909">
        <f>+' Satış Konsolide'!K171+'Genel Yönetim Giderleri'!L35</f>
        <v>0</v>
      </c>
      <c r="L181" s="1909">
        <f>+' Satış Konsolide'!L171+'Genel Yönetim Giderleri'!M35</f>
        <v>0</v>
      </c>
      <c r="M181" s="1909">
        <f>+' Satış Konsolide'!M171+'Genel Yönetim Giderleri'!N35</f>
        <v>0</v>
      </c>
      <c r="N181" s="1909">
        <f>+' Satış Konsolide'!N171+'Genel Yönetim Giderleri'!O35</f>
        <v>0</v>
      </c>
      <c r="O181" s="1910">
        <f>+' Satış Konsolide'!O171+'Genel Yönetim Giderleri'!P35</f>
        <v>0</v>
      </c>
      <c r="P181" s="1911">
        <f t="shared" si="54"/>
        <v>0</v>
      </c>
      <c r="Q181" s="1108" t="str">
        <f t="shared" si="53"/>
        <v>-</v>
      </c>
      <c r="R181" s="3"/>
    </row>
    <row r="182" spans="1:18">
      <c r="A182" s="1902" t="s">
        <v>66</v>
      </c>
      <c r="B182" s="1903">
        <f>+' Satış Konsolide'!B172+'Genel Yönetim Giderleri'!C36</f>
        <v>0</v>
      </c>
      <c r="C182" s="1903">
        <f>+' Satış Konsolide'!C172+'Genel Yönetim Giderleri'!D36</f>
        <v>0</v>
      </c>
      <c r="D182" s="1903">
        <f>+' Satış Konsolide'!D172+'Genel Yönetim Giderleri'!E36</f>
        <v>0</v>
      </c>
      <c r="E182" s="1904">
        <f>+' Satış Konsolide'!E172+'Genel Yönetim Giderleri'!F36</f>
        <v>0</v>
      </c>
      <c r="F182" s="1904">
        <f>+' Satış Konsolide'!F172+'Genel Yönetim Giderleri'!G36</f>
        <v>0</v>
      </c>
      <c r="G182" s="1904">
        <f>+' Satış Konsolide'!G172+'Genel Yönetim Giderleri'!H36</f>
        <v>0</v>
      </c>
      <c r="H182" s="1904">
        <f>+' Satış Konsolide'!H172+'Genel Yönetim Giderleri'!I36</f>
        <v>0</v>
      </c>
      <c r="I182" s="1904">
        <f>+' Satış Konsolide'!I172+'Genel Yönetim Giderleri'!J36</f>
        <v>0</v>
      </c>
      <c r="J182" s="1904">
        <f>+' Satış Konsolide'!J172+'Genel Yönetim Giderleri'!K36</f>
        <v>0</v>
      </c>
      <c r="K182" s="1904">
        <f>+' Satış Konsolide'!K172+'Genel Yönetim Giderleri'!L36</f>
        <v>0</v>
      </c>
      <c r="L182" s="1904">
        <f>+' Satış Konsolide'!L172+'Genel Yönetim Giderleri'!M36</f>
        <v>0</v>
      </c>
      <c r="M182" s="1904">
        <f>+' Satış Konsolide'!M172+'Genel Yönetim Giderleri'!N36</f>
        <v>0</v>
      </c>
      <c r="N182" s="1904">
        <f>+' Satış Konsolide'!N172+'Genel Yönetim Giderleri'!O36</f>
        <v>0</v>
      </c>
      <c r="O182" s="1905">
        <f>+' Satış Konsolide'!O172+'Genel Yönetim Giderleri'!P36</f>
        <v>0</v>
      </c>
      <c r="P182" s="1906">
        <f t="shared" si="54"/>
        <v>0</v>
      </c>
      <c r="Q182" s="1107" t="str">
        <f t="shared" si="53"/>
        <v>-</v>
      </c>
      <c r="R182" s="3"/>
    </row>
    <row r="183" spans="1:18" ht="14.4" thickBot="1">
      <c r="A183" s="1913" t="s">
        <v>64</v>
      </c>
      <c r="B183" s="1914">
        <f>+' Satış Konsolide'!B173+'Genel Yönetim Giderleri'!C37</f>
        <v>0</v>
      </c>
      <c r="C183" s="1914">
        <f>+' Satış Konsolide'!C173+'Genel Yönetim Giderleri'!D37</f>
        <v>0</v>
      </c>
      <c r="D183" s="1914">
        <f>+' Satış Konsolide'!D173+'Genel Yönetim Giderleri'!E37</f>
        <v>0</v>
      </c>
      <c r="E183" s="1915">
        <f>+' Satış Konsolide'!E173+'Genel Yönetim Giderleri'!F37</f>
        <v>0</v>
      </c>
      <c r="F183" s="1915">
        <f>+' Satış Konsolide'!F173+'Genel Yönetim Giderleri'!G37</f>
        <v>0</v>
      </c>
      <c r="G183" s="1915">
        <f>+' Satış Konsolide'!G173+'Genel Yönetim Giderleri'!H37</f>
        <v>0</v>
      </c>
      <c r="H183" s="1915">
        <f>+' Satış Konsolide'!H173+'Genel Yönetim Giderleri'!I37</f>
        <v>0</v>
      </c>
      <c r="I183" s="1915">
        <f>+' Satış Konsolide'!I173+'Genel Yönetim Giderleri'!J37</f>
        <v>0</v>
      </c>
      <c r="J183" s="1915">
        <f>+' Satış Konsolide'!J173+'Genel Yönetim Giderleri'!K37</f>
        <v>0</v>
      </c>
      <c r="K183" s="1915">
        <f>+' Satış Konsolide'!K173+'Genel Yönetim Giderleri'!L37</f>
        <v>0</v>
      </c>
      <c r="L183" s="1915">
        <f>+' Satış Konsolide'!L173+'Genel Yönetim Giderleri'!M37</f>
        <v>0</v>
      </c>
      <c r="M183" s="1915">
        <f>+' Satış Konsolide'!M173+'Genel Yönetim Giderleri'!N37</f>
        <v>0</v>
      </c>
      <c r="N183" s="1915">
        <f>+' Satış Konsolide'!N173+'Genel Yönetim Giderleri'!O37</f>
        <v>0</v>
      </c>
      <c r="O183" s="1916">
        <f>+' Satış Konsolide'!O173+'Genel Yönetim Giderleri'!P37</f>
        <v>0</v>
      </c>
      <c r="P183" s="1917">
        <f t="shared" si="54"/>
        <v>0</v>
      </c>
      <c r="Q183" s="1480" t="str">
        <f t="shared" si="53"/>
        <v>-</v>
      </c>
      <c r="R183" s="3"/>
    </row>
    <row r="184" spans="1:18">
      <c r="A184" s="576"/>
      <c r="B184" s="1429">
        <f>+B189-B54</f>
        <v>0</v>
      </c>
      <c r="C184" s="1429">
        <f>+C189-C54</f>
        <v>0</v>
      </c>
      <c r="D184" s="1429"/>
      <c r="E184" s="577"/>
      <c r="F184" s="577"/>
      <c r="G184" s="577"/>
      <c r="H184" s="577"/>
      <c r="I184" s="577"/>
      <c r="J184" s="577"/>
      <c r="K184" s="577"/>
      <c r="L184" s="577"/>
      <c r="M184" s="577"/>
      <c r="N184" s="577"/>
      <c r="O184" s="577"/>
      <c r="P184" s="577"/>
      <c r="Q184" s="578"/>
    </row>
    <row r="185" spans="1:18" ht="14.4" thickBot="1">
      <c r="B185" s="1430">
        <f>+B195-B123</f>
        <v>0</v>
      </c>
      <c r="C185" s="1430">
        <f>+C195-C123</f>
        <v>0</v>
      </c>
      <c r="D185" s="1431"/>
      <c r="E185" s="3"/>
      <c r="F185" s="3"/>
      <c r="G185" s="3"/>
      <c r="H185" s="3"/>
      <c r="I185" s="3"/>
      <c r="J185" s="3"/>
      <c r="K185" s="3"/>
      <c r="L185" s="3"/>
      <c r="M185" s="3"/>
      <c r="O185" s="3"/>
      <c r="P185" s="3"/>
    </row>
    <row r="186" spans="1:18" ht="24" customHeight="1">
      <c r="A186" s="5"/>
      <c r="B186" s="2341" t="s">
        <v>648</v>
      </c>
      <c r="C186" s="2341" t="s">
        <v>647</v>
      </c>
      <c r="D186" s="2314" t="s">
        <v>646</v>
      </c>
      <c r="E186" s="2314"/>
      <c r="F186" s="2314"/>
      <c r="G186" s="2314"/>
      <c r="H186" s="2314"/>
      <c r="I186" s="2314"/>
      <c r="J186" s="2314"/>
      <c r="K186" s="2314"/>
      <c r="L186" s="2314"/>
      <c r="M186" s="2314"/>
      <c r="N186" s="2314"/>
      <c r="O186" s="2314"/>
      <c r="P186" s="2315"/>
      <c r="Q186" s="937" t="s">
        <v>638</v>
      </c>
    </row>
    <row r="187" spans="1:18" ht="26.25" customHeight="1" thickBot="1">
      <c r="A187" s="112"/>
      <c r="B187" s="2342"/>
      <c r="C187" s="2342"/>
      <c r="D187" s="1168" t="s">
        <v>1</v>
      </c>
      <c r="E187" s="500" t="s">
        <v>2</v>
      </c>
      <c r="F187" s="500" t="s">
        <v>3</v>
      </c>
      <c r="G187" s="500" t="s">
        <v>4</v>
      </c>
      <c r="H187" s="500" t="s">
        <v>5</v>
      </c>
      <c r="I187" s="500" t="s">
        <v>6</v>
      </c>
      <c r="J187" s="500" t="s">
        <v>7</v>
      </c>
      <c r="K187" s="500" t="s">
        <v>8</v>
      </c>
      <c r="L187" s="500" t="s">
        <v>9</v>
      </c>
      <c r="M187" s="500" t="s">
        <v>10</v>
      </c>
      <c r="N187" s="500" t="s">
        <v>11</v>
      </c>
      <c r="O187" s="500" t="s">
        <v>12</v>
      </c>
      <c r="P187" s="501" t="s">
        <v>13</v>
      </c>
      <c r="Q187" s="941" t="s">
        <v>618</v>
      </c>
    </row>
    <row r="188" spans="1:18" s="352" customFormat="1" ht="16.5" customHeight="1">
      <c r="A188" s="483" t="s">
        <v>68</v>
      </c>
      <c r="B188" s="1570">
        <f>+B189+B190</f>
        <v>0.16949</v>
      </c>
      <c r="C188" s="1570">
        <f>+C189+C190</f>
        <v>0</v>
      </c>
      <c r="D188" s="1169">
        <f>SUM(D189:D190)</f>
        <v>0</v>
      </c>
      <c r="E188" s="487">
        <f t="shared" ref="E188:O188" si="55">SUM(E189:E190)</f>
        <v>0</v>
      </c>
      <c r="F188" s="487">
        <f t="shared" si="55"/>
        <v>0</v>
      </c>
      <c r="G188" s="487">
        <f t="shared" si="55"/>
        <v>0</v>
      </c>
      <c r="H188" s="487">
        <f t="shared" si="55"/>
        <v>0</v>
      </c>
      <c r="I188" s="487">
        <f t="shared" si="55"/>
        <v>0</v>
      </c>
      <c r="J188" s="487">
        <f t="shared" si="55"/>
        <v>0</v>
      </c>
      <c r="K188" s="487">
        <f t="shared" si="55"/>
        <v>0</v>
      </c>
      <c r="L188" s="487">
        <f t="shared" si="55"/>
        <v>0</v>
      </c>
      <c r="M188" s="487">
        <f t="shared" si="55"/>
        <v>0</v>
      </c>
      <c r="N188" s="487">
        <f t="shared" si="55"/>
        <v>0</v>
      </c>
      <c r="O188" s="488">
        <f t="shared" si="55"/>
        <v>0</v>
      </c>
      <c r="P188" s="1156">
        <f>SUM(D188:O188)</f>
        <v>0</v>
      </c>
      <c r="Q188" s="1286" t="str">
        <f>IF(P188=0,"-",P188/C188-1)</f>
        <v>-</v>
      </c>
    </row>
    <row r="189" spans="1:18" s="352" customFormat="1" ht="16.5" customHeight="1">
      <c r="A189" s="1094" t="s">
        <v>334</v>
      </c>
      <c r="B189" s="1565">
        <f>B54</f>
        <v>0.16949</v>
      </c>
      <c r="C189" s="1565">
        <f>C54</f>
        <v>0</v>
      </c>
      <c r="D189" s="1170">
        <f>D54</f>
        <v>0</v>
      </c>
      <c r="E189" s="480">
        <f t="shared" ref="E189:O189" si="56">E54</f>
        <v>0</v>
      </c>
      <c r="F189" s="480">
        <f t="shared" si="56"/>
        <v>0</v>
      </c>
      <c r="G189" s="480">
        <f t="shared" si="56"/>
        <v>0</v>
      </c>
      <c r="H189" s="480">
        <f t="shared" si="56"/>
        <v>0</v>
      </c>
      <c r="I189" s="480">
        <f t="shared" si="56"/>
        <v>0</v>
      </c>
      <c r="J189" s="480">
        <f t="shared" si="56"/>
        <v>0</v>
      </c>
      <c r="K189" s="480">
        <f t="shared" si="56"/>
        <v>0</v>
      </c>
      <c r="L189" s="480">
        <f t="shared" si="56"/>
        <v>0</v>
      </c>
      <c r="M189" s="480">
        <f t="shared" si="56"/>
        <v>0</v>
      </c>
      <c r="N189" s="480">
        <f t="shared" si="56"/>
        <v>0</v>
      </c>
      <c r="O189" s="481">
        <f t="shared" si="56"/>
        <v>0</v>
      </c>
      <c r="P189" s="1157">
        <f>SUM(D189:O189)</f>
        <v>0</v>
      </c>
      <c r="Q189" s="1149" t="str">
        <f t="shared" ref="Q189:Q195" si="57">IF(P189=0,"-",P189/C189-1)</f>
        <v>-</v>
      </c>
    </row>
    <row r="190" spans="1:18" s="352" customFormat="1" ht="16.5" customHeight="1">
      <c r="A190" s="483" t="s">
        <v>333</v>
      </c>
      <c r="B190" s="1570">
        <f>SUM('Diğer Gelir Ve Giderler 2024'!P4:X4)</f>
        <v>0</v>
      </c>
      <c r="C190" s="1570">
        <f>+'Diğer Gelir Ve Giderler 2024'!AB4</f>
        <v>0</v>
      </c>
      <c r="D190" s="1169">
        <f>+'Diğer Gelir Ve Giderler 2024'!B4</f>
        <v>0</v>
      </c>
      <c r="E190" s="487">
        <f>+'Diğer Gelir Ve Giderler 2024'!C4</f>
        <v>0</v>
      </c>
      <c r="F190" s="487">
        <f>+'Diğer Gelir Ve Giderler 2024'!D4</f>
        <v>0</v>
      </c>
      <c r="G190" s="487">
        <f>+'Diğer Gelir Ve Giderler 2024'!E4</f>
        <v>0</v>
      </c>
      <c r="H190" s="487">
        <f>+'Diğer Gelir Ve Giderler 2024'!F4</f>
        <v>0</v>
      </c>
      <c r="I190" s="487">
        <f>+'Diğer Gelir Ve Giderler 2024'!G4</f>
        <v>0</v>
      </c>
      <c r="J190" s="487">
        <f>+'Diğer Gelir Ve Giderler 2024'!H4</f>
        <v>0</v>
      </c>
      <c r="K190" s="487">
        <f>+'Diğer Gelir Ve Giderler 2024'!I4</f>
        <v>0</v>
      </c>
      <c r="L190" s="487">
        <f>+'Diğer Gelir Ve Giderler 2024'!J4</f>
        <v>0</v>
      </c>
      <c r="M190" s="487">
        <f>+'Diğer Gelir Ve Giderler 2024'!K4</f>
        <v>0</v>
      </c>
      <c r="N190" s="487">
        <f>+'Diğer Gelir Ve Giderler 2024'!L4</f>
        <v>0</v>
      </c>
      <c r="O190" s="488">
        <f>+'Diğer Gelir Ve Giderler 2024'!M4</f>
        <v>0</v>
      </c>
      <c r="P190" s="1158">
        <f>SUM(D190:O190)</f>
        <v>0</v>
      </c>
      <c r="Q190" s="1148" t="str">
        <f>IF(P190=0,"-",P190/C190-1)</f>
        <v>-</v>
      </c>
    </row>
    <row r="191" spans="1:18" s="352" customFormat="1" ht="16.5" customHeight="1">
      <c r="A191" s="1164" t="s">
        <v>511</v>
      </c>
      <c r="B191" s="1565">
        <f t="shared" ref="B191:O191" si="58">B77</f>
        <v>0</v>
      </c>
      <c r="C191" s="1565">
        <f t="shared" si="58"/>
        <v>0</v>
      </c>
      <c r="D191" s="1170">
        <f t="shared" si="58"/>
        <v>0</v>
      </c>
      <c r="E191" s="480">
        <f t="shared" si="58"/>
        <v>0</v>
      </c>
      <c r="F191" s="480">
        <f t="shared" si="58"/>
        <v>0</v>
      </c>
      <c r="G191" s="480">
        <f t="shared" si="58"/>
        <v>0</v>
      </c>
      <c r="H191" s="480">
        <f t="shared" si="58"/>
        <v>0</v>
      </c>
      <c r="I191" s="480">
        <f t="shared" si="58"/>
        <v>0</v>
      </c>
      <c r="J191" s="480">
        <f t="shared" si="58"/>
        <v>0</v>
      </c>
      <c r="K191" s="480">
        <f t="shared" si="58"/>
        <v>0</v>
      </c>
      <c r="L191" s="480">
        <f t="shared" si="58"/>
        <v>0</v>
      </c>
      <c r="M191" s="480">
        <f t="shared" si="58"/>
        <v>0</v>
      </c>
      <c r="N191" s="480">
        <f t="shared" si="58"/>
        <v>0</v>
      </c>
      <c r="O191" s="481">
        <f t="shared" si="58"/>
        <v>0</v>
      </c>
      <c r="P191" s="1157">
        <f>SUM(D191:O191)</f>
        <v>0</v>
      </c>
      <c r="Q191" s="1149" t="str">
        <f t="shared" si="57"/>
        <v>-</v>
      </c>
    </row>
    <row r="192" spans="1:18" s="352" customFormat="1" ht="16.5" customHeight="1">
      <c r="A192" s="1164" t="s">
        <v>512</v>
      </c>
      <c r="B192" s="1565">
        <f>+' Satış Konsolide'!B179</f>
        <v>0</v>
      </c>
      <c r="C192" s="1565">
        <f>+' Satış Konsolide'!C179</f>
        <v>0</v>
      </c>
      <c r="D192" s="1170">
        <f>+' Satış Konsolide'!D179</f>
        <v>0</v>
      </c>
      <c r="E192" s="480">
        <f>+' Satış Konsolide'!E179</f>
        <v>0</v>
      </c>
      <c r="F192" s="480">
        <f>+' Satış Konsolide'!F179</f>
        <v>0</v>
      </c>
      <c r="G192" s="480">
        <f>+' Satış Konsolide'!G179</f>
        <v>0</v>
      </c>
      <c r="H192" s="480">
        <f>+' Satış Konsolide'!H179</f>
        <v>0</v>
      </c>
      <c r="I192" s="480">
        <f>+' Satış Konsolide'!I179</f>
        <v>0</v>
      </c>
      <c r="J192" s="480">
        <f>+' Satış Konsolide'!J179</f>
        <v>0</v>
      </c>
      <c r="K192" s="480">
        <f>+' Satış Konsolide'!K179</f>
        <v>0</v>
      </c>
      <c r="L192" s="480">
        <f>+' Satış Konsolide'!L179</f>
        <v>0</v>
      </c>
      <c r="M192" s="480">
        <f>+' Satış Konsolide'!M179</f>
        <v>0</v>
      </c>
      <c r="N192" s="480">
        <f>+' Satış Konsolide'!N179</f>
        <v>0</v>
      </c>
      <c r="O192" s="481">
        <f>+' Satış Konsolide'!O179</f>
        <v>0</v>
      </c>
      <c r="P192" s="1157">
        <f>+' Satış Konsolide'!P179</f>
        <v>0</v>
      </c>
      <c r="Q192" s="1149" t="str">
        <f>IF(P192=0,"-",P192/C192-1)</f>
        <v>-</v>
      </c>
    </row>
    <row r="193" spans="1:17" s="352" customFormat="1" ht="16.5" customHeight="1">
      <c r="A193" s="483" t="s">
        <v>340</v>
      </c>
      <c r="B193" s="1570">
        <f t="shared" ref="B193:O193" si="59">+B189-B191</f>
        <v>0.16949</v>
      </c>
      <c r="C193" s="1570">
        <f t="shared" si="59"/>
        <v>0</v>
      </c>
      <c r="D193" s="1169">
        <f t="shared" si="59"/>
        <v>0</v>
      </c>
      <c r="E193" s="487">
        <f t="shared" si="59"/>
        <v>0</v>
      </c>
      <c r="F193" s="487">
        <f t="shared" si="59"/>
        <v>0</v>
      </c>
      <c r="G193" s="487">
        <f t="shared" si="59"/>
        <v>0</v>
      </c>
      <c r="H193" s="487">
        <f t="shared" si="59"/>
        <v>0</v>
      </c>
      <c r="I193" s="487">
        <f t="shared" si="59"/>
        <v>0</v>
      </c>
      <c r="J193" s="487">
        <f t="shared" si="59"/>
        <v>0</v>
      </c>
      <c r="K193" s="487">
        <f t="shared" si="59"/>
        <v>0</v>
      </c>
      <c r="L193" s="487">
        <f t="shared" si="59"/>
        <v>0</v>
      </c>
      <c r="M193" s="487">
        <f t="shared" si="59"/>
        <v>0</v>
      </c>
      <c r="N193" s="487">
        <f t="shared" si="59"/>
        <v>0</v>
      </c>
      <c r="O193" s="488">
        <f t="shared" si="59"/>
        <v>0</v>
      </c>
      <c r="P193" s="1158">
        <f>SUM(D193:O193)</f>
        <v>0</v>
      </c>
      <c r="Q193" s="1148" t="str">
        <f t="shared" si="57"/>
        <v>-</v>
      </c>
    </row>
    <row r="194" spans="1:17" s="352" customFormat="1" ht="16.5" customHeight="1">
      <c r="A194" s="1094" t="s">
        <v>70</v>
      </c>
      <c r="B194" s="1565">
        <f t="shared" ref="B194:P194" si="60">+B188-B191</f>
        <v>0.16949</v>
      </c>
      <c r="C194" s="1565">
        <f t="shared" si="60"/>
        <v>0</v>
      </c>
      <c r="D194" s="1170">
        <f t="shared" si="60"/>
        <v>0</v>
      </c>
      <c r="E194" s="480">
        <f t="shared" si="60"/>
        <v>0</v>
      </c>
      <c r="F194" s="480">
        <f t="shared" si="60"/>
        <v>0</v>
      </c>
      <c r="G194" s="480">
        <f t="shared" si="60"/>
        <v>0</v>
      </c>
      <c r="H194" s="480">
        <f t="shared" si="60"/>
        <v>0</v>
      </c>
      <c r="I194" s="480">
        <f t="shared" si="60"/>
        <v>0</v>
      </c>
      <c r="J194" s="480">
        <f t="shared" si="60"/>
        <v>0</v>
      </c>
      <c r="K194" s="480">
        <f t="shared" si="60"/>
        <v>0</v>
      </c>
      <c r="L194" s="480">
        <f t="shared" si="60"/>
        <v>0</v>
      </c>
      <c r="M194" s="480">
        <f t="shared" si="60"/>
        <v>0</v>
      </c>
      <c r="N194" s="480">
        <f t="shared" si="60"/>
        <v>0</v>
      </c>
      <c r="O194" s="481">
        <f t="shared" si="60"/>
        <v>0</v>
      </c>
      <c r="P194" s="1157">
        <f t="shared" si="60"/>
        <v>0</v>
      </c>
      <c r="Q194" s="1149" t="str">
        <f t="shared" si="57"/>
        <v>-</v>
      </c>
    </row>
    <row r="195" spans="1:17" s="352" customFormat="1" ht="16.5" customHeight="1" thickBot="1">
      <c r="A195" s="1165" t="s">
        <v>71</v>
      </c>
      <c r="B195" s="1566">
        <f t="shared" ref="B195:P195" si="61">B123</f>
        <v>0.12118642995000001</v>
      </c>
      <c r="C195" s="1566">
        <f t="shared" si="61"/>
        <v>0</v>
      </c>
      <c r="D195" s="1171">
        <f t="shared" si="61"/>
        <v>0</v>
      </c>
      <c r="E195" s="1095">
        <f t="shared" si="61"/>
        <v>0</v>
      </c>
      <c r="F195" s="1095">
        <f t="shared" si="61"/>
        <v>0</v>
      </c>
      <c r="G195" s="1095">
        <f t="shared" si="61"/>
        <v>0</v>
      </c>
      <c r="H195" s="1095">
        <f t="shared" si="61"/>
        <v>0</v>
      </c>
      <c r="I195" s="1095">
        <f t="shared" si="61"/>
        <v>0</v>
      </c>
      <c r="J195" s="1095">
        <f t="shared" si="61"/>
        <v>0</v>
      </c>
      <c r="K195" s="1095">
        <f t="shared" si="61"/>
        <v>0</v>
      </c>
      <c r="L195" s="1095">
        <f t="shared" si="61"/>
        <v>0</v>
      </c>
      <c r="M195" s="1095">
        <f t="shared" si="61"/>
        <v>0</v>
      </c>
      <c r="N195" s="1095">
        <f t="shared" si="61"/>
        <v>0</v>
      </c>
      <c r="O195" s="1096">
        <f t="shared" si="61"/>
        <v>0</v>
      </c>
      <c r="P195" s="1159">
        <f t="shared" si="61"/>
        <v>0</v>
      </c>
      <c r="Q195" s="1150" t="str">
        <f t="shared" si="57"/>
        <v>-</v>
      </c>
    </row>
    <row r="196" spans="1:17" s="281" customFormat="1" ht="16.5" customHeight="1" thickBot="1">
      <c r="A196" s="282" t="s">
        <v>335</v>
      </c>
      <c r="B196" s="1571">
        <f>+B193-B195</f>
        <v>4.8303570049999994E-2</v>
      </c>
      <c r="C196" s="1571">
        <f>+C193-C195</f>
        <v>0</v>
      </c>
      <c r="D196" s="1172">
        <f>+D193-D195</f>
        <v>0</v>
      </c>
      <c r="E196" s="284">
        <f t="shared" ref="E196:O196" si="62">+E193-E195</f>
        <v>0</v>
      </c>
      <c r="F196" s="284">
        <f t="shared" si="62"/>
        <v>0</v>
      </c>
      <c r="G196" s="284">
        <f t="shared" si="62"/>
        <v>0</v>
      </c>
      <c r="H196" s="284">
        <f>+H193-H195</f>
        <v>0</v>
      </c>
      <c r="I196" s="284">
        <f t="shared" si="62"/>
        <v>0</v>
      </c>
      <c r="J196" s="284">
        <f t="shared" si="62"/>
        <v>0</v>
      </c>
      <c r="K196" s="284">
        <f t="shared" si="62"/>
        <v>0</v>
      </c>
      <c r="L196" s="284">
        <f t="shared" si="62"/>
        <v>0</v>
      </c>
      <c r="M196" s="284">
        <f t="shared" si="62"/>
        <v>0</v>
      </c>
      <c r="N196" s="284">
        <f t="shared" si="62"/>
        <v>0</v>
      </c>
      <c r="O196" s="285">
        <f t="shared" si="62"/>
        <v>0</v>
      </c>
      <c r="P196" s="1160">
        <f>+P193-P195</f>
        <v>0</v>
      </c>
      <c r="Q196" s="1151" t="str">
        <f t="shared" ref="Q196:Q202" si="63">IF(P196=0,"-",P196/C196-1)</f>
        <v>-</v>
      </c>
    </row>
    <row r="197" spans="1:17" s="281" customFormat="1" ht="16.5" customHeight="1" thickBot="1">
      <c r="A197" s="282" t="s">
        <v>336</v>
      </c>
      <c r="B197" s="1571">
        <f>+B194-B195</f>
        <v>4.8303570049999994E-2</v>
      </c>
      <c r="C197" s="1571">
        <f>+C194-C195</f>
        <v>0</v>
      </c>
      <c r="D197" s="1172">
        <f>+D194-D195</f>
        <v>0</v>
      </c>
      <c r="E197" s="284">
        <f t="shared" ref="E197:O197" si="64">+E194-E195</f>
        <v>0</v>
      </c>
      <c r="F197" s="284">
        <f t="shared" si="64"/>
        <v>0</v>
      </c>
      <c r="G197" s="284">
        <f t="shared" si="64"/>
        <v>0</v>
      </c>
      <c r="H197" s="284">
        <f t="shared" si="64"/>
        <v>0</v>
      </c>
      <c r="I197" s="284">
        <f t="shared" si="64"/>
        <v>0</v>
      </c>
      <c r="J197" s="284">
        <f t="shared" si="64"/>
        <v>0</v>
      </c>
      <c r="K197" s="284">
        <f t="shared" si="64"/>
        <v>0</v>
      </c>
      <c r="L197" s="284">
        <f t="shared" si="64"/>
        <v>0</v>
      </c>
      <c r="M197" s="284">
        <f t="shared" si="64"/>
        <v>0</v>
      </c>
      <c r="N197" s="284">
        <f t="shared" si="64"/>
        <v>0</v>
      </c>
      <c r="O197" s="285">
        <f t="shared" si="64"/>
        <v>0</v>
      </c>
      <c r="P197" s="1160">
        <f>+P194-P195</f>
        <v>0</v>
      </c>
      <c r="Q197" s="1151" t="str">
        <f t="shared" si="63"/>
        <v>-</v>
      </c>
    </row>
    <row r="198" spans="1:17" s="281" customFormat="1" ht="16.5" customHeight="1" thickBot="1">
      <c r="A198" s="1166" t="s">
        <v>341</v>
      </c>
      <c r="B198" s="584">
        <f>+B196/B193</f>
        <v>0.28499362823765412</v>
      </c>
      <c r="C198" s="584" t="e">
        <f t="shared" ref="C198:D199" si="65">+C196/C193</f>
        <v>#DIV/0!</v>
      </c>
      <c r="D198" s="1173" t="e">
        <f t="shared" si="65"/>
        <v>#DIV/0!</v>
      </c>
      <c r="E198" s="585" t="e">
        <f t="shared" ref="E198:O198" si="66">+E196/E193</f>
        <v>#DIV/0!</v>
      </c>
      <c r="F198" s="585" t="e">
        <f t="shared" si="66"/>
        <v>#DIV/0!</v>
      </c>
      <c r="G198" s="585" t="e">
        <f t="shared" si="66"/>
        <v>#DIV/0!</v>
      </c>
      <c r="H198" s="585" t="e">
        <f t="shared" si="66"/>
        <v>#DIV/0!</v>
      </c>
      <c r="I198" s="585" t="e">
        <f t="shared" si="66"/>
        <v>#DIV/0!</v>
      </c>
      <c r="J198" s="585" t="e">
        <f t="shared" si="66"/>
        <v>#DIV/0!</v>
      </c>
      <c r="K198" s="585" t="e">
        <f t="shared" si="66"/>
        <v>#DIV/0!</v>
      </c>
      <c r="L198" s="585" t="e">
        <f t="shared" si="66"/>
        <v>#DIV/0!</v>
      </c>
      <c r="M198" s="585" t="e">
        <f t="shared" si="66"/>
        <v>#DIV/0!</v>
      </c>
      <c r="N198" s="585" t="e">
        <f t="shared" si="66"/>
        <v>#DIV/0!</v>
      </c>
      <c r="O198" s="586" t="e">
        <f t="shared" si="66"/>
        <v>#DIV/0!</v>
      </c>
      <c r="P198" s="1161" t="e">
        <f>+P196/P193</f>
        <v>#DIV/0!</v>
      </c>
      <c r="Q198" s="1152" t="e">
        <f t="shared" si="63"/>
        <v>#DIV/0!</v>
      </c>
    </row>
    <row r="199" spans="1:17" s="281" customFormat="1" ht="16.5" customHeight="1" thickBot="1">
      <c r="A199" s="1410" t="s">
        <v>431</v>
      </c>
      <c r="B199" s="584">
        <f>+B197/B194</f>
        <v>0.28499362823765412</v>
      </c>
      <c r="C199" s="584" t="e">
        <f t="shared" si="65"/>
        <v>#DIV/0!</v>
      </c>
      <c r="D199" s="1173" t="e">
        <f t="shared" si="65"/>
        <v>#DIV/0!</v>
      </c>
      <c r="E199" s="585" t="e">
        <f t="shared" ref="E199:O199" si="67">+E197/E194</f>
        <v>#DIV/0!</v>
      </c>
      <c r="F199" s="585" t="e">
        <f t="shared" si="67"/>
        <v>#DIV/0!</v>
      </c>
      <c r="G199" s="585" t="e">
        <f t="shared" si="67"/>
        <v>#DIV/0!</v>
      </c>
      <c r="H199" s="585" t="e">
        <f t="shared" si="67"/>
        <v>#DIV/0!</v>
      </c>
      <c r="I199" s="585" t="e">
        <f t="shared" si="67"/>
        <v>#DIV/0!</v>
      </c>
      <c r="J199" s="585" t="e">
        <f t="shared" si="67"/>
        <v>#DIV/0!</v>
      </c>
      <c r="K199" s="585" t="e">
        <f t="shared" si="67"/>
        <v>#DIV/0!</v>
      </c>
      <c r="L199" s="585" t="e">
        <f t="shared" si="67"/>
        <v>#DIV/0!</v>
      </c>
      <c r="M199" s="585" t="e">
        <f t="shared" si="67"/>
        <v>#DIV/0!</v>
      </c>
      <c r="N199" s="585" t="e">
        <f t="shared" si="67"/>
        <v>#DIV/0!</v>
      </c>
      <c r="O199" s="586" t="e">
        <f t="shared" si="67"/>
        <v>#DIV/0!</v>
      </c>
      <c r="P199" s="1161" t="e">
        <f>+P197/P194</f>
        <v>#DIV/0!</v>
      </c>
      <c r="Q199" s="1152" t="e">
        <f t="shared" si="63"/>
        <v>#DIV/0!</v>
      </c>
    </row>
    <row r="200" spans="1:17" s="281" customFormat="1" ht="16.5" customHeight="1" thickBot="1">
      <c r="A200" s="282" t="s">
        <v>236</v>
      </c>
      <c r="B200" s="579">
        <f t="shared" ref="B200:P200" si="68">+B150/1000</f>
        <v>0</v>
      </c>
      <c r="C200" s="579">
        <f t="shared" si="68"/>
        <v>0</v>
      </c>
      <c r="D200" s="1172">
        <f t="shared" si="68"/>
        <v>0</v>
      </c>
      <c r="E200" s="284">
        <f t="shared" si="68"/>
        <v>0</v>
      </c>
      <c r="F200" s="284">
        <f t="shared" si="68"/>
        <v>0</v>
      </c>
      <c r="G200" s="284">
        <f t="shared" si="68"/>
        <v>0</v>
      </c>
      <c r="H200" s="284">
        <f t="shared" si="68"/>
        <v>0</v>
      </c>
      <c r="I200" s="284">
        <f t="shared" si="68"/>
        <v>0</v>
      </c>
      <c r="J200" s="284">
        <f t="shared" si="68"/>
        <v>0</v>
      </c>
      <c r="K200" s="284">
        <f t="shared" si="68"/>
        <v>0</v>
      </c>
      <c r="L200" s="284">
        <f t="shared" si="68"/>
        <v>0</v>
      </c>
      <c r="M200" s="284">
        <f t="shared" si="68"/>
        <v>0</v>
      </c>
      <c r="N200" s="284">
        <f t="shared" si="68"/>
        <v>0</v>
      </c>
      <c r="O200" s="285">
        <f t="shared" si="68"/>
        <v>0</v>
      </c>
      <c r="P200" s="1160">
        <f t="shared" si="68"/>
        <v>0</v>
      </c>
      <c r="Q200" s="1151" t="str">
        <f t="shared" si="63"/>
        <v>-</v>
      </c>
    </row>
    <row r="201" spans="1:17" ht="16.5" customHeight="1">
      <c r="A201" s="1167" t="s">
        <v>237</v>
      </c>
      <c r="B201" s="2111">
        <f>+' Satış Konsolide'!B140/1000</f>
        <v>0</v>
      </c>
      <c r="C201" s="2111">
        <f>+' Satış Konsolide'!C140/1000</f>
        <v>0</v>
      </c>
      <c r="D201" s="1174">
        <f>+' Satış Konsolide'!D140/1000</f>
        <v>0</v>
      </c>
      <c r="E201" s="97">
        <f>+' Satış Konsolide'!E140/1000</f>
        <v>0</v>
      </c>
      <c r="F201" s="97">
        <f>+' Satış Konsolide'!F140/1000</f>
        <v>0</v>
      </c>
      <c r="G201" s="97">
        <f>+' Satış Konsolide'!G140/1000</f>
        <v>0</v>
      </c>
      <c r="H201" s="97">
        <f>+' Satış Konsolide'!H140/1000</f>
        <v>0</v>
      </c>
      <c r="I201" s="97">
        <f>+' Satış Konsolide'!I140/1000</f>
        <v>0</v>
      </c>
      <c r="J201" s="97">
        <f>+' Satış Konsolide'!J140/1000</f>
        <v>0</v>
      </c>
      <c r="K201" s="97">
        <f>+' Satış Konsolide'!K140/1000</f>
        <v>0</v>
      </c>
      <c r="L201" s="97">
        <f>+' Satış Konsolide'!L140/1000</f>
        <v>0</v>
      </c>
      <c r="M201" s="97">
        <f>+' Satış Konsolide'!M140/1000</f>
        <v>0</v>
      </c>
      <c r="N201" s="97">
        <f>+' Satış Konsolide'!N140/1000</f>
        <v>0</v>
      </c>
      <c r="O201" s="101">
        <f>+' Satış Konsolide'!O140/1000</f>
        <v>0</v>
      </c>
      <c r="P201" s="1110">
        <f>SUM(D201:O201)</f>
        <v>0</v>
      </c>
      <c r="Q201" s="1107" t="str">
        <f t="shared" si="63"/>
        <v>-</v>
      </c>
    </row>
    <row r="202" spans="1:17" ht="16.5" customHeight="1">
      <c r="A202" s="95" t="s">
        <v>238</v>
      </c>
      <c r="B202" s="1573">
        <f>+'Genel Yönetim Giderleri'!C4/1000</f>
        <v>0</v>
      </c>
      <c r="C202" s="1573">
        <f>+'Genel Yönetim Giderleri'!D4/1000</f>
        <v>0</v>
      </c>
      <c r="D202" s="1175">
        <f>+'Genel Yönetim Giderleri'!E4/1000</f>
        <v>0</v>
      </c>
      <c r="E202" s="96">
        <f>+'Genel Yönetim Giderleri'!F4/1000</f>
        <v>0</v>
      </c>
      <c r="F202" s="96">
        <f>+'Genel Yönetim Giderleri'!G4/1000</f>
        <v>0</v>
      </c>
      <c r="G202" s="96">
        <f>+'Genel Yönetim Giderleri'!H4/1000</f>
        <v>0</v>
      </c>
      <c r="H202" s="96">
        <f>+'Genel Yönetim Giderleri'!I4/1000</f>
        <v>0</v>
      </c>
      <c r="I202" s="96">
        <f>+'Genel Yönetim Giderleri'!J4/1000</f>
        <v>0</v>
      </c>
      <c r="J202" s="96">
        <f>+'Genel Yönetim Giderleri'!K4/1000</f>
        <v>0</v>
      </c>
      <c r="K202" s="96">
        <f>+'Genel Yönetim Giderleri'!L4/1000</f>
        <v>0</v>
      </c>
      <c r="L202" s="96">
        <f>+'Genel Yönetim Giderleri'!M4/1000</f>
        <v>0</v>
      </c>
      <c r="M202" s="96">
        <f>+'Genel Yönetim Giderleri'!N4/1000</f>
        <v>0</v>
      </c>
      <c r="N202" s="96">
        <f>+'Genel Yönetim Giderleri'!O4/1000</f>
        <v>0</v>
      </c>
      <c r="O202" s="99">
        <f>+'Genel Yönetim Giderleri'!P4/1000</f>
        <v>0</v>
      </c>
      <c r="P202" s="743">
        <f>SUM(D202:O202)</f>
        <v>0</v>
      </c>
      <c r="Q202" s="1108" t="str">
        <f t="shared" si="63"/>
        <v>-</v>
      </c>
    </row>
    <row r="203" spans="1:17" ht="16.5" customHeight="1" thickBot="1">
      <c r="A203" s="1167" t="s">
        <v>74</v>
      </c>
      <c r="B203" s="2112">
        <f>B200/B194</f>
        <v>0</v>
      </c>
      <c r="C203" s="2112" t="e">
        <f>C200/C194</f>
        <v>#DIV/0!</v>
      </c>
      <c r="D203" s="1176" t="e">
        <f t="shared" ref="D203:P203" si="69">D200/D194</f>
        <v>#DIV/0!</v>
      </c>
      <c r="E203" s="587" t="e">
        <f t="shared" si="69"/>
        <v>#DIV/0!</v>
      </c>
      <c r="F203" s="587" t="e">
        <f t="shared" si="69"/>
        <v>#DIV/0!</v>
      </c>
      <c r="G203" s="587" t="e">
        <f t="shared" si="69"/>
        <v>#DIV/0!</v>
      </c>
      <c r="H203" s="587" t="e">
        <f t="shared" si="69"/>
        <v>#DIV/0!</v>
      </c>
      <c r="I203" s="587" t="e">
        <f t="shared" si="69"/>
        <v>#DIV/0!</v>
      </c>
      <c r="J203" s="587" t="e">
        <f t="shared" si="69"/>
        <v>#DIV/0!</v>
      </c>
      <c r="K203" s="587" t="e">
        <f t="shared" si="69"/>
        <v>#DIV/0!</v>
      </c>
      <c r="L203" s="587" t="e">
        <f t="shared" si="69"/>
        <v>#DIV/0!</v>
      </c>
      <c r="M203" s="587" t="e">
        <f t="shared" si="69"/>
        <v>#DIV/0!</v>
      </c>
      <c r="N203" s="587" t="e">
        <f t="shared" si="69"/>
        <v>#DIV/0!</v>
      </c>
      <c r="O203" s="588" t="e">
        <f t="shared" si="69"/>
        <v>#DIV/0!</v>
      </c>
      <c r="P203" s="1162" t="e">
        <f t="shared" si="69"/>
        <v>#DIV/0!</v>
      </c>
      <c r="Q203" s="1107" t="e">
        <f>IF(P203=0,"-",P203/C203-1)</f>
        <v>#DIV/0!</v>
      </c>
    </row>
    <row r="204" spans="1:17" s="118" customFormat="1" ht="16.5" customHeight="1" thickBot="1">
      <c r="A204" s="282" t="s">
        <v>342</v>
      </c>
      <c r="B204" s="579">
        <f>+B197-B200</f>
        <v>4.8303570049999994E-2</v>
      </c>
      <c r="C204" s="579">
        <f>+C197-C200</f>
        <v>0</v>
      </c>
      <c r="D204" s="1172">
        <f>+D197-D200</f>
        <v>0</v>
      </c>
      <c r="E204" s="284">
        <f>+E197-E200</f>
        <v>0</v>
      </c>
      <c r="F204" s="284">
        <f t="shared" ref="F204:O204" si="70">+F197-F200</f>
        <v>0</v>
      </c>
      <c r="G204" s="284">
        <f t="shared" si="70"/>
        <v>0</v>
      </c>
      <c r="H204" s="284">
        <f t="shared" si="70"/>
        <v>0</v>
      </c>
      <c r="I204" s="284">
        <f t="shared" si="70"/>
        <v>0</v>
      </c>
      <c r="J204" s="284">
        <f t="shared" si="70"/>
        <v>0</v>
      </c>
      <c r="K204" s="284">
        <f t="shared" si="70"/>
        <v>0</v>
      </c>
      <c r="L204" s="284">
        <f t="shared" si="70"/>
        <v>0</v>
      </c>
      <c r="M204" s="284">
        <f t="shared" si="70"/>
        <v>0</v>
      </c>
      <c r="N204" s="284">
        <f t="shared" si="70"/>
        <v>0</v>
      </c>
      <c r="O204" s="285">
        <f t="shared" si="70"/>
        <v>0</v>
      </c>
      <c r="P204" s="1160">
        <f>+P197-P200</f>
        <v>0</v>
      </c>
      <c r="Q204" s="1153" t="str">
        <f>IF(P204=0,"-",P204/C204-1)</f>
        <v>-</v>
      </c>
    </row>
    <row r="205" spans="1:17" s="118" customFormat="1" ht="16.5" customHeight="1" thickBot="1">
      <c r="A205" s="1166" t="s">
        <v>343</v>
      </c>
      <c r="B205" s="1177">
        <f>+B204/B194</f>
        <v>0.28499362823765412</v>
      </c>
      <c r="C205" s="2126" t="e">
        <f>+C204/C194</f>
        <v>#DIV/0!</v>
      </c>
      <c r="D205" s="2127" t="e">
        <f>+D204/D194</f>
        <v>#DIV/0!</v>
      </c>
      <c r="E205" s="567" t="e">
        <f t="shared" ref="E205:O205" si="71">+E204/E194</f>
        <v>#DIV/0!</v>
      </c>
      <c r="F205" s="567" t="e">
        <f t="shared" si="71"/>
        <v>#DIV/0!</v>
      </c>
      <c r="G205" s="567" t="e">
        <f t="shared" si="71"/>
        <v>#DIV/0!</v>
      </c>
      <c r="H205" s="567" t="e">
        <f t="shared" si="71"/>
        <v>#DIV/0!</v>
      </c>
      <c r="I205" s="567" t="e">
        <f t="shared" si="71"/>
        <v>#DIV/0!</v>
      </c>
      <c r="J205" s="567" t="e">
        <f t="shared" si="71"/>
        <v>#DIV/0!</v>
      </c>
      <c r="K205" s="567" t="e">
        <f t="shared" si="71"/>
        <v>#DIV/0!</v>
      </c>
      <c r="L205" s="567" t="e">
        <f t="shared" si="71"/>
        <v>#DIV/0!</v>
      </c>
      <c r="M205" s="567" t="e">
        <f t="shared" si="71"/>
        <v>#DIV/0!</v>
      </c>
      <c r="N205" s="567" t="e">
        <f t="shared" si="71"/>
        <v>#DIV/0!</v>
      </c>
      <c r="O205" s="2128" t="e">
        <f t="shared" si="71"/>
        <v>#DIV/0!</v>
      </c>
      <c r="P205" s="1163" t="e">
        <f>+P204/P194</f>
        <v>#DIV/0!</v>
      </c>
      <c r="Q205" s="1154" t="e">
        <f>IF(P205=0,"-",P205/C205-1)</f>
        <v>#DIV/0!</v>
      </c>
    </row>
    <row r="206" spans="1:17" s="118" customFormat="1" ht="16.5" customHeight="1" thickBot="1">
      <c r="A206" s="117" t="s">
        <v>55</v>
      </c>
      <c r="B206" s="1574">
        <v>5898</v>
      </c>
      <c r="C206" s="1574">
        <v>5898</v>
      </c>
      <c r="D206" s="1178">
        <f>480.63*1.23</f>
        <v>591.17489999999998</v>
      </c>
      <c r="E206" s="1178">
        <f t="shared" ref="E206:O206" si="72">480.63*1.23</f>
        <v>591.17489999999998</v>
      </c>
      <c r="F206" s="1178">
        <f t="shared" si="72"/>
        <v>591.17489999999998</v>
      </c>
      <c r="G206" s="1178">
        <f t="shared" si="72"/>
        <v>591.17489999999998</v>
      </c>
      <c r="H206" s="1178">
        <f t="shared" si="72"/>
        <v>591.17489999999998</v>
      </c>
      <c r="I206" s="1178">
        <f t="shared" si="72"/>
        <v>591.17489999999998</v>
      </c>
      <c r="J206" s="1178">
        <f t="shared" si="72"/>
        <v>591.17489999999998</v>
      </c>
      <c r="K206" s="1178">
        <f t="shared" si="72"/>
        <v>591.17489999999998</v>
      </c>
      <c r="L206" s="1178">
        <f t="shared" si="72"/>
        <v>591.17489999999998</v>
      </c>
      <c r="M206" s="1178">
        <f t="shared" si="72"/>
        <v>591.17489999999998</v>
      </c>
      <c r="N206" s="1178">
        <f t="shared" si="72"/>
        <v>591.17489999999998</v>
      </c>
      <c r="O206" s="1178">
        <f t="shared" si="72"/>
        <v>591.17489999999998</v>
      </c>
      <c r="P206" s="1109">
        <f>SUM(D206:O206)</f>
        <v>7094.0987999999998</v>
      </c>
      <c r="Q206" s="1106">
        <f>IF(P206=0,"-",P206/C206-1)</f>
        <v>0.20279735503560525</v>
      </c>
    </row>
    <row r="207" spans="1:17" s="118" customFormat="1" ht="16.5" customHeight="1" thickBot="1">
      <c r="A207" s="282" t="s">
        <v>258</v>
      </c>
      <c r="B207" s="579">
        <f>+B204-B206</f>
        <v>-5897.9516964299501</v>
      </c>
      <c r="C207" s="579">
        <f>+C204-C206</f>
        <v>-5898</v>
      </c>
      <c r="D207" s="1172">
        <f>+D204-D206</f>
        <v>-591.17489999999998</v>
      </c>
      <c r="E207" s="284">
        <f>+E204+-E206</f>
        <v>-591.17489999999998</v>
      </c>
      <c r="F207" s="284">
        <f t="shared" ref="F207:N207" si="73">+F204+-F206</f>
        <v>-591.17489999999998</v>
      </c>
      <c r="G207" s="284">
        <f t="shared" si="73"/>
        <v>-591.17489999999998</v>
      </c>
      <c r="H207" s="284">
        <f t="shared" si="73"/>
        <v>-591.17489999999998</v>
      </c>
      <c r="I207" s="284">
        <f t="shared" si="73"/>
        <v>-591.17489999999998</v>
      </c>
      <c r="J207" s="284">
        <f t="shared" si="73"/>
        <v>-591.17489999999998</v>
      </c>
      <c r="K207" s="284">
        <f t="shared" si="73"/>
        <v>-591.17489999999998</v>
      </c>
      <c r="L207" s="284">
        <f t="shared" si="73"/>
        <v>-591.17489999999998</v>
      </c>
      <c r="M207" s="284">
        <f t="shared" si="73"/>
        <v>-591.17489999999998</v>
      </c>
      <c r="N207" s="284">
        <f t="shared" si="73"/>
        <v>-591.17489999999998</v>
      </c>
      <c r="O207" s="285">
        <f>+O204-O206</f>
        <v>-591.17489999999998</v>
      </c>
      <c r="P207" s="1160">
        <f>+P204-P206</f>
        <v>-7094.0987999999998</v>
      </c>
      <c r="Q207" s="1153">
        <f t="shared" ref="Q207:Q221" si="74">IF(P207=0,"-",P207/C207-1)</f>
        <v>0.20279735503560525</v>
      </c>
    </row>
    <row r="208" spans="1:17" ht="25.5" customHeight="1">
      <c r="A208" s="1091" t="s">
        <v>259</v>
      </c>
      <c r="B208" s="1575">
        <f>SUM('Diğer Gelir Ve Giderler 2024'!P43:X43)</f>
        <v>0</v>
      </c>
      <c r="C208" s="1575">
        <f>+'Diğer Gelir Ve Giderler 2024'!AB43</f>
        <v>0</v>
      </c>
      <c r="D208" s="1178">
        <f>+'Diğer Gelir Ve Giderler 2024'!B43</f>
        <v>0</v>
      </c>
      <c r="E208" s="1092">
        <f>+'Diğer Gelir Ve Giderler 2024'!C43</f>
        <v>0</v>
      </c>
      <c r="F208" s="1092">
        <f>+'Diğer Gelir Ve Giderler 2024'!D43</f>
        <v>0</v>
      </c>
      <c r="G208" s="1092">
        <f>+'Diğer Gelir Ve Giderler 2024'!E43</f>
        <v>0</v>
      </c>
      <c r="H208" s="1092">
        <f>+'Diğer Gelir Ve Giderler 2024'!F43</f>
        <v>0</v>
      </c>
      <c r="I208" s="1092">
        <f>+'Diğer Gelir Ve Giderler 2024'!G43</f>
        <v>0</v>
      </c>
      <c r="J208" s="1092">
        <f>+'Diğer Gelir Ve Giderler 2024'!H43</f>
        <v>0</v>
      </c>
      <c r="K208" s="1092">
        <f>+'Diğer Gelir Ve Giderler 2024'!I43</f>
        <v>0</v>
      </c>
      <c r="L208" s="1092">
        <f>+'Diğer Gelir Ve Giderler 2024'!J43</f>
        <v>0</v>
      </c>
      <c r="M208" s="1092">
        <f>+'Diğer Gelir Ve Giderler 2024'!K43</f>
        <v>0</v>
      </c>
      <c r="N208" s="1092">
        <f>+'Diğer Gelir Ve Giderler 2024'!L43</f>
        <v>0</v>
      </c>
      <c r="O208" s="1093">
        <f>+'Diğer Gelir Ve Giderler 2024'!M43</f>
        <v>0</v>
      </c>
      <c r="P208" s="1576">
        <f t="shared" ref="P208:P212" si="75">SUM(D208:O208)</f>
        <v>0</v>
      </c>
      <c r="Q208" s="1155" t="str">
        <f>IF(P208=0,"-",P208/C208-1)</f>
        <v>-</v>
      </c>
    </row>
    <row r="209" spans="1:25" ht="23.25" customHeight="1">
      <c r="A209" s="1097" t="s">
        <v>261</v>
      </c>
      <c r="B209" s="1572">
        <f>SUM('Diğer Gelir Ve Giderler 2024'!P44:X44)</f>
        <v>0</v>
      </c>
      <c r="C209" s="1572">
        <f>+'Diğer Gelir Ve Giderler 2024'!AB44</f>
        <v>0</v>
      </c>
      <c r="D209" s="1174">
        <f>+'Diğer Gelir Ve Giderler 2024'!B44</f>
        <v>0</v>
      </c>
      <c r="E209" s="97">
        <f>+'Diğer Gelir Ve Giderler 2024'!C44</f>
        <v>0</v>
      </c>
      <c r="F209" s="97">
        <f>+'Diğer Gelir Ve Giderler 2024'!D44</f>
        <v>0</v>
      </c>
      <c r="G209" s="97">
        <f>+'Diğer Gelir Ve Giderler 2024'!E44</f>
        <v>0</v>
      </c>
      <c r="H209" s="97">
        <f>+'Diğer Gelir Ve Giderler 2024'!F44</f>
        <v>0</v>
      </c>
      <c r="I209" s="97">
        <f>+'Diğer Gelir Ve Giderler 2024'!G44</f>
        <v>0</v>
      </c>
      <c r="J209" s="97">
        <f>+'Diğer Gelir Ve Giderler 2024'!H44</f>
        <v>0</v>
      </c>
      <c r="K209" s="97">
        <f>+'Diğer Gelir Ve Giderler 2024'!I44</f>
        <v>0</v>
      </c>
      <c r="L209" s="97">
        <f>+'Diğer Gelir Ve Giderler 2024'!J44</f>
        <v>0</v>
      </c>
      <c r="M209" s="97">
        <f>+'Diğer Gelir Ve Giderler 2024'!K44</f>
        <v>0</v>
      </c>
      <c r="N209" s="97">
        <f>+'Diğer Gelir Ve Giderler 2024'!L44</f>
        <v>0</v>
      </c>
      <c r="O209" s="101">
        <f>+'Diğer Gelir Ve Giderler 2024'!M44</f>
        <v>0</v>
      </c>
      <c r="P209" s="1577">
        <f t="shared" si="75"/>
        <v>0</v>
      </c>
      <c r="Q209" s="1107" t="str">
        <f>IF(P209=0,"-",P209/C209-1)</f>
        <v>-</v>
      </c>
    </row>
    <row r="210" spans="1:25" ht="16.5" customHeight="1">
      <c r="A210" s="1091" t="s">
        <v>260</v>
      </c>
      <c r="B210" s="1575">
        <f>SUM('Diğer Gelir Ve Giderler 2024'!P45:X45)</f>
        <v>0</v>
      </c>
      <c r="C210" s="1575">
        <f>+'Diğer Gelir Ve Giderler 2024'!AB45</f>
        <v>0</v>
      </c>
      <c r="D210" s="1178">
        <f>+'Diğer Gelir Ve Giderler 2024'!B45</f>
        <v>0</v>
      </c>
      <c r="E210" s="1092">
        <f>+'Diğer Gelir Ve Giderler 2024'!C45</f>
        <v>0</v>
      </c>
      <c r="F210" s="1092">
        <f>+'Diğer Gelir Ve Giderler 2024'!D45</f>
        <v>0</v>
      </c>
      <c r="G210" s="1092">
        <f>+'Diğer Gelir Ve Giderler 2024'!E45</f>
        <v>0</v>
      </c>
      <c r="H210" s="1092">
        <f>+'Diğer Gelir Ve Giderler 2024'!F45</f>
        <v>0</v>
      </c>
      <c r="I210" s="1092">
        <f>+'Diğer Gelir Ve Giderler 2024'!G45</f>
        <v>0</v>
      </c>
      <c r="J210" s="1092">
        <f>+'Diğer Gelir Ve Giderler 2024'!H45</f>
        <v>0</v>
      </c>
      <c r="K210" s="1092">
        <f>+'Diğer Gelir Ve Giderler 2024'!I45</f>
        <v>0</v>
      </c>
      <c r="L210" s="1092">
        <f>+'Diğer Gelir Ve Giderler 2024'!J45</f>
        <v>0</v>
      </c>
      <c r="M210" s="1092">
        <f>+'Diğer Gelir Ve Giderler 2024'!K45</f>
        <v>0</v>
      </c>
      <c r="N210" s="1092">
        <f>+'Diğer Gelir Ve Giderler 2024'!L45</f>
        <v>0</v>
      </c>
      <c r="O210" s="1093">
        <f>+'Diğer Gelir Ve Giderler 2024'!M45</f>
        <v>0</v>
      </c>
      <c r="P210" s="1576"/>
      <c r="Q210" s="1155" t="str">
        <f>IF(P210=0,"-",P210/C210-1)</f>
        <v>-</v>
      </c>
    </row>
    <row r="211" spans="1:25" ht="16.5" customHeight="1">
      <c r="A211" s="1097" t="s">
        <v>568</v>
      </c>
      <c r="B211" s="1572">
        <f>SUM('Diğer Gelir Ve Giderler 2024'!P46:X46)</f>
        <v>0</v>
      </c>
      <c r="C211" s="1572">
        <f>+'Diğer Gelir Ve Giderler 2024'!AB46</f>
        <v>0</v>
      </c>
      <c r="D211" s="1174">
        <f>+'Diğer Gelir Ve Giderler 2024'!B46</f>
        <v>0</v>
      </c>
      <c r="E211" s="97">
        <f>+'Diğer Gelir Ve Giderler 2024'!C46</f>
        <v>0</v>
      </c>
      <c r="F211" s="97">
        <f>+'Diğer Gelir Ve Giderler 2024'!D46</f>
        <v>0</v>
      </c>
      <c r="G211" s="97">
        <f>+'Diğer Gelir Ve Giderler 2024'!E46</f>
        <v>0</v>
      </c>
      <c r="H211" s="97">
        <f>+'Diğer Gelir Ve Giderler 2024'!F46</f>
        <v>0</v>
      </c>
      <c r="I211" s="97">
        <f>+'Diğer Gelir Ve Giderler 2024'!G46</f>
        <v>0</v>
      </c>
      <c r="J211" s="97">
        <f>+'Diğer Gelir Ve Giderler 2024'!H46</f>
        <v>0</v>
      </c>
      <c r="K211" s="97">
        <f>+'Diğer Gelir Ve Giderler 2024'!I46</f>
        <v>0</v>
      </c>
      <c r="L211" s="97">
        <f>+'Diğer Gelir Ve Giderler 2024'!J46</f>
        <v>0</v>
      </c>
      <c r="M211" s="97">
        <f>+'Diğer Gelir Ve Giderler 2024'!K46</f>
        <v>0</v>
      </c>
      <c r="N211" s="97">
        <f>+'Diğer Gelir Ve Giderler 2024'!L46</f>
        <v>0</v>
      </c>
      <c r="O211" s="101">
        <f>+'Diğer Gelir Ve Giderler 2024'!M46</f>
        <v>0</v>
      </c>
      <c r="P211" s="1577">
        <f t="shared" si="75"/>
        <v>0</v>
      </c>
      <c r="Q211" s="1107" t="str">
        <f t="shared" si="74"/>
        <v>-</v>
      </c>
    </row>
    <row r="212" spans="1:25" ht="16.5" customHeight="1" thickBot="1">
      <c r="A212" s="95" t="s">
        <v>262</v>
      </c>
      <c r="B212" s="1573">
        <f>SUM('Diğer Gelir Ve Giderler 2024'!P47:X47)+SUM('Diğer Gelir Ve Giderler 2024'!P65:X65)</f>
        <v>0</v>
      </c>
      <c r="C212" s="1573">
        <f>SUM('Diğer Gelir Ve Giderler 2024'!AB47+'Diğer Gelir Ve Giderler 2024'!AB65)</f>
        <v>0</v>
      </c>
      <c r="D212" s="1175">
        <f>+'Diğer Gelir Ve Giderler 2024'!B47+'Diğer Gelir Ve Giderler 2024'!B65</f>
        <v>0</v>
      </c>
      <c r="E212" s="96">
        <f>+'Diğer Gelir Ve Giderler 2024'!C47+'Diğer Gelir Ve Giderler 2024'!C65</f>
        <v>0</v>
      </c>
      <c r="F212" s="96">
        <f>+'Diğer Gelir Ve Giderler 2024'!D47+'Diğer Gelir Ve Giderler 2024'!D65</f>
        <v>0</v>
      </c>
      <c r="G212" s="96">
        <f>+'Diğer Gelir Ve Giderler 2024'!E47+'Diğer Gelir Ve Giderler 2024'!E65</f>
        <v>0</v>
      </c>
      <c r="H212" s="96">
        <f>+'Diğer Gelir Ve Giderler 2024'!F47+'Diğer Gelir Ve Giderler 2024'!F65</f>
        <v>0</v>
      </c>
      <c r="I212" s="96">
        <f>+'Diğer Gelir Ve Giderler 2024'!G47+'Diğer Gelir Ve Giderler 2024'!G65</f>
        <v>0</v>
      </c>
      <c r="J212" s="96">
        <f>+'Diğer Gelir Ve Giderler 2024'!H47+'Diğer Gelir Ve Giderler 2024'!H65</f>
        <v>0</v>
      </c>
      <c r="K212" s="96">
        <f>+'Diğer Gelir Ve Giderler 2024'!I47+'Diğer Gelir Ve Giderler 2024'!I65</f>
        <v>0</v>
      </c>
      <c r="L212" s="96">
        <f>+'Diğer Gelir Ve Giderler 2024'!J47+'Diğer Gelir Ve Giderler 2024'!J65</f>
        <v>0</v>
      </c>
      <c r="M212" s="96">
        <f>+'Diğer Gelir Ve Giderler 2024'!K47+'Diğer Gelir Ve Giderler 2024'!K65</f>
        <v>50</v>
      </c>
      <c r="N212" s="96">
        <f>+'Diğer Gelir Ve Giderler 2024'!L47+'Diğer Gelir Ve Giderler 2024'!L65</f>
        <v>0</v>
      </c>
      <c r="O212" s="99">
        <f>+'Diğer Gelir Ve Giderler 2024'!M47+'Diğer Gelir Ve Giderler 2024'!M65</f>
        <v>0</v>
      </c>
      <c r="P212" s="1578">
        <f t="shared" si="75"/>
        <v>50</v>
      </c>
      <c r="Q212" s="1108" t="e">
        <f t="shared" si="74"/>
        <v>#DIV/0!</v>
      </c>
    </row>
    <row r="213" spans="1:25" s="118" customFormat="1" ht="16.5" customHeight="1" thickBot="1">
      <c r="A213" s="282" t="s">
        <v>274</v>
      </c>
      <c r="B213" s="579">
        <f>SUM(B207:B212)</f>
        <v>-5897.9516964299501</v>
      </c>
      <c r="C213" s="579">
        <f>SUM(C207:C212)</f>
        <v>-5898</v>
      </c>
      <c r="D213" s="1172">
        <f>SUM(D207:D212)</f>
        <v>-591.17489999999998</v>
      </c>
      <c r="E213" s="284">
        <f t="shared" ref="E213:O213" si="76">SUM(E207:E212)</f>
        <v>-591.17489999999998</v>
      </c>
      <c r="F213" s="284">
        <f t="shared" si="76"/>
        <v>-591.17489999999998</v>
      </c>
      <c r="G213" s="284">
        <f t="shared" si="76"/>
        <v>-591.17489999999998</v>
      </c>
      <c r="H213" s="284">
        <f t="shared" si="76"/>
        <v>-591.17489999999998</v>
      </c>
      <c r="I213" s="284">
        <f t="shared" si="76"/>
        <v>-591.17489999999998</v>
      </c>
      <c r="J213" s="284">
        <f t="shared" si="76"/>
        <v>-591.17489999999998</v>
      </c>
      <c r="K213" s="284">
        <f t="shared" si="76"/>
        <v>-591.17489999999998</v>
      </c>
      <c r="L213" s="284">
        <f t="shared" si="76"/>
        <v>-591.17489999999998</v>
      </c>
      <c r="M213" s="284">
        <f t="shared" si="76"/>
        <v>-541.17489999999998</v>
      </c>
      <c r="N213" s="284">
        <f t="shared" si="76"/>
        <v>-591.17489999999998</v>
      </c>
      <c r="O213" s="285">
        <f t="shared" si="76"/>
        <v>-591.17489999999998</v>
      </c>
      <c r="P213" s="1160">
        <f>SUM(P207:P212)</f>
        <v>-7044.0987999999998</v>
      </c>
      <c r="Q213" s="1153">
        <f>IF(P213=0,"-",P213/C213-1)</f>
        <v>0.19431990505256014</v>
      </c>
      <c r="R213" s="118">
        <v>22000</v>
      </c>
      <c r="Y213" s="118" t="e">
        <f>P215/P194</f>
        <v>#DIV/0!</v>
      </c>
    </row>
    <row r="214" spans="1:25" s="118" customFormat="1" ht="16.5" customHeight="1" thickBot="1">
      <c r="A214" s="2114" t="s">
        <v>569</v>
      </c>
      <c r="B214" s="579">
        <v>1942.4627633498842</v>
      </c>
      <c r="C214" s="2118">
        <v>2330.9553160198784</v>
      </c>
      <c r="D214" s="2120"/>
      <c r="E214" s="2121"/>
      <c r="F214" s="2121"/>
      <c r="G214" s="2121"/>
      <c r="H214" s="2121"/>
      <c r="I214" s="2121"/>
      <c r="J214" s="2121"/>
      <c r="K214" s="2121"/>
      <c r="L214" s="2121"/>
      <c r="M214" s="2121"/>
      <c r="N214" s="2121"/>
      <c r="O214" s="2122"/>
      <c r="P214" s="2123">
        <f>SUM(D214:O214)</f>
        <v>0</v>
      </c>
      <c r="Q214" s="2124"/>
      <c r="Y214" s="118" t="e">
        <f>(P215*0.75)/P194</f>
        <v>#DIV/0!</v>
      </c>
    </row>
    <row r="215" spans="1:25" s="118" customFormat="1" ht="16.5" customHeight="1" thickBot="1">
      <c r="A215" s="2272" t="s">
        <v>570</v>
      </c>
      <c r="B215" s="2115"/>
      <c r="C215" s="2119">
        <f t="shared" ref="C215:O215" si="77">C214+C213</f>
        <v>-3567.0446839801216</v>
      </c>
      <c r="D215" s="2116">
        <f t="shared" si="77"/>
        <v>-591.17489999999998</v>
      </c>
      <c r="E215" s="2116">
        <f t="shared" si="77"/>
        <v>-591.17489999999998</v>
      </c>
      <c r="F215" s="2116">
        <f t="shared" si="77"/>
        <v>-591.17489999999998</v>
      </c>
      <c r="G215" s="2116">
        <f t="shared" si="77"/>
        <v>-591.17489999999998</v>
      </c>
      <c r="H215" s="2116">
        <f t="shared" si="77"/>
        <v>-591.17489999999998</v>
      </c>
      <c r="I215" s="2116">
        <f t="shared" si="77"/>
        <v>-591.17489999999998</v>
      </c>
      <c r="J215" s="2116">
        <f t="shared" si="77"/>
        <v>-591.17489999999998</v>
      </c>
      <c r="K215" s="2116">
        <f t="shared" si="77"/>
        <v>-591.17489999999998</v>
      </c>
      <c r="L215" s="2116">
        <f t="shared" si="77"/>
        <v>-591.17489999999998</v>
      </c>
      <c r="M215" s="2116">
        <f t="shared" si="77"/>
        <v>-541.17489999999998</v>
      </c>
      <c r="N215" s="2116">
        <f t="shared" si="77"/>
        <v>-591.17489999999998</v>
      </c>
      <c r="O215" s="2116">
        <f t="shared" si="77"/>
        <v>-591.17489999999998</v>
      </c>
      <c r="P215" s="2116">
        <f>P214+P213</f>
        <v>-7044.0987999999998</v>
      </c>
      <c r="Q215" s="2117"/>
    </row>
    <row r="216" spans="1:25" s="652" customFormat="1" ht="24" customHeight="1" thickBot="1">
      <c r="A216" s="2022"/>
      <c r="B216" s="2023"/>
      <c r="C216" s="2023"/>
      <c r="D216" s="2024"/>
      <c r="E216" s="2024"/>
      <c r="F216" s="2024"/>
      <c r="G216" s="2024"/>
      <c r="H216" s="2024"/>
      <c r="I216" s="2024"/>
      <c r="J216" s="2024"/>
      <c r="K216" s="2024"/>
      <c r="L216" s="2024"/>
      <c r="M216" s="2024"/>
      <c r="N216" s="2024"/>
      <c r="O216" s="2024"/>
      <c r="P216" s="2025"/>
      <c r="Q216" s="2026"/>
    </row>
    <row r="217" spans="1:25" s="550" customFormat="1" ht="24" customHeight="1">
      <c r="A217" s="1047" t="s">
        <v>329</v>
      </c>
      <c r="B217" s="1567">
        <v>2179175</v>
      </c>
      <c r="C217" s="1567">
        <v>2179175</v>
      </c>
      <c r="D217" s="1946">
        <f>+D244+D312</f>
        <v>0</v>
      </c>
      <c r="E217" s="1946">
        <f t="shared" ref="E217:O217" si="78">+E244+E312</f>
        <v>0</v>
      </c>
      <c r="F217" s="1946">
        <f t="shared" si="78"/>
        <v>0</v>
      </c>
      <c r="G217" s="1946">
        <f t="shared" si="78"/>
        <v>0</v>
      </c>
      <c r="H217" s="1946">
        <f t="shared" si="78"/>
        <v>0</v>
      </c>
      <c r="I217" s="1946">
        <f t="shared" si="78"/>
        <v>0</v>
      </c>
      <c r="J217" s="1946">
        <f t="shared" si="78"/>
        <v>0</v>
      </c>
      <c r="K217" s="1946">
        <f t="shared" si="78"/>
        <v>0</v>
      </c>
      <c r="L217" s="1946">
        <f t="shared" si="78"/>
        <v>0</v>
      </c>
      <c r="M217" s="1946">
        <f t="shared" si="78"/>
        <v>0</v>
      </c>
      <c r="N217" s="1946">
        <f t="shared" si="78"/>
        <v>0</v>
      </c>
      <c r="O217" s="1946">
        <f t="shared" si="78"/>
        <v>0</v>
      </c>
      <c r="P217" s="1947">
        <f>SUM(D217:O217)</f>
        <v>0</v>
      </c>
      <c r="Q217" s="1948" t="str">
        <f>IF(P217=0,"-",P217/C217-1)</f>
        <v>-</v>
      </c>
      <c r="Y217" s="550" t="e">
        <f>((P215*0.75)-P218)/P194</f>
        <v>#DIV/0!</v>
      </c>
    </row>
    <row r="218" spans="1:25" s="550" customFormat="1" ht="24" customHeight="1">
      <c r="A218" s="1048" t="s">
        <v>239</v>
      </c>
      <c r="B218" s="1568">
        <v>3422666</v>
      </c>
      <c r="C218" s="1568">
        <v>3422666</v>
      </c>
      <c r="D218" s="1179">
        <f>+D245+D313</f>
        <v>0</v>
      </c>
      <c r="E218" s="1179">
        <f t="shared" ref="E218:O218" si="79">+E245+E313</f>
        <v>0</v>
      </c>
      <c r="F218" s="1179">
        <f t="shared" si="79"/>
        <v>0</v>
      </c>
      <c r="G218" s="1179">
        <f t="shared" si="79"/>
        <v>0</v>
      </c>
      <c r="H218" s="1179">
        <f t="shared" si="79"/>
        <v>0</v>
      </c>
      <c r="I218" s="1179">
        <f t="shared" si="79"/>
        <v>0</v>
      </c>
      <c r="J218" s="1179">
        <f t="shared" si="79"/>
        <v>0</v>
      </c>
      <c r="K218" s="1179">
        <f t="shared" si="79"/>
        <v>0</v>
      </c>
      <c r="L218" s="1179">
        <f t="shared" si="79"/>
        <v>0</v>
      </c>
      <c r="M218" s="1179">
        <f t="shared" si="79"/>
        <v>0</v>
      </c>
      <c r="N218" s="1179">
        <f t="shared" si="79"/>
        <v>0</v>
      </c>
      <c r="O218" s="1179">
        <f t="shared" si="79"/>
        <v>0</v>
      </c>
      <c r="P218" s="1580">
        <f>SUM(D218:O218)</f>
        <v>0</v>
      </c>
      <c r="Q218" s="1090" t="str">
        <f>IF(P218=0,"-",P218/C218-1)</f>
        <v>-</v>
      </c>
      <c r="Y218" s="648">
        <f>P215-P218</f>
        <v>-7044.0987999999998</v>
      </c>
    </row>
    <row r="219" spans="1:25" ht="22.5" customHeight="1" thickBot="1">
      <c r="A219" s="95" t="s">
        <v>263</v>
      </c>
      <c r="B219" s="1569">
        <v>1486799</v>
      </c>
      <c r="C219" s="1569">
        <v>1486799</v>
      </c>
      <c r="D219" s="1175">
        <f>+D247+D315</f>
        <v>0</v>
      </c>
      <c r="E219" s="1175">
        <f t="shared" ref="E219:O219" si="80">+E247+E315</f>
        <v>0</v>
      </c>
      <c r="F219" s="1175">
        <f t="shared" si="80"/>
        <v>0</v>
      </c>
      <c r="G219" s="1175">
        <f t="shared" si="80"/>
        <v>0</v>
      </c>
      <c r="H219" s="1175">
        <f t="shared" si="80"/>
        <v>0</v>
      </c>
      <c r="I219" s="1175">
        <f t="shared" si="80"/>
        <v>0</v>
      </c>
      <c r="J219" s="1175">
        <f t="shared" si="80"/>
        <v>0</v>
      </c>
      <c r="K219" s="1175">
        <f t="shared" si="80"/>
        <v>0</v>
      </c>
      <c r="L219" s="1175">
        <f t="shared" si="80"/>
        <v>0</v>
      </c>
      <c r="M219" s="1175">
        <f t="shared" si="80"/>
        <v>0</v>
      </c>
      <c r="N219" s="1175">
        <f t="shared" si="80"/>
        <v>0</v>
      </c>
      <c r="O219" s="1175">
        <f t="shared" si="80"/>
        <v>0</v>
      </c>
      <c r="P219" s="1579">
        <f>SUM(D219:O219)</f>
        <v>0</v>
      </c>
      <c r="Q219" s="1108" t="str">
        <f t="shared" ref="Q219" si="81">IF(P219=0,"-",P219/C219-1)</f>
        <v>-</v>
      </c>
    </row>
    <row r="220" spans="1:25" s="550" customFormat="1" ht="24" customHeight="1" thickBot="1">
      <c r="A220" s="1049" t="s">
        <v>441</v>
      </c>
      <c r="B220" s="1181">
        <f>SUM(B217:B219)</f>
        <v>7088640</v>
      </c>
      <c r="C220" s="1181">
        <f t="shared" ref="C220:P220" si="82">SUM(C217:C219)</f>
        <v>7088640</v>
      </c>
      <c r="D220" s="1180">
        <f t="shared" si="82"/>
        <v>0</v>
      </c>
      <c r="E220" s="1050">
        <f t="shared" si="82"/>
        <v>0</v>
      </c>
      <c r="F220" s="1050">
        <f t="shared" si="82"/>
        <v>0</v>
      </c>
      <c r="G220" s="1050">
        <f t="shared" si="82"/>
        <v>0</v>
      </c>
      <c r="H220" s="1050">
        <f t="shared" si="82"/>
        <v>0</v>
      </c>
      <c r="I220" s="1050">
        <f t="shared" si="82"/>
        <v>0</v>
      </c>
      <c r="J220" s="1050">
        <f t="shared" si="82"/>
        <v>0</v>
      </c>
      <c r="K220" s="1050">
        <f t="shared" si="82"/>
        <v>0</v>
      </c>
      <c r="L220" s="1050">
        <f t="shared" si="82"/>
        <v>0</v>
      </c>
      <c r="M220" s="1050">
        <f t="shared" si="82"/>
        <v>0</v>
      </c>
      <c r="N220" s="1051">
        <f t="shared" si="82"/>
        <v>0</v>
      </c>
      <c r="O220" s="1581">
        <f t="shared" si="82"/>
        <v>0</v>
      </c>
      <c r="P220" s="1581">
        <f t="shared" si="82"/>
        <v>0</v>
      </c>
      <c r="Q220" s="1153" t="str">
        <f>IF(P220=0,"-",P220/C220-1)</f>
        <v>-</v>
      </c>
      <c r="R220" s="550">
        <v>5900</v>
      </c>
      <c r="S220" s="648"/>
    </row>
    <row r="221" spans="1:25" ht="21" hidden="1" customHeight="1">
      <c r="A221" s="568" t="s">
        <v>275</v>
      </c>
      <c r="B221" s="580"/>
      <c r="C221" s="580"/>
      <c r="D221" s="100">
        <v>483.5</v>
      </c>
      <c r="E221" s="97">
        <v>483.5</v>
      </c>
      <c r="F221" s="97">
        <v>483.5</v>
      </c>
      <c r="G221" s="97">
        <v>483.5</v>
      </c>
      <c r="H221" s="97">
        <v>483.5</v>
      </c>
      <c r="I221" s="97">
        <v>483.5</v>
      </c>
      <c r="J221" s="97">
        <v>483.5</v>
      </c>
      <c r="K221" s="97">
        <v>483.5</v>
      </c>
      <c r="L221" s="97">
        <v>483.5</v>
      </c>
      <c r="M221" s="97">
        <v>483.5</v>
      </c>
      <c r="N221" s="97">
        <v>483.5</v>
      </c>
      <c r="O221" s="101">
        <v>483.5</v>
      </c>
      <c r="P221" s="43">
        <f>SUM(D221:O221)</f>
        <v>5802</v>
      </c>
      <c r="Q221" s="230" t="e">
        <f t="shared" si="74"/>
        <v>#DIV/0!</v>
      </c>
    </row>
    <row r="223" spans="1:25" s="652" customFormat="1" ht="24" customHeight="1" thickBot="1">
      <c r="A223" s="1052"/>
      <c r="B223" s="1053"/>
      <c r="C223" s="1053"/>
      <c r="D223" s="1053"/>
      <c r="E223" s="1053"/>
      <c r="F223" s="1053"/>
      <c r="G223" s="1053"/>
      <c r="H223" s="1053"/>
      <c r="I223" s="1053"/>
      <c r="J223" s="1053"/>
      <c r="K223" s="1053"/>
      <c r="L223" s="1053"/>
      <c r="M223" s="1053"/>
      <c r="N223" s="1053"/>
      <c r="O223" s="1054"/>
      <c r="P223" s="1055"/>
      <c r="Q223" s="1056"/>
    </row>
    <row r="224" spans="1:25" s="1057" customFormat="1" ht="26.25" customHeight="1" thickBot="1">
      <c r="B224" s="2344"/>
      <c r="C224" s="2339"/>
      <c r="D224" s="2336" t="s">
        <v>337</v>
      </c>
      <c r="E224" s="2337"/>
      <c r="F224" s="2337"/>
      <c r="G224" s="2337"/>
      <c r="H224" s="2337"/>
      <c r="I224" s="2337"/>
      <c r="J224" s="2337"/>
      <c r="K224" s="2337"/>
      <c r="L224" s="2337"/>
      <c r="M224" s="2337"/>
      <c r="N224" s="2337"/>
      <c r="O224" s="2337"/>
      <c r="P224" s="2338"/>
      <c r="R224" s="1481"/>
    </row>
    <row r="225" spans="2:24" s="1057" customFormat="1" ht="19.5" customHeight="1" thickBot="1">
      <c r="B225" s="2344"/>
      <c r="C225" s="2340"/>
      <c r="D225" s="1058" t="s">
        <v>328</v>
      </c>
      <c r="E225" s="1059" t="s">
        <v>2</v>
      </c>
      <c r="F225" s="1059" t="s">
        <v>3</v>
      </c>
      <c r="G225" s="1059" t="s">
        <v>4</v>
      </c>
      <c r="H225" s="1059" t="s">
        <v>5</v>
      </c>
      <c r="I225" s="1059" t="s">
        <v>6</v>
      </c>
      <c r="J225" s="1059" t="s">
        <v>7</v>
      </c>
      <c r="K225" s="1059" t="s">
        <v>8</v>
      </c>
      <c r="L225" s="1059" t="s">
        <v>9</v>
      </c>
      <c r="M225" s="1059" t="s">
        <v>10</v>
      </c>
      <c r="N225" s="1059" t="s">
        <v>11</v>
      </c>
      <c r="O225" s="1060" t="s">
        <v>12</v>
      </c>
      <c r="P225" s="1061" t="s">
        <v>13</v>
      </c>
      <c r="R225" s="1481"/>
    </row>
    <row r="226" spans="2:24" s="1057" customFormat="1" ht="21.9" customHeight="1">
      <c r="B226" s="1782"/>
      <c r="C226" s="1482" t="s">
        <v>329</v>
      </c>
      <c r="D226" s="1076">
        <f>+'Yatırım Bütçesi_2024'!C181/1000</f>
        <v>0</v>
      </c>
      <c r="E226" s="1077">
        <f>+'Yatırım Bütçesi_2024'!D181/1000</f>
        <v>0</v>
      </c>
      <c r="F226" s="1077">
        <f>+'Yatırım Bütçesi_2024'!E181/1000</f>
        <v>0</v>
      </c>
      <c r="G226" s="1077">
        <f>+'Yatırım Bütçesi_2024'!F181/1000</f>
        <v>0</v>
      </c>
      <c r="H226" s="1077">
        <f>+'Yatırım Bütçesi_2024'!G181/1000</f>
        <v>0</v>
      </c>
      <c r="I226" s="1077">
        <f>+'Yatırım Bütçesi_2024'!H181/1000</f>
        <v>0</v>
      </c>
      <c r="J226" s="1077">
        <f>+'Yatırım Bütçesi_2024'!I181/1000</f>
        <v>0</v>
      </c>
      <c r="K226" s="1077">
        <f>+'Yatırım Bütçesi_2024'!J181/1000</f>
        <v>0</v>
      </c>
      <c r="L226" s="1077">
        <f>+'Yatırım Bütçesi_2024'!K181/1000</f>
        <v>0</v>
      </c>
      <c r="M226" s="1077">
        <f>+'Yatırım Bütçesi_2024'!L181/1000</f>
        <v>0</v>
      </c>
      <c r="N226" s="1077">
        <f>+'Yatırım Bütçesi_2024'!M181/1000</f>
        <v>0</v>
      </c>
      <c r="O226" s="1078">
        <f>+'Yatırım Bütçesi_2024'!N181/1000</f>
        <v>0</v>
      </c>
      <c r="P226" s="1062">
        <f>SUM(D226:O226)</f>
        <v>0</v>
      </c>
      <c r="R226" s="1481"/>
    </row>
    <row r="227" spans="2:24" s="1057" customFormat="1" ht="21.9" customHeight="1">
      <c r="B227" s="1782"/>
      <c r="C227" s="1483" t="s">
        <v>239</v>
      </c>
      <c r="D227" s="1063">
        <f>+'Yatırım Bütçesi_2024'!C140/1000</f>
        <v>0</v>
      </c>
      <c r="E227" s="1064">
        <f>+'Yatırım Bütçesi_2024'!D140/1000</f>
        <v>0</v>
      </c>
      <c r="F227" s="1064">
        <f>+'Yatırım Bütçesi_2024'!E140/1000</f>
        <v>0</v>
      </c>
      <c r="G227" s="1064">
        <f>+'Yatırım Bütçesi_2024'!F140/1000</f>
        <v>0</v>
      </c>
      <c r="H227" s="1064">
        <f>+'Yatırım Bütçesi_2024'!G140/1000</f>
        <v>0</v>
      </c>
      <c r="I227" s="1064">
        <f>+'Yatırım Bütçesi_2024'!H140/1000</f>
        <v>0</v>
      </c>
      <c r="J227" s="1064">
        <f>+'Yatırım Bütçesi_2024'!I140/1000</f>
        <v>0</v>
      </c>
      <c r="K227" s="1064">
        <f>+'Yatırım Bütçesi_2024'!J140/1000</f>
        <v>0</v>
      </c>
      <c r="L227" s="1064">
        <f>+'Yatırım Bütçesi_2024'!K140/1000</f>
        <v>0</v>
      </c>
      <c r="M227" s="1064">
        <f>+'Yatırım Bütçesi_2024'!L140/1000</f>
        <v>0</v>
      </c>
      <c r="N227" s="1064">
        <f>+'Yatırım Bütçesi_2024'!M140/1000</f>
        <v>0</v>
      </c>
      <c r="O227" s="1065">
        <f>+'Yatırım Bütçesi_2024'!N140/1000</f>
        <v>0</v>
      </c>
      <c r="P227" s="1066">
        <f>SUM(D227:O227)</f>
        <v>0</v>
      </c>
      <c r="R227" s="1481"/>
    </row>
    <row r="228" spans="2:24" s="1057" customFormat="1" ht="21.9" customHeight="1">
      <c r="B228" s="1782"/>
      <c r="C228" s="1483" t="s">
        <v>13</v>
      </c>
      <c r="D228" s="1063">
        <f>SUM(D226:D227)</f>
        <v>0</v>
      </c>
      <c r="E228" s="1064">
        <f t="shared" ref="E228:O228" si="83">SUM(E226:E227)</f>
        <v>0</v>
      </c>
      <c r="F228" s="1064">
        <f t="shared" si="83"/>
        <v>0</v>
      </c>
      <c r="G228" s="1064">
        <f t="shared" si="83"/>
        <v>0</v>
      </c>
      <c r="H228" s="1064">
        <f t="shared" si="83"/>
        <v>0</v>
      </c>
      <c r="I228" s="1064">
        <f t="shared" si="83"/>
        <v>0</v>
      </c>
      <c r="J228" s="1064">
        <f t="shared" si="83"/>
        <v>0</v>
      </c>
      <c r="K228" s="1064">
        <f t="shared" si="83"/>
        <v>0</v>
      </c>
      <c r="L228" s="1064">
        <f t="shared" si="83"/>
        <v>0</v>
      </c>
      <c r="M228" s="1064">
        <f t="shared" si="83"/>
        <v>0</v>
      </c>
      <c r="N228" s="1064">
        <f t="shared" si="83"/>
        <v>0</v>
      </c>
      <c r="O228" s="1065">
        <f t="shared" si="83"/>
        <v>0</v>
      </c>
      <c r="P228" s="1066">
        <f>SUM(D228:O228)</f>
        <v>0</v>
      </c>
      <c r="R228" s="1481"/>
    </row>
    <row r="229" spans="2:24" s="1057" customFormat="1" ht="21.9" customHeight="1" thickBot="1">
      <c r="B229" s="1782"/>
      <c r="C229" s="1484" t="s">
        <v>263</v>
      </c>
      <c r="D229" s="1067">
        <f>+'Yatırım Bütçesi_2024'!C160/1000</f>
        <v>0</v>
      </c>
      <c r="E229" s="1068">
        <f>+'Yatırım Bütçesi_2024'!D160/1000</f>
        <v>0</v>
      </c>
      <c r="F229" s="1068">
        <f>+'Yatırım Bütçesi_2024'!E160/1000</f>
        <v>0</v>
      </c>
      <c r="G229" s="1068">
        <f>+'Yatırım Bütçesi_2024'!F160/1000</f>
        <v>0</v>
      </c>
      <c r="H229" s="1068">
        <f>+'Yatırım Bütçesi_2024'!G160/1000</f>
        <v>0</v>
      </c>
      <c r="I229" s="1068">
        <f>+'Yatırım Bütçesi_2024'!H160/1000</f>
        <v>0</v>
      </c>
      <c r="J229" s="1068">
        <f>+'Yatırım Bütçesi_2024'!I160/1000</f>
        <v>0</v>
      </c>
      <c r="K229" s="1068">
        <f>+'Yatırım Bütçesi_2024'!J160/1000</f>
        <v>0</v>
      </c>
      <c r="L229" s="1068">
        <f>+'Yatırım Bütçesi_2024'!K160/1000</f>
        <v>0</v>
      </c>
      <c r="M229" s="1068">
        <f>+'Yatırım Bütçesi_2024'!L160/1000</f>
        <v>0</v>
      </c>
      <c r="N229" s="1068">
        <f>+'Yatırım Bütçesi_2024'!M160/1000</f>
        <v>0</v>
      </c>
      <c r="O229" s="1069">
        <f>+'Yatırım Bütçesi_2024'!N160/1000</f>
        <v>0</v>
      </c>
      <c r="P229" s="1070">
        <f>SUM(D229:O229)</f>
        <v>0</v>
      </c>
      <c r="R229" s="1481"/>
    </row>
    <row r="230" spans="2:24" s="1057" customFormat="1" ht="26.25" customHeight="1" thickBot="1">
      <c r="B230" s="1787"/>
      <c r="C230" s="1485"/>
      <c r="D230" s="1079">
        <f>SUM(D228:D229)</f>
        <v>0</v>
      </c>
      <c r="E230" s="1080">
        <f t="shared" ref="E230:O230" si="84">SUM(E228:E229)</f>
        <v>0</v>
      </c>
      <c r="F230" s="1080">
        <f t="shared" si="84"/>
        <v>0</v>
      </c>
      <c r="G230" s="1080">
        <f t="shared" si="84"/>
        <v>0</v>
      </c>
      <c r="H230" s="1080">
        <f t="shared" si="84"/>
        <v>0</v>
      </c>
      <c r="I230" s="1080">
        <f t="shared" si="84"/>
        <v>0</v>
      </c>
      <c r="J230" s="1080">
        <f t="shared" si="84"/>
        <v>0</v>
      </c>
      <c r="K230" s="1080">
        <f t="shared" si="84"/>
        <v>0</v>
      </c>
      <c r="L230" s="1080">
        <f t="shared" si="84"/>
        <v>0</v>
      </c>
      <c r="M230" s="1080">
        <f t="shared" si="84"/>
        <v>0</v>
      </c>
      <c r="N230" s="1080">
        <f t="shared" si="84"/>
        <v>0</v>
      </c>
      <c r="O230" s="1081">
        <f t="shared" si="84"/>
        <v>0</v>
      </c>
      <c r="P230" s="2125">
        <f>SUM(P228:P229)</f>
        <v>0</v>
      </c>
      <c r="R230" s="1481"/>
    </row>
    <row r="231" spans="2:24" s="1057" customFormat="1" ht="15.6">
      <c r="B231" s="1486"/>
      <c r="C231" s="1486"/>
      <c r="D231" s="1071"/>
      <c r="E231" s="1071"/>
      <c r="F231" s="1071"/>
      <c r="G231" s="1071"/>
      <c r="H231" s="1071"/>
      <c r="I231" s="1071"/>
      <c r="J231" s="1071"/>
      <c r="K231" s="1071"/>
      <c r="L231" s="1071"/>
      <c r="M231" s="1071"/>
      <c r="N231" s="1071"/>
      <c r="O231" s="1071"/>
      <c r="P231" s="1072"/>
      <c r="R231" s="1487"/>
    </row>
    <row r="232" spans="2:24" s="1057" customFormat="1" ht="16.2" thickBot="1">
      <c r="B232" s="1486"/>
      <c r="C232" s="1486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2"/>
      <c r="R232" s="1487"/>
    </row>
    <row r="233" spans="2:24" s="1057" customFormat="1" ht="26.25" customHeight="1" thickBot="1">
      <c r="C233" s="1788"/>
      <c r="D233" s="2336" t="s">
        <v>338</v>
      </c>
      <c r="E233" s="2337"/>
      <c r="F233" s="2337"/>
      <c r="G233" s="2337"/>
      <c r="H233" s="2337"/>
      <c r="I233" s="2337"/>
      <c r="J233" s="2337"/>
      <c r="K233" s="2337"/>
      <c r="L233" s="2337"/>
      <c r="M233" s="2337"/>
      <c r="N233" s="2337"/>
      <c r="O233" s="2337"/>
      <c r="P233" s="2338"/>
      <c r="R233" s="1481"/>
    </row>
    <row r="234" spans="2:24" s="1057" customFormat="1" ht="16.5" customHeight="1" thickBot="1">
      <c r="C234" s="1789"/>
      <c r="D234" s="1073" t="s">
        <v>328</v>
      </c>
      <c r="E234" s="1074" t="s">
        <v>2</v>
      </c>
      <c r="F234" s="1074" t="s">
        <v>3</v>
      </c>
      <c r="G234" s="1074" t="s">
        <v>4</v>
      </c>
      <c r="H234" s="1074" t="s">
        <v>5</v>
      </c>
      <c r="I234" s="1074" t="s">
        <v>6</v>
      </c>
      <c r="J234" s="1074" t="s">
        <v>7</v>
      </c>
      <c r="K234" s="1074" t="s">
        <v>8</v>
      </c>
      <c r="L234" s="1074" t="s">
        <v>9</v>
      </c>
      <c r="M234" s="1074" t="s">
        <v>10</v>
      </c>
      <c r="N234" s="1074" t="s">
        <v>11</v>
      </c>
      <c r="O234" s="1075" t="s">
        <v>12</v>
      </c>
      <c r="P234" s="1061" t="s">
        <v>13</v>
      </c>
      <c r="R234" s="1481"/>
    </row>
    <row r="235" spans="2:24" s="1057" customFormat="1" ht="21.9" customHeight="1">
      <c r="B235" s="1782"/>
      <c r="C235" s="1790" t="s">
        <v>329</v>
      </c>
      <c r="D235" s="1076">
        <f>+'Yatırım Bütçesi_2024'!C121/1000</f>
        <v>0</v>
      </c>
      <c r="E235" s="1077">
        <f>+'Yatırım Bütçesi_2024'!D121/1000</f>
        <v>0</v>
      </c>
      <c r="F235" s="1077">
        <f>+'Yatırım Bütçesi_2024'!E121/1000</f>
        <v>0</v>
      </c>
      <c r="G235" s="1077">
        <f>+'Yatırım Bütçesi_2024'!F121/1000</f>
        <v>0</v>
      </c>
      <c r="H235" s="1077">
        <f>+'Yatırım Bütçesi_2024'!G121/1000</f>
        <v>0</v>
      </c>
      <c r="I235" s="1077">
        <f>+'Yatırım Bütçesi_2024'!H121/1000</f>
        <v>0</v>
      </c>
      <c r="J235" s="1077">
        <f>+'Yatırım Bütçesi_2024'!I121/1000</f>
        <v>0</v>
      </c>
      <c r="K235" s="1077">
        <f>+'Yatırım Bütçesi_2024'!J121/1000</f>
        <v>0</v>
      </c>
      <c r="L235" s="1077">
        <f>+'Yatırım Bütçesi_2024'!K121/1000</f>
        <v>0</v>
      </c>
      <c r="M235" s="1077">
        <f>+'Yatırım Bütçesi_2024'!L121/1000</f>
        <v>0</v>
      </c>
      <c r="N235" s="1077">
        <f>+'Yatırım Bütçesi_2024'!M121/1000</f>
        <v>0</v>
      </c>
      <c r="O235" s="1078">
        <f>+'Yatırım Bütçesi_2024'!N121/1000</f>
        <v>0</v>
      </c>
      <c r="P235" s="1062">
        <f>SUM(D235:O235)</f>
        <v>0</v>
      </c>
      <c r="R235" s="1481">
        <v>0</v>
      </c>
      <c r="S235" s="1057">
        <v>0</v>
      </c>
      <c r="T235" s="1057">
        <v>0</v>
      </c>
      <c r="U235" s="1057">
        <v>750</v>
      </c>
      <c r="V235" s="1057">
        <v>375</v>
      </c>
      <c r="W235" s="1057">
        <v>450</v>
      </c>
      <c r="X235" s="1057">
        <v>375</v>
      </c>
    </row>
    <row r="236" spans="2:24" s="1057" customFormat="1" ht="21.9" customHeight="1">
      <c r="B236" s="1782"/>
      <c r="C236" s="1483" t="s">
        <v>239</v>
      </c>
      <c r="D236" s="1063">
        <f>+'Yatırım Bütçesi_2024'!C100/1000</f>
        <v>0</v>
      </c>
      <c r="E236" s="1064">
        <f>+'Yatırım Bütçesi_2024'!D100/1000</f>
        <v>0</v>
      </c>
      <c r="F236" s="1064">
        <f>+'Yatırım Bütçesi_2024'!E100/1000</f>
        <v>0</v>
      </c>
      <c r="G236" s="1064">
        <f>+'Yatırım Bütçesi_2024'!F100/1000</f>
        <v>0</v>
      </c>
      <c r="H236" s="1064">
        <f>+'Yatırım Bütçesi_2024'!G100/1000</f>
        <v>0</v>
      </c>
      <c r="I236" s="1064">
        <f>+'Yatırım Bütçesi_2024'!H100/1000</f>
        <v>0</v>
      </c>
      <c r="J236" s="1064">
        <f>+'Yatırım Bütçesi_2024'!I100/1000</f>
        <v>0</v>
      </c>
      <c r="K236" s="1064">
        <f>+'Yatırım Bütçesi_2024'!J100/1000</f>
        <v>0</v>
      </c>
      <c r="L236" s="1064">
        <f>+'Yatırım Bütçesi_2024'!K100/1000</f>
        <v>0</v>
      </c>
      <c r="M236" s="1064">
        <f>+'Yatırım Bütçesi_2024'!L100/1000</f>
        <v>0</v>
      </c>
      <c r="N236" s="1064">
        <f>+'Yatırım Bütçesi_2024'!M100/1000</f>
        <v>0</v>
      </c>
      <c r="O236" s="1065">
        <f>+'Yatırım Bütçesi_2024'!N100/1000</f>
        <v>0</v>
      </c>
      <c r="P236" s="1066">
        <f t="shared" ref="P236" si="85">SUM(D236:O236)</f>
        <v>0</v>
      </c>
      <c r="R236" s="1481">
        <v>0</v>
      </c>
      <c r="S236" s="1057">
        <v>0</v>
      </c>
      <c r="T236" s="1057">
        <v>0</v>
      </c>
      <c r="U236" s="1057">
        <v>1733.3333333333333</v>
      </c>
      <c r="V236" s="1057">
        <v>1025</v>
      </c>
      <c r="W236" s="1057">
        <v>933.33333333333326</v>
      </c>
      <c r="X236" s="1057">
        <v>1600</v>
      </c>
    </row>
    <row r="237" spans="2:24" s="1057" customFormat="1" ht="21.9" customHeight="1">
      <c r="B237" s="1782"/>
      <c r="C237" s="1483" t="s">
        <v>13</v>
      </c>
      <c r="D237" s="1063">
        <f>SUM(D235:D236)</f>
        <v>0</v>
      </c>
      <c r="E237" s="1064">
        <f t="shared" ref="E237:O237" si="86">SUM(E235:E236)</f>
        <v>0</v>
      </c>
      <c r="F237" s="1064">
        <f t="shared" si="86"/>
        <v>0</v>
      </c>
      <c r="G237" s="1064">
        <f t="shared" si="86"/>
        <v>0</v>
      </c>
      <c r="H237" s="1064">
        <f t="shared" si="86"/>
        <v>0</v>
      </c>
      <c r="I237" s="1064">
        <f t="shared" si="86"/>
        <v>0</v>
      </c>
      <c r="J237" s="1064">
        <f t="shared" si="86"/>
        <v>0</v>
      </c>
      <c r="K237" s="1064">
        <f t="shared" si="86"/>
        <v>0</v>
      </c>
      <c r="L237" s="1064">
        <f t="shared" si="86"/>
        <v>0</v>
      </c>
      <c r="M237" s="1064">
        <f t="shared" si="86"/>
        <v>0</v>
      </c>
      <c r="N237" s="1064">
        <f t="shared" si="86"/>
        <v>0</v>
      </c>
      <c r="O237" s="1065">
        <f t="shared" si="86"/>
        <v>0</v>
      </c>
      <c r="P237" s="1066">
        <f>SUM(D237:O237)</f>
        <v>0</v>
      </c>
      <c r="R237" s="1481">
        <v>0</v>
      </c>
      <c r="S237" s="1057">
        <v>0</v>
      </c>
      <c r="T237" s="1057">
        <v>0</v>
      </c>
      <c r="U237" s="1057">
        <v>2483.333333333333</v>
      </c>
      <c r="V237" s="1057">
        <v>1400</v>
      </c>
      <c r="W237" s="1057">
        <v>1383.3333333333333</v>
      </c>
      <c r="X237" s="1057">
        <v>1975</v>
      </c>
    </row>
    <row r="238" spans="2:24" s="1057" customFormat="1" ht="21.9" customHeight="1" thickBot="1">
      <c r="B238" s="1786"/>
      <c r="C238" s="1484" t="s">
        <v>263</v>
      </c>
      <c r="D238" s="1067">
        <f>+'Yatırım Bütçesi_2024'!C80/1000</f>
        <v>0</v>
      </c>
      <c r="E238" s="1068">
        <f>+'Yatırım Bütçesi_2024'!D80/1000</f>
        <v>0</v>
      </c>
      <c r="F238" s="1068">
        <f>+'Yatırım Bütçesi_2024'!E80/1000</f>
        <v>0</v>
      </c>
      <c r="G238" s="1068">
        <f>+'Yatırım Bütçesi_2024'!F80/1000</f>
        <v>0</v>
      </c>
      <c r="H238" s="1068">
        <f>+'Yatırım Bütçesi_2024'!G80/1000</f>
        <v>0</v>
      </c>
      <c r="I238" s="1068">
        <f>+'Yatırım Bütçesi_2024'!H80/1000</f>
        <v>0</v>
      </c>
      <c r="J238" s="1068">
        <f>+'Yatırım Bütçesi_2024'!I80/1000</f>
        <v>0</v>
      </c>
      <c r="K238" s="1068">
        <f>+'Yatırım Bütçesi_2024'!J80/1000</f>
        <v>0</v>
      </c>
      <c r="L238" s="1068">
        <f>+'Yatırım Bütçesi_2024'!K80/1000</f>
        <v>0</v>
      </c>
      <c r="M238" s="1068">
        <f>+'Yatırım Bütçesi_2024'!L80/1000</f>
        <v>0</v>
      </c>
      <c r="N238" s="1068">
        <f>+'Yatırım Bütçesi_2024'!M80/1000</f>
        <v>0</v>
      </c>
      <c r="O238" s="1069">
        <f>+'Yatırım Bütçesi_2024'!N80/1000</f>
        <v>0</v>
      </c>
      <c r="P238" s="1070">
        <f>SUM(D238:O238)</f>
        <v>0</v>
      </c>
      <c r="R238" s="1481">
        <v>0</v>
      </c>
      <c r="S238" s="1057">
        <v>0</v>
      </c>
      <c r="T238" s="1057">
        <v>0</v>
      </c>
      <c r="U238" s="1057">
        <v>1893.75</v>
      </c>
      <c r="V238" s="1057">
        <v>962.5</v>
      </c>
      <c r="W238" s="1057">
        <v>1243.75</v>
      </c>
      <c r="X238" s="1057">
        <v>1537.5</v>
      </c>
    </row>
    <row r="239" spans="2:24" s="1057" customFormat="1" ht="23.25" customHeight="1" thickBot="1">
      <c r="B239" s="1787"/>
      <c r="C239" s="1485" t="s">
        <v>37</v>
      </c>
      <c r="D239" s="1079">
        <f>SUM(D237:D238)</f>
        <v>0</v>
      </c>
      <c r="E239" s="1080">
        <f t="shared" ref="E239:O239" si="87">SUM(E237:E238)</f>
        <v>0</v>
      </c>
      <c r="F239" s="1080">
        <f t="shared" si="87"/>
        <v>0</v>
      </c>
      <c r="G239" s="1080">
        <f t="shared" si="87"/>
        <v>0</v>
      </c>
      <c r="H239" s="1080">
        <f t="shared" si="87"/>
        <v>0</v>
      </c>
      <c r="I239" s="1080">
        <f t="shared" si="87"/>
        <v>0</v>
      </c>
      <c r="J239" s="1080">
        <f t="shared" si="87"/>
        <v>0</v>
      </c>
      <c r="K239" s="1080">
        <f t="shared" si="87"/>
        <v>0</v>
      </c>
      <c r="L239" s="1080">
        <f t="shared" si="87"/>
        <v>0</v>
      </c>
      <c r="M239" s="1080">
        <f t="shared" si="87"/>
        <v>0</v>
      </c>
      <c r="N239" s="1080">
        <f t="shared" si="87"/>
        <v>0</v>
      </c>
      <c r="O239" s="1081">
        <f t="shared" si="87"/>
        <v>0</v>
      </c>
      <c r="P239" s="1488">
        <f>SUM(P237:P238)</f>
        <v>0</v>
      </c>
      <c r="R239" s="1481"/>
    </row>
    <row r="240" spans="2:24" s="1057" customFormat="1" ht="15.6">
      <c r="B240" s="1486"/>
      <c r="C240" s="1486"/>
      <c r="D240" s="1071"/>
      <c r="E240" s="1071"/>
      <c r="F240" s="1071"/>
      <c r="G240" s="1071"/>
      <c r="H240" s="1071"/>
      <c r="I240" s="1071"/>
      <c r="J240" s="1071"/>
      <c r="K240" s="1071"/>
      <c r="L240" s="1071"/>
      <c r="M240" s="1071"/>
      <c r="N240" s="1071"/>
      <c r="O240" s="1071"/>
      <c r="P240" s="1072"/>
      <c r="R240" s="1487"/>
    </row>
    <row r="241" spans="1:18" s="1057" customFormat="1" ht="16.2" thickBot="1">
      <c r="D241" s="1082"/>
      <c r="E241" s="1082"/>
      <c r="F241" s="1082"/>
      <c r="G241" s="1082"/>
      <c r="H241" s="1082"/>
      <c r="I241" s="1082"/>
      <c r="J241" s="1082"/>
      <c r="K241" s="1082"/>
      <c r="L241" s="1082"/>
      <c r="M241" s="1082"/>
      <c r="N241" s="1082"/>
      <c r="O241" s="1082"/>
      <c r="P241" s="1083"/>
      <c r="R241" s="1481"/>
    </row>
    <row r="242" spans="1:18" s="1057" customFormat="1" ht="26.25" customHeight="1" thickBot="1">
      <c r="C242" s="1788"/>
      <c r="D242" s="2336" t="s">
        <v>339</v>
      </c>
      <c r="E242" s="2337"/>
      <c r="F242" s="2337"/>
      <c r="G242" s="2337"/>
      <c r="H242" s="2337"/>
      <c r="I242" s="2337"/>
      <c r="J242" s="2337"/>
      <c r="K242" s="2337"/>
      <c r="L242" s="2337"/>
      <c r="M242" s="2337"/>
      <c r="N242" s="2337"/>
      <c r="O242" s="2337"/>
      <c r="P242" s="2338"/>
      <c r="R242" s="1481"/>
    </row>
    <row r="243" spans="1:18" s="1057" customFormat="1" ht="16.2" thickBot="1">
      <c r="C243" s="1789"/>
      <c r="D243" s="1073" t="s">
        <v>328</v>
      </c>
      <c r="E243" s="1074" t="s">
        <v>2</v>
      </c>
      <c r="F243" s="1074" t="s">
        <v>3</v>
      </c>
      <c r="G243" s="1074" t="s">
        <v>4</v>
      </c>
      <c r="H243" s="1074" t="s">
        <v>5</v>
      </c>
      <c r="I243" s="1074" t="s">
        <v>6</v>
      </c>
      <c r="J243" s="1074" t="s">
        <v>7</v>
      </c>
      <c r="K243" s="1074" t="s">
        <v>8</v>
      </c>
      <c r="L243" s="1074" t="s">
        <v>9</v>
      </c>
      <c r="M243" s="1074" t="s">
        <v>10</v>
      </c>
      <c r="N243" s="1074" t="s">
        <v>11</v>
      </c>
      <c r="O243" s="1075" t="s">
        <v>12</v>
      </c>
      <c r="P243" s="1061" t="s">
        <v>13</v>
      </c>
      <c r="R243" s="1481"/>
    </row>
    <row r="244" spans="1:18" s="1057" customFormat="1" ht="21.9" customHeight="1">
      <c r="B244" s="1782"/>
      <c r="C244" s="1790" t="s">
        <v>329</v>
      </c>
      <c r="D244" s="1076">
        <f>+D226+D235</f>
        <v>0</v>
      </c>
      <c r="E244" s="1077">
        <f t="shared" ref="E244:O244" si="88">+E226+E235</f>
        <v>0</v>
      </c>
      <c r="F244" s="1077">
        <f t="shared" si="88"/>
        <v>0</v>
      </c>
      <c r="G244" s="1077">
        <f t="shared" si="88"/>
        <v>0</v>
      </c>
      <c r="H244" s="1077">
        <f t="shared" si="88"/>
        <v>0</v>
      </c>
      <c r="I244" s="1077">
        <f t="shared" si="88"/>
        <v>0</v>
      </c>
      <c r="J244" s="1077">
        <f t="shared" si="88"/>
        <v>0</v>
      </c>
      <c r="K244" s="1077">
        <f t="shared" si="88"/>
        <v>0</v>
      </c>
      <c r="L244" s="1077">
        <f t="shared" si="88"/>
        <v>0</v>
      </c>
      <c r="M244" s="1077">
        <f t="shared" si="88"/>
        <v>0</v>
      </c>
      <c r="N244" s="1077">
        <f t="shared" si="88"/>
        <v>0</v>
      </c>
      <c r="O244" s="1078">
        <f t="shared" si="88"/>
        <v>0</v>
      </c>
      <c r="P244" s="1062">
        <f>SUM(D244:O244)</f>
        <v>0</v>
      </c>
      <c r="R244" s="1481"/>
    </row>
    <row r="245" spans="1:18" s="1057" customFormat="1" ht="21.9" customHeight="1">
      <c r="B245" s="1782"/>
      <c r="C245" s="1483" t="s">
        <v>239</v>
      </c>
      <c r="D245" s="1063">
        <f>+D227+D236</f>
        <v>0</v>
      </c>
      <c r="E245" s="1064">
        <f t="shared" ref="E245:O245" si="89">+E227+E236</f>
        <v>0</v>
      </c>
      <c r="F245" s="1064">
        <f t="shared" si="89"/>
        <v>0</v>
      </c>
      <c r="G245" s="1064">
        <f t="shared" si="89"/>
        <v>0</v>
      </c>
      <c r="H245" s="1064">
        <f t="shared" si="89"/>
        <v>0</v>
      </c>
      <c r="I245" s="1064">
        <f t="shared" si="89"/>
        <v>0</v>
      </c>
      <c r="J245" s="1064">
        <f t="shared" si="89"/>
        <v>0</v>
      </c>
      <c r="K245" s="1064">
        <f t="shared" si="89"/>
        <v>0</v>
      </c>
      <c r="L245" s="1064">
        <f t="shared" si="89"/>
        <v>0</v>
      </c>
      <c r="M245" s="1064">
        <f t="shared" si="89"/>
        <v>0</v>
      </c>
      <c r="N245" s="1064">
        <f t="shared" si="89"/>
        <v>0</v>
      </c>
      <c r="O245" s="1065">
        <f t="shared" si="89"/>
        <v>0</v>
      </c>
      <c r="P245" s="1066">
        <f t="shared" ref="P245:P246" si="90">SUM(D245:O245)</f>
        <v>0</v>
      </c>
      <c r="R245" s="1481"/>
    </row>
    <row r="246" spans="1:18" s="1057" customFormat="1" ht="21.9" customHeight="1">
      <c r="B246" s="1782"/>
      <c r="C246" s="1483" t="s">
        <v>13</v>
      </c>
      <c r="D246" s="1063">
        <f>SUM(D244:D245)</f>
        <v>0</v>
      </c>
      <c r="E246" s="1064">
        <f t="shared" ref="E246:O246" si="91">SUM(E244:E245)</f>
        <v>0</v>
      </c>
      <c r="F246" s="1064">
        <f t="shared" si="91"/>
        <v>0</v>
      </c>
      <c r="G246" s="1064">
        <f t="shared" si="91"/>
        <v>0</v>
      </c>
      <c r="H246" s="1064">
        <f t="shared" si="91"/>
        <v>0</v>
      </c>
      <c r="I246" s="1064">
        <f t="shared" si="91"/>
        <v>0</v>
      </c>
      <c r="J246" s="1064">
        <f t="shared" si="91"/>
        <v>0</v>
      </c>
      <c r="K246" s="1064">
        <f t="shared" si="91"/>
        <v>0</v>
      </c>
      <c r="L246" s="1064">
        <f t="shared" si="91"/>
        <v>0</v>
      </c>
      <c r="M246" s="1064">
        <f t="shared" si="91"/>
        <v>0</v>
      </c>
      <c r="N246" s="1064">
        <f t="shared" si="91"/>
        <v>0</v>
      </c>
      <c r="O246" s="1065">
        <f t="shared" si="91"/>
        <v>0</v>
      </c>
      <c r="P246" s="1066">
        <f t="shared" si="90"/>
        <v>0</v>
      </c>
      <c r="R246" s="1481"/>
    </row>
    <row r="247" spans="1:18" s="1057" customFormat="1" ht="21.9" customHeight="1" thickBot="1">
      <c r="B247" s="1782"/>
      <c r="C247" s="1484" t="s">
        <v>263</v>
      </c>
      <c r="D247" s="1067">
        <f>+D229+D238</f>
        <v>0</v>
      </c>
      <c r="E247" s="1068">
        <f t="shared" ref="E247:O247" si="92">+E229+E238</f>
        <v>0</v>
      </c>
      <c r="F247" s="1068">
        <f t="shared" si="92"/>
        <v>0</v>
      </c>
      <c r="G247" s="1068">
        <f t="shared" si="92"/>
        <v>0</v>
      </c>
      <c r="H247" s="1068">
        <f t="shared" si="92"/>
        <v>0</v>
      </c>
      <c r="I247" s="1068">
        <f t="shared" si="92"/>
        <v>0</v>
      </c>
      <c r="J247" s="1068">
        <f t="shared" si="92"/>
        <v>0</v>
      </c>
      <c r="K247" s="1068">
        <f t="shared" si="92"/>
        <v>0</v>
      </c>
      <c r="L247" s="1068">
        <f t="shared" si="92"/>
        <v>0</v>
      </c>
      <c r="M247" s="1068">
        <f t="shared" si="92"/>
        <v>0</v>
      </c>
      <c r="N247" s="1068">
        <f t="shared" si="92"/>
        <v>0</v>
      </c>
      <c r="O247" s="1069">
        <f t="shared" si="92"/>
        <v>0</v>
      </c>
      <c r="P247" s="1070">
        <f>SUM(D247:O247)</f>
        <v>0</v>
      </c>
      <c r="R247" s="1481"/>
    </row>
    <row r="248" spans="1:18" s="1057" customFormat="1" ht="16.2" thickBot="1">
      <c r="B248" s="1787"/>
      <c r="C248" s="1485" t="s">
        <v>37</v>
      </c>
      <c r="D248" s="1079">
        <f>SUM(D246:D247)</f>
        <v>0</v>
      </c>
      <c r="E248" s="1080">
        <f t="shared" ref="E248:P248" si="93">SUM(E246:E247)</f>
        <v>0</v>
      </c>
      <c r="F248" s="1080">
        <f t="shared" si="93"/>
        <v>0</v>
      </c>
      <c r="G248" s="1080">
        <f t="shared" si="93"/>
        <v>0</v>
      </c>
      <c r="H248" s="1080">
        <f t="shared" si="93"/>
        <v>0</v>
      </c>
      <c r="I248" s="1080">
        <f t="shared" si="93"/>
        <v>0</v>
      </c>
      <c r="J248" s="1080">
        <f t="shared" si="93"/>
        <v>0</v>
      </c>
      <c r="K248" s="1080">
        <f t="shared" si="93"/>
        <v>0</v>
      </c>
      <c r="L248" s="1080">
        <f t="shared" si="93"/>
        <v>0</v>
      </c>
      <c r="M248" s="1080">
        <f t="shared" si="93"/>
        <v>0</v>
      </c>
      <c r="N248" s="1080">
        <f t="shared" si="93"/>
        <v>0</v>
      </c>
      <c r="O248" s="1081">
        <f t="shared" si="93"/>
        <v>0</v>
      </c>
      <c r="P248" s="2170">
        <f t="shared" si="93"/>
        <v>0</v>
      </c>
      <c r="R248" s="1481"/>
    </row>
    <row r="249" spans="1:18" s="1057" customFormat="1" ht="15.6">
      <c r="B249" s="1486"/>
      <c r="C249" s="1486"/>
      <c r="D249" s="1071"/>
      <c r="E249" s="1071"/>
      <c r="F249" s="1071"/>
      <c r="G249" s="1071"/>
      <c r="H249" s="1071"/>
      <c r="I249" s="1071"/>
      <c r="J249" s="1071"/>
      <c r="K249" s="1071"/>
      <c r="L249" s="1071"/>
      <c r="M249" s="1071"/>
      <c r="N249" s="1071"/>
      <c r="O249" s="1071"/>
      <c r="P249" s="1072"/>
      <c r="R249" s="1487"/>
    </row>
    <row r="250" spans="1:18" s="1057" customFormat="1" ht="15.6">
      <c r="A250" s="1489"/>
      <c r="B250" s="1490"/>
      <c r="C250" s="1490"/>
      <c r="D250" s="1084"/>
      <c r="E250" s="1084"/>
      <c r="F250" s="1084"/>
      <c r="G250" s="1084"/>
      <c r="H250" s="1084"/>
      <c r="I250" s="1084"/>
      <c r="J250" s="1084"/>
      <c r="K250" s="1084"/>
      <c r="L250" s="1084"/>
      <c r="M250" s="1084"/>
      <c r="N250" s="1084"/>
      <c r="O250" s="1084"/>
      <c r="P250" s="1085"/>
      <c r="R250" s="1487"/>
    </row>
    <row r="251" spans="1:18" s="1057" customFormat="1" ht="15.6">
      <c r="A251" s="1489"/>
      <c r="B251" s="1490"/>
      <c r="C251" s="1490"/>
      <c r="D251" s="1084"/>
      <c r="E251" s="1084"/>
      <c r="F251" s="1084"/>
      <c r="G251" s="1084"/>
      <c r="H251" s="1084"/>
      <c r="I251" s="1084"/>
      <c r="J251" s="1084"/>
      <c r="K251" s="1084"/>
      <c r="L251" s="1084"/>
      <c r="M251" s="1084"/>
      <c r="N251" s="1084"/>
      <c r="O251" s="1084"/>
      <c r="P251" s="1085"/>
      <c r="R251" s="1487"/>
    </row>
    <row r="252" spans="1:18" s="1057" customFormat="1" ht="16.2" thickBot="1">
      <c r="A252" s="1489"/>
      <c r="B252" s="1490"/>
      <c r="C252" s="1490"/>
      <c r="D252" s="1084"/>
      <c r="E252" s="1084"/>
      <c r="F252" s="1084"/>
      <c r="G252" s="1084"/>
      <c r="H252" s="1084"/>
      <c r="I252" s="1084"/>
      <c r="J252" s="1084"/>
      <c r="K252" s="1084"/>
      <c r="L252" s="1084"/>
      <c r="M252" s="1084"/>
      <c r="N252" s="1084"/>
      <c r="O252" s="1084"/>
      <c r="P252" s="1085"/>
      <c r="R252" s="1487"/>
    </row>
    <row r="253" spans="1:18" s="1057" customFormat="1" ht="16.2" thickBot="1">
      <c r="B253" s="2343"/>
      <c r="C253" s="2334" t="s">
        <v>494</v>
      </c>
      <c r="D253" s="2336" t="s">
        <v>332</v>
      </c>
      <c r="E253" s="2337"/>
      <c r="F253" s="2337"/>
      <c r="G253" s="2337"/>
      <c r="H253" s="2337"/>
      <c r="I253" s="2337"/>
      <c r="J253" s="2337"/>
      <c r="K253" s="2337"/>
      <c r="L253" s="2337"/>
      <c r="M253" s="2337"/>
      <c r="N253" s="2337"/>
      <c r="O253" s="2337"/>
      <c r="P253" s="2338"/>
      <c r="R253" s="1481"/>
    </row>
    <row r="254" spans="1:18" s="1057" customFormat="1" ht="16.2" thickBot="1">
      <c r="B254" s="2343"/>
      <c r="C254" s="2335"/>
      <c r="D254" s="1086" t="s">
        <v>328</v>
      </c>
      <c r="E254" s="1087" t="s">
        <v>2</v>
      </c>
      <c r="F254" s="1087" t="s">
        <v>3</v>
      </c>
      <c r="G254" s="1087" t="s">
        <v>4</v>
      </c>
      <c r="H254" s="1087" t="s">
        <v>5</v>
      </c>
      <c r="I254" s="1087" t="s">
        <v>6</v>
      </c>
      <c r="J254" s="1087" t="s">
        <v>7</v>
      </c>
      <c r="K254" s="1087" t="s">
        <v>8</v>
      </c>
      <c r="L254" s="1087" t="s">
        <v>9</v>
      </c>
      <c r="M254" s="1087" t="s">
        <v>10</v>
      </c>
      <c r="N254" s="1087" t="s">
        <v>11</v>
      </c>
      <c r="O254" s="1088" t="s">
        <v>12</v>
      </c>
      <c r="P254" s="1061" t="s">
        <v>13</v>
      </c>
      <c r="R254" s="1481"/>
    </row>
    <row r="255" spans="1:18" s="1057" customFormat="1" ht="21.9" customHeight="1">
      <c r="B255" s="1783"/>
      <c r="C255" s="1491" t="s">
        <v>159</v>
      </c>
      <c r="D255" s="1492">
        <f>+'Yatırım Bütçesi_2024'!C27</f>
        <v>0</v>
      </c>
      <c r="E255" s="1493">
        <f>+'Yatırım Bütçesi_2024'!D27</f>
        <v>0</v>
      </c>
      <c r="F255" s="1493">
        <f>+'Yatırım Bütçesi_2024'!E27</f>
        <v>0</v>
      </c>
      <c r="G255" s="1493">
        <f>+'Yatırım Bütçesi_2024'!F27</f>
        <v>0</v>
      </c>
      <c r="H255" s="1493">
        <f>+'Yatırım Bütçesi_2024'!G27</f>
        <v>0</v>
      </c>
      <c r="I255" s="1493">
        <f>+'Yatırım Bütçesi_2024'!H27</f>
        <v>0</v>
      </c>
      <c r="J255" s="1493">
        <f>+'Yatırım Bütçesi_2024'!I27</f>
        <v>0</v>
      </c>
      <c r="K255" s="1493">
        <f>+'Yatırım Bütçesi_2024'!J27</f>
        <v>0</v>
      </c>
      <c r="L255" s="1493">
        <f>+'Yatırım Bütçesi_2024'!K27</f>
        <v>0</v>
      </c>
      <c r="M255" s="1493">
        <f>+'Yatırım Bütçesi_2024'!L27</f>
        <v>0</v>
      </c>
      <c r="N255" s="1493">
        <f>+'Yatırım Bütçesi_2024'!M27</f>
        <v>0</v>
      </c>
      <c r="O255" s="1494">
        <f>+'Yatırım Bütçesi_2024'!N27</f>
        <v>0</v>
      </c>
      <c r="P255" s="1495">
        <f>SUM(D255:O255)</f>
        <v>0</v>
      </c>
      <c r="R255" s="1481"/>
    </row>
    <row r="256" spans="1:18" s="1057" customFormat="1" ht="21.9" customHeight="1">
      <c r="B256" s="1783"/>
      <c r="C256" s="1496" t="s">
        <v>90</v>
      </c>
      <c r="D256" s="1497">
        <f>+'Yatırım Bütçesi_2024'!C28</f>
        <v>0</v>
      </c>
      <c r="E256" s="1498">
        <f>+'Yatırım Bütçesi_2024'!D28</f>
        <v>0</v>
      </c>
      <c r="F256" s="1498">
        <f>+'Yatırım Bütçesi_2024'!E28</f>
        <v>0</v>
      </c>
      <c r="G256" s="1498">
        <f>+'Yatırım Bütçesi_2024'!F28</f>
        <v>0</v>
      </c>
      <c r="H256" s="1498">
        <f>+'Yatırım Bütçesi_2024'!G28</f>
        <v>0</v>
      </c>
      <c r="I256" s="1498">
        <f>+'Yatırım Bütçesi_2024'!H28</f>
        <v>0</v>
      </c>
      <c r="J256" s="1498">
        <f>+'Yatırım Bütçesi_2024'!I28</f>
        <v>0</v>
      </c>
      <c r="K256" s="1498">
        <f>+'Yatırım Bütçesi_2024'!J28</f>
        <v>0</v>
      </c>
      <c r="L256" s="1498">
        <f>+'Yatırım Bütçesi_2024'!K28</f>
        <v>0</v>
      </c>
      <c r="M256" s="1498">
        <f>+'Yatırım Bütçesi_2024'!L28</f>
        <v>0</v>
      </c>
      <c r="N256" s="1498">
        <f>+'Yatırım Bütçesi_2024'!M28</f>
        <v>0</v>
      </c>
      <c r="O256" s="1499">
        <f>+'Yatırım Bütçesi_2024'!N28</f>
        <v>0</v>
      </c>
      <c r="P256" s="1500">
        <f t="shared" ref="P256:P268" si="94">SUM(D256:O256)</f>
        <v>0</v>
      </c>
      <c r="R256" s="1481"/>
    </row>
    <row r="257" spans="1:18" s="1057" customFormat="1" ht="21.9" customHeight="1">
      <c r="B257" s="1783"/>
      <c r="C257" s="1496" t="s">
        <v>91</v>
      </c>
      <c r="D257" s="1497">
        <f>+'Yatırım Bütçesi_2024'!C29</f>
        <v>0</v>
      </c>
      <c r="E257" s="1498">
        <f>+'Yatırım Bütçesi_2024'!D29</f>
        <v>0</v>
      </c>
      <c r="F257" s="1498">
        <f>+'Yatırım Bütçesi_2024'!E29</f>
        <v>0</v>
      </c>
      <c r="G257" s="1498">
        <f>+'Yatırım Bütçesi_2024'!F29</f>
        <v>0</v>
      </c>
      <c r="H257" s="1498">
        <f>+'Yatırım Bütçesi_2024'!G29</f>
        <v>0</v>
      </c>
      <c r="I257" s="1498">
        <f>+'Yatırım Bütçesi_2024'!H29</f>
        <v>0</v>
      </c>
      <c r="J257" s="1498">
        <f>+'Yatırım Bütçesi_2024'!I29</f>
        <v>0</v>
      </c>
      <c r="K257" s="1498">
        <f>+'Yatırım Bütçesi_2024'!J29</f>
        <v>0</v>
      </c>
      <c r="L257" s="1498">
        <f>+'Yatırım Bütçesi_2024'!K29</f>
        <v>0</v>
      </c>
      <c r="M257" s="1498">
        <f>+'Yatırım Bütçesi_2024'!L29</f>
        <v>0</v>
      </c>
      <c r="N257" s="1498">
        <f>+'Yatırım Bütçesi_2024'!M29</f>
        <v>0</v>
      </c>
      <c r="O257" s="1499">
        <f>+'Yatırım Bütçesi_2024'!N29</f>
        <v>0</v>
      </c>
      <c r="P257" s="1501">
        <f t="shared" si="94"/>
        <v>0</v>
      </c>
      <c r="R257" s="1481"/>
    </row>
    <row r="258" spans="1:18" s="1057" customFormat="1" ht="21.9" customHeight="1">
      <c r="B258" s="1783"/>
      <c r="C258" s="1496" t="s">
        <v>104</v>
      </c>
      <c r="D258" s="1497">
        <f>+'Yatırım Bütçesi_2024'!C30</f>
        <v>0</v>
      </c>
      <c r="E258" s="1498">
        <f>+'Yatırım Bütçesi_2024'!D30</f>
        <v>0</v>
      </c>
      <c r="F258" s="1498">
        <f>+'Yatırım Bütçesi_2024'!E30</f>
        <v>0</v>
      </c>
      <c r="G258" s="1498">
        <f>+'Yatırım Bütçesi_2024'!F30</f>
        <v>0</v>
      </c>
      <c r="H258" s="1498">
        <f>+'Yatırım Bütçesi_2024'!G30</f>
        <v>0</v>
      </c>
      <c r="I258" s="1498">
        <f>+'Yatırım Bütçesi_2024'!H30</f>
        <v>0</v>
      </c>
      <c r="J258" s="1498">
        <f>+'Yatırım Bütçesi_2024'!I30</f>
        <v>0</v>
      </c>
      <c r="K258" s="1498">
        <f>+'Yatırım Bütçesi_2024'!J30</f>
        <v>0</v>
      </c>
      <c r="L258" s="1498">
        <f>+'Yatırım Bütçesi_2024'!K30</f>
        <v>0</v>
      </c>
      <c r="M258" s="1498">
        <f>+'Yatırım Bütçesi_2024'!L30</f>
        <v>0</v>
      </c>
      <c r="N258" s="1498">
        <f>+'Yatırım Bütçesi_2024'!M30</f>
        <v>0</v>
      </c>
      <c r="O258" s="1499">
        <f>+'Yatırım Bütçesi_2024'!N30</f>
        <v>0</v>
      </c>
      <c r="P258" s="1501">
        <f t="shared" si="94"/>
        <v>0</v>
      </c>
      <c r="R258" s="1481"/>
    </row>
    <row r="259" spans="1:18" s="1057" customFormat="1" ht="21.9" customHeight="1">
      <c r="B259" s="1783"/>
      <c r="C259" s="1496" t="s">
        <v>101</v>
      </c>
      <c r="D259" s="1497">
        <f>+'Yatırım Bütçesi_2024'!C31</f>
        <v>0</v>
      </c>
      <c r="E259" s="1498">
        <f>+'Yatırım Bütçesi_2024'!D31</f>
        <v>0</v>
      </c>
      <c r="F259" s="1498">
        <f>+'Yatırım Bütçesi_2024'!E31</f>
        <v>0</v>
      </c>
      <c r="G259" s="1498">
        <f>+'Yatırım Bütçesi_2024'!F31</f>
        <v>0</v>
      </c>
      <c r="H259" s="1498">
        <f>+'Yatırım Bütçesi_2024'!G31</f>
        <v>0</v>
      </c>
      <c r="I259" s="1498">
        <f>+'Yatırım Bütçesi_2024'!H31</f>
        <v>0</v>
      </c>
      <c r="J259" s="1498">
        <f>+'Yatırım Bütçesi_2024'!I31</f>
        <v>0</v>
      </c>
      <c r="K259" s="1498">
        <f>+'Yatırım Bütçesi_2024'!J31</f>
        <v>0</v>
      </c>
      <c r="L259" s="1498">
        <f>+'Yatırım Bütçesi_2024'!K31</f>
        <v>0</v>
      </c>
      <c r="M259" s="1498">
        <f>+'Yatırım Bütçesi_2024'!L31</f>
        <v>0</v>
      </c>
      <c r="N259" s="1498">
        <f>+'Yatırım Bütçesi_2024'!M31</f>
        <v>0</v>
      </c>
      <c r="O259" s="1499">
        <f>+'Yatırım Bütçesi_2024'!N31</f>
        <v>0</v>
      </c>
      <c r="P259" s="1501">
        <f t="shared" si="94"/>
        <v>0</v>
      </c>
      <c r="R259" s="1481"/>
    </row>
    <row r="260" spans="1:18" s="1057" customFormat="1" ht="21.9" customHeight="1">
      <c r="B260" s="1783"/>
      <c r="C260" s="1496" t="s">
        <v>486</v>
      </c>
      <c r="D260" s="1497">
        <f>+'Yatırım Bütçesi_2024'!C32</f>
        <v>0</v>
      </c>
      <c r="E260" s="1498">
        <f>+'Yatırım Bütçesi_2024'!D32</f>
        <v>0</v>
      </c>
      <c r="F260" s="1498">
        <f>+'Yatırım Bütçesi_2024'!E32</f>
        <v>0</v>
      </c>
      <c r="G260" s="1498">
        <f>+'Yatırım Bütçesi_2024'!F32</f>
        <v>0</v>
      </c>
      <c r="H260" s="1498">
        <f>+'Yatırım Bütçesi_2024'!G32</f>
        <v>0</v>
      </c>
      <c r="I260" s="1498">
        <f>+'Yatırım Bütçesi_2024'!H32</f>
        <v>0</v>
      </c>
      <c r="J260" s="1498">
        <f>+'Yatırım Bütçesi_2024'!I32</f>
        <v>0</v>
      </c>
      <c r="K260" s="1498">
        <f>+'Yatırım Bütçesi_2024'!J32</f>
        <v>0</v>
      </c>
      <c r="L260" s="1498">
        <f>+'Yatırım Bütçesi_2024'!K32</f>
        <v>0</v>
      </c>
      <c r="M260" s="1498">
        <f>+'Yatırım Bütçesi_2024'!L32</f>
        <v>0</v>
      </c>
      <c r="N260" s="1498">
        <f>+'Yatırım Bütçesi_2024'!M32</f>
        <v>0</v>
      </c>
      <c r="O260" s="1499">
        <f>+'Yatırım Bütçesi_2024'!N32</f>
        <v>0</v>
      </c>
      <c r="P260" s="1501">
        <f t="shared" si="94"/>
        <v>0</v>
      </c>
      <c r="R260" s="1481"/>
    </row>
    <row r="261" spans="1:18" s="1057" customFormat="1" ht="21.9" customHeight="1">
      <c r="B261" s="1783"/>
      <c r="C261" s="1496" t="s">
        <v>96</v>
      </c>
      <c r="D261" s="1497">
        <f>+'Yatırım Bütçesi_2024'!C33</f>
        <v>0</v>
      </c>
      <c r="E261" s="1498">
        <f>+'Yatırım Bütçesi_2024'!D33</f>
        <v>0</v>
      </c>
      <c r="F261" s="1498">
        <f>+'Yatırım Bütçesi_2024'!E33</f>
        <v>0</v>
      </c>
      <c r="G261" s="1498">
        <f>+'Yatırım Bütçesi_2024'!F33</f>
        <v>0</v>
      </c>
      <c r="H261" s="1498">
        <f>+'Yatırım Bütçesi_2024'!G33</f>
        <v>0</v>
      </c>
      <c r="I261" s="1498">
        <f>+'Yatırım Bütçesi_2024'!H33</f>
        <v>0</v>
      </c>
      <c r="J261" s="1498">
        <f>+'Yatırım Bütçesi_2024'!I33</f>
        <v>0</v>
      </c>
      <c r="K261" s="1498">
        <f>+'Yatırım Bütçesi_2024'!J33</f>
        <v>0</v>
      </c>
      <c r="L261" s="1498">
        <f>+'Yatırım Bütçesi_2024'!K33</f>
        <v>0</v>
      </c>
      <c r="M261" s="1498">
        <f>+'Yatırım Bütçesi_2024'!L33</f>
        <v>0</v>
      </c>
      <c r="N261" s="1498">
        <f>+'Yatırım Bütçesi_2024'!M33</f>
        <v>0</v>
      </c>
      <c r="O261" s="1499">
        <f>+'Yatırım Bütçesi_2024'!N33</f>
        <v>0</v>
      </c>
      <c r="P261" s="1501">
        <f t="shared" si="94"/>
        <v>0</v>
      </c>
      <c r="R261" s="1481"/>
    </row>
    <row r="262" spans="1:18" s="1057" customFormat="1" ht="21.9" customHeight="1">
      <c r="B262" s="1783"/>
      <c r="C262" s="1496" t="s">
        <v>585</v>
      </c>
      <c r="D262" s="1497">
        <f>+'Yatırım Bütçesi_2024'!C34</f>
        <v>0</v>
      </c>
      <c r="E262" s="1498">
        <f>+'Yatırım Bütçesi_2024'!D34</f>
        <v>0</v>
      </c>
      <c r="F262" s="1498">
        <f>+'Yatırım Bütçesi_2024'!E34</f>
        <v>0</v>
      </c>
      <c r="G262" s="1498">
        <f>+'Yatırım Bütçesi_2024'!F34</f>
        <v>0</v>
      </c>
      <c r="H262" s="1498">
        <f>+'Yatırım Bütçesi_2024'!G34</f>
        <v>0</v>
      </c>
      <c r="I262" s="1498">
        <f>+'Yatırım Bütçesi_2024'!H34</f>
        <v>0</v>
      </c>
      <c r="J262" s="1498">
        <f>+'Yatırım Bütçesi_2024'!I34</f>
        <v>0</v>
      </c>
      <c r="K262" s="1498">
        <f>+'Yatırım Bütçesi_2024'!J34</f>
        <v>0</v>
      </c>
      <c r="L262" s="1498">
        <f>+'Yatırım Bütçesi_2024'!K34</f>
        <v>0</v>
      </c>
      <c r="M262" s="1498">
        <f>+'Yatırım Bütçesi_2024'!L34</f>
        <v>0</v>
      </c>
      <c r="N262" s="1498">
        <f>+'Yatırım Bütçesi_2024'!M34</f>
        <v>0</v>
      </c>
      <c r="O262" s="1499">
        <f>+'Yatırım Bütçesi_2024'!N34</f>
        <v>0</v>
      </c>
      <c r="P262" s="1501">
        <f t="shared" si="94"/>
        <v>0</v>
      </c>
      <c r="R262" s="1481"/>
    </row>
    <row r="263" spans="1:18" s="1057" customFormat="1" ht="21.9" customHeight="1">
      <c r="B263" s="1783"/>
      <c r="C263" s="1496" t="s">
        <v>561</v>
      </c>
      <c r="D263" s="1497">
        <f>+'Yatırım Bütçesi_2024'!C35</f>
        <v>0</v>
      </c>
      <c r="E263" s="1497">
        <f>+'Yatırım Bütçesi_2024'!D35</f>
        <v>0</v>
      </c>
      <c r="F263" s="1497">
        <f>+'Yatırım Bütçesi_2024'!E35</f>
        <v>0</v>
      </c>
      <c r="G263" s="1497">
        <f>+'Yatırım Bütçesi_2024'!F35</f>
        <v>0</v>
      </c>
      <c r="H263" s="1497">
        <f>+'Yatırım Bütçesi_2024'!G35</f>
        <v>0</v>
      </c>
      <c r="I263" s="1497">
        <f>+'Yatırım Bütçesi_2024'!H35</f>
        <v>0</v>
      </c>
      <c r="J263" s="1497">
        <f>+'Yatırım Bütçesi_2024'!I35</f>
        <v>0</v>
      </c>
      <c r="K263" s="1497">
        <f>+'Yatırım Bütçesi_2024'!J35</f>
        <v>0</v>
      </c>
      <c r="L263" s="1497">
        <f>+'Yatırım Bütçesi_2024'!K35</f>
        <v>0</v>
      </c>
      <c r="M263" s="1497">
        <f>+'Yatırım Bütçesi_2024'!L35</f>
        <v>0</v>
      </c>
      <c r="N263" s="1497">
        <f>+'Yatırım Bütçesi_2024'!M35</f>
        <v>0</v>
      </c>
      <c r="O263" s="1497">
        <f>+'Yatırım Bütçesi_2024'!N35</f>
        <v>0</v>
      </c>
      <c r="P263" s="1501">
        <f t="shared" si="94"/>
        <v>0</v>
      </c>
      <c r="R263" s="1481"/>
    </row>
    <row r="264" spans="1:18" s="1057" customFormat="1" ht="21.9" customHeight="1">
      <c r="B264" s="1783"/>
      <c r="C264" s="1496" t="s">
        <v>586</v>
      </c>
      <c r="D264" s="1497">
        <f>+'Yatırım Bütçesi_2024'!C36</f>
        <v>0</v>
      </c>
      <c r="E264" s="1497">
        <f>+'Yatırım Bütçesi_2024'!D36</f>
        <v>0</v>
      </c>
      <c r="F264" s="1497">
        <f>+'Yatırım Bütçesi_2024'!E36</f>
        <v>0</v>
      </c>
      <c r="G264" s="1497">
        <f>+'Yatırım Bütçesi_2024'!F36</f>
        <v>0</v>
      </c>
      <c r="H264" s="1497">
        <f>+'Yatırım Bütçesi_2024'!G36</f>
        <v>0</v>
      </c>
      <c r="I264" s="1497">
        <f>+'Yatırım Bütçesi_2024'!H36</f>
        <v>0</v>
      </c>
      <c r="J264" s="1497">
        <f>+'Yatırım Bütçesi_2024'!I36</f>
        <v>0</v>
      </c>
      <c r="K264" s="1497">
        <f>+'Yatırım Bütçesi_2024'!J36</f>
        <v>0</v>
      </c>
      <c r="L264" s="1497">
        <f>+'Yatırım Bütçesi_2024'!K36</f>
        <v>0</v>
      </c>
      <c r="M264" s="1497">
        <f>+'Yatırım Bütçesi_2024'!L36</f>
        <v>0</v>
      </c>
      <c r="N264" s="1497">
        <f>+'Yatırım Bütçesi_2024'!M36</f>
        <v>0</v>
      </c>
      <c r="O264" s="1497">
        <f>+'Yatırım Bütçesi_2024'!N36</f>
        <v>0</v>
      </c>
      <c r="P264" s="1501">
        <f t="shared" si="94"/>
        <v>0</v>
      </c>
      <c r="R264" s="1481"/>
    </row>
    <row r="265" spans="1:18" s="1057" customFormat="1" ht="21.9" customHeight="1">
      <c r="B265" s="1783"/>
      <c r="C265" s="1496" t="s">
        <v>100</v>
      </c>
      <c r="D265" s="1497">
        <f>+'Yatırım Bütçesi_2024'!C37</f>
        <v>0</v>
      </c>
      <c r="E265" s="1497">
        <f>+'Yatırım Bütçesi_2024'!D37</f>
        <v>0</v>
      </c>
      <c r="F265" s="1497">
        <f>+'Yatırım Bütçesi_2024'!E37</f>
        <v>0</v>
      </c>
      <c r="G265" s="1497">
        <f>+'Yatırım Bütçesi_2024'!F37</f>
        <v>0</v>
      </c>
      <c r="H265" s="1497">
        <f>+'Yatırım Bütçesi_2024'!G37</f>
        <v>0</v>
      </c>
      <c r="I265" s="1497">
        <f>+'Yatırım Bütçesi_2024'!H37</f>
        <v>0</v>
      </c>
      <c r="J265" s="1497">
        <f>+'Yatırım Bütçesi_2024'!I37</f>
        <v>0</v>
      </c>
      <c r="K265" s="1497">
        <f>+'Yatırım Bütçesi_2024'!J37</f>
        <v>0</v>
      </c>
      <c r="L265" s="1497">
        <f>+'Yatırım Bütçesi_2024'!K37</f>
        <v>0</v>
      </c>
      <c r="M265" s="1497">
        <f>+'Yatırım Bütçesi_2024'!L37</f>
        <v>0</v>
      </c>
      <c r="N265" s="1497">
        <f>+'Yatırım Bütçesi_2024'!M37</f>
        <v>0</v>
      </c>
      <c r="O265" s="1497">
        <f>+'Yatırım Bütçesi_2024'!N37</f>
        <v>0</v>
      </c>
      <c r="P265" s="1501">
        <f t="shared" si="94"/>
        <v>0</v>
      </c>
      <c r="R265" s="1481"/>
    </row>
    <row r="266" spans="1:18" s="1057" customFormat="1" ht="21.9" customHeight="1">
      <c r="B266" s="1783"/>
      <c r="C266" s="1496" t="s">
        <v>102</v>
      </c>
      <c r="D266" s="1497">
        <f>+'Yatırım Bütçesi_2024'!C38</f>
        <v>0</v>
      </c>
      <c r="E266" s="1497">
        <f>+'Yatırım Bütçesi_2024'!D38</f>
        <v>0</v>
      </c>
      <c r="F266" s="1497">
        <f>+'Yatırım Bütçesi_2024'!E38</f>
        <v>0</v>
      </c>
      <c r="G266" s="1497">
        <f>+'Yatırım Bütçesi_2024'!F38</f>
        <v>0</v>
      </c>
      <c r="H266" s="1497">
        <f>+'Yatırım Bütçesi_2024'!G38</f>
        <v>0</v>
      </c>
      <c r="I266" s="1497">
        <f>+'Yatırım Bütçesi_2024'!H38</f>
        <v>0</v>
      </c>
      <c r="J266" s="1497">
        <f>+'Yatırım Bütçesi_2024'!I38</f>
        <v>0</v>
      </c>
      <c r="K266" s="1497">
        <f>+'Yatırım Bütçesi_2024'!J38</f>
        <v>0</v>
      </c>
      <c r="L266" s="1497">
        <f>+'Yatırım Bütçesi_2024'!K38</f>
        <v>0</v>
      </c>
      <c r="M266" s="1497">
        <f>+'Yatırım Bütçesi_2024'!L38</f>
        <v>0</v>
      </c>
      <c r="N266" s="1497">
        <f>+'Yatırım Bütçesi_2024'!M38</f>
        <v>0</v>
      </c>
      <c r="O266" s="1497">
        <f>+'Yatırım Bütçesi_2024'!N38</f>
        <v>0</v>
      </c>
      <c r="P266" s="1501">
        <f t="shared" si="94"/>
        <v>0</v>
      </c>
      <c r="R266" s="1481"/>
    </row>
    <row r="267" spans="1:18" s="1057" customFormat="1" ht="21.9" customHeight="1">
      <c r="B267" s="1783"/>
      <c r="C267" s="1496" t="s">
        <v>559</v>
      </c>
      <c r="D267" s="1497">
        <f>+'Yatırım Bütçesi_2024'!C39</f>
        <v>0</v>
      </c>
      <c r="E267" s="1497">
        <f>+'Yatırım Bütçesi_2024'!D39</f>
        <v>0</v>
      </c>
      <c r="F267" s="1497">
        <f>+'Yatırım Bütçesi_2024'!E39</f>
        <v>0</v>
      </c>
      <c r="G267" s="1497">
        <f>+'Yatırım Bütçesi_2024'!F39</f>
        <v>0</v>
      </c>
      <c r="H267" s="1497">
        <f>+'Yatırım Bütçesi_2024'!G39</f>
        <v>0</v>
      </c>
      <c r="I267" s="1497">
        <f>+'Yatırım Bütçesi_2024'!H39</f>
        <v>0</v>
      </c>
      <c r="J267" s="1497">
        <f>+'Yatırım Bütçesi_2024'!I39</f>
        <v>0</v>
      </c>
      <c r="K267" s="1497">
        <f>+'Yatırım Bütçesi_2024'!J39</f>
        <v>0</v>
      </c>
      <c r="L267" s="1497">
        <f>+'Yatırım Bütçesi_2024'!K39</f>
        <v>0</v>
      </c>
      <c r="M267" s="1497">
        <f>+'Yatırım Bütçesi_2024'!L39</f>
        <v>0</v>
      </c>
      <c r="N267" s="1497">
        <f>+'Yatırım Bütçesi_2024'!M39</f>
        <v>0</v>
      </c>
      <c r="O267" s="1497">
        <f>+'Yatırım Bütçesi_2024'!N39</f>
        <v>0</v>
      </c>
      <c r="P267" s="1501">
        <f t="shared" si="94"/>
        <v>0</v>
      </c>
      <c r="R267" s="1481"/>
    </row>
    <row r="268" spans="1:18" s="1057" customFormat="1" ht="21.9" customHeight="1" thickBot="1">
      <c r="B268" s="1783"/>
      <c r="C268" s="1502" t="s">
        <v>488</v>
      </c>
      <c r="D268" s="1497">
        <f>+'Yatırım Bütçesi_2024'!C40</f>
        <v>0</v>
      </c>
      <c r="E268" s="1497">
        <f>+'Yatırım Bütçesi_2024'!D40</f>
        <v>0</v>
      </c>
      <c r="F268" s="1497">
        <f>+'Yatırım Bütçesi_2024'!E40</f>
        <v>0</v>
      </c>
      <c r="G268" s="1497">
        <f>+'Yatırım Bütçesi_2024'!F40</f>
        <v>0</v>
      </c>
      <c r="H268" s="1497">
        <f>+'Yatırım Bütçesi_2024'!G40</f>
        <v>0</v>
      </c>
      <c r="I268" s="1497">
        <f>+'Yatırım Bütçesi_2024'!H40</f>
        <v>0</v>
      </c>
      <c r="J268" s="1497">
        <f>+'Yatırım Bütçesi_2024'!I40</f>
        <v>0</v>
      </c>
      <c r="K268" s="1497">
        <f>+'Yatırım Bütçesi_2024'!J40</f>
        <v>0</v>
      </c>
      <c r="L268" s="1497">
        <f>+'Yatırım Bütçesi_2024'!K40</f>
        <v>0</v>
      </c>
      <c r="M268" s="1497">
        <f>+'Yatırım Bütçesi_2024'!L40</f>
        <v>0</v>
      </c>
      <c r="N268" s="1497">
        <f>+'Yatırım Bütçesi_2024'!M40</f>
        <v>0</v>
      </c>
      <c r="O268" s="1497">
        <f>+'Yatırım Bütçesi_2024'!N40</f>
        <v>0</v>
      </c>
      <c r="P268" s="1503">
        <f t="shared" si="94"/>
        <v>0</v>
      </c>
      <c r="R268" s="1481"/>
    </row>
    <row r="269" spans="1:18" s="1089" customFormat="1" ht="23.25" customHeight="1" thickBot="1">
      <c r="B269" s="1785"/>
      <c r="C269" s="1504" t="s">
        <v>37</v>
      </c>
      <c r="D269" s="1505">
        <f t="shared" ref="D269:P269" si="95">SUM(D255:D268)</f>
        <v>0</v>
      </c>
      <c r="E269" s="1506">
        <f t="shared" si="95"/>
        <v>0</v>
      </c>
      <c r="F269" s="1506">
        <f t="shared" si="95"/>
        <v>0</v>
      </c>
      <c r="G269" s="1506">
        <f t="shared" si="95"/>
        <v>0</v>
      </c>
      <c r="H269" s="1506">
        <f t="shared" si="95"/>
        <v>0</v>
      </c>
      <c r="I269" s="1506">
        <f t="shared" si="95"/>
        <v>0</v>
      </c>
      <c r="J269" s="1506">
        <f t="shared" si="95"/>
        <v>0</v>
      </c>
      <c r="K269" s="1506">
        <f t="shared" si="95"/>
        <v>0</v>
      </c>
      <c r="L269" s="1506">
        <f t="shared" si="95"/>
        <v>0</v>
      </c>
      <c r="M269" s="1506">
        <f t="shared" si="95"/>
        <v>0</v>
      </c>
      <c r="N269" s="1506">
        <f t="shared" si="95"/>
        <v>0</v>
      </c>
      <c r="O269" s="1507">
        <f t="shared" si="95"/>
        <v>0</v>
      </c>
      <c r="P269" s="1508">
        <f t="shared" si="95"/>
        <v>0</v>
      </c>
      <c r="R269" s="1509"/>
    </row>
    <row r="270" spans="1:18" s="1057" customFormat="1" ht="16.2" thickBot="1">
      <c r="A270" s="1489"/>
      <c r="B270" s="1490"/>
      <c r="C270" s="1490"/>
      <c r="D270" s="1084"/>
      <c r="E270" s="1084"/>
      <c r="F270" s="1084"/>
      <c r="G270" s="1084"/>
      <c r="H270" s="1084"/>
      <c r="I270" s="1084"/>
      <c r="J270" s="1084"/>
      <c r="K270" s="1084"/>
      <c r="L270" s="1084"/>
      <c r="M270" s="1084"/>
      <c r="N270" s="1084"/>
      <c r="O270" s="1084"/>
      <c r="P270" s="1085"/>
      <c r="R270" s="1487"/>
    </row>
    <row r="271" spans="1:18" s="1057" customFormat="1" ht="16.2" thickBot="1">
      <c r="B271" s="2343"/>
      <c r="C271" s="2334" t="s">
        <v>494</v>
      </c>
      <c r="D271" s="2336" t="s">
        <v>439</v>
      </c>
      <c r="E271" s="2337"/>
      <c r="F271" s="2337"/>
      <c r="G271" s="2337"/>
      <c r="H271" s="2337"/>
      <c r="I271" s="2337"/>
      <c r="J271" s="2337"/>
      <c r="K271" s="2337"/>
      <c r="L271" s="2337"/>
      <c r="M271" s="2337"/>
      <c r="N271" s="2337"/>
      <c r="O271" s="2337"/>
      <c r="P271" s="2338"/>
      <c r="R271" s="1481"/>
    </row>
    <row r="272" spans="1:18" s="1057" customFormat="1" ht="16.2" thickBot="1">
      <c r="B272" s="2343"/>
      <c r="C272" s="2335"/>
      <c r="D272" s="1086" t="s">
        <v>328</v>
      </c>
      <c r="E272" s="1087" t="s">
        <v>2</v>
      </c>
      <c r="F272" s="1087" t="s">
        <v>3</v>
      </c>
      <c r="G272" s="1087" t="s">
        <v>4</v>
      </c>
      <c r="H272" s="1087" t="s">
        <v>5</v>
      </c>
      <c r="I272" s="1087" t="s">
        <v>6</v>
      </c>
      <c r="J272" s="1087" t="s">
        <v>7</v>
      </c>
      <c r="K272" s="1087" t="s">
        <v>8</v>
      </c>
      <c r="L272" s="1087" t="s">
        <v>9</v>
      </c>
      <c r="M272" s="1087" t="s">
        <v>10</v>
      </c>
      <c r="N272" s="1087" t="s">
        <v>11</v>
      </c>
      <c r="O272" s="1088" t="s">
        <v>12</v>
      </c>
      <c r="P272" s="1061" t="s">
        <v>13</v>
      </c>
      <c r="R272" s="1481"/>
    </row>
    <row r="273" spans="2:18" s="1057" customFormat="1" ht="21.9" customHeight="1">
      <c r="B273" s="1783"/>
      <c r="C273" s="1491" t="s">
        <v>159</v>
      </c>
      <c r="D273" s="1510">
        <f>+'Yatırım Bütçesi_2024'!C9</f>
        <v>0</v>
      </c>
      <c r="E273" s="1511">
        <f>+'Yatırım Bütçesi_2024'!D9</f>
        <v>0</v>
      </c>
      <c r="F273" s="1511">
        <f>+'Yatırım Bütçesi_2024'!E9</f>
        <v>0</v>
      </c>
      <c r="G273" s="1511">
        <f>+'Yatırım Bütçesi_2024'!F9</f>
        <v>0</v>
      </c>
      <c r="H273" s="1511">
        <f>+'Yatırım Bütçesi_2024'!G9</f>
        <v>0</v>
      </c>
      <c r="I273" s="1511">
        <f>+'Yatırım Bütçesi_2024'!H9</f>
        <v>0</v>
      </c>
      <c r="J273" s="1511">
        <f>+'Yatırım Bütçesi_2024'!I9</f>
        <v>0</v>
      </c>
      <c r="K273" s="1511">
        <f>+'Yatırım Bütçesi_2024'!J9</f>
        <v>0</v>
      </c>
      <c r="L273" s="1511">
        <f>+'Yatırım Bütçesi_2024'!K9</f>
        <v>0</v>
      </c>
      <c r="M273" s="1511">
        <f>+'Yatırım Bütçesi_2024'!L9</f>
        <v>0</v>
      </c>
      <c r="N273" s="1511">
        <f>+'Yatırım Bütçesi_2024'!M9</f>
        <v>0</v>
      </c>
      <c r="O273" s="1512">
        <f>+'Yatırım Bütçesi_2024'!N9</f>
        <v>0</v>
      </c>
      <c r="P273" s="1513">
        <f>SUM(D273:O273)</f>
        <v>0</v>
      </c>
      <c r="R273" s="1481"/>
    </row>
    <row r="274" spans="2:18" s="1057" customFormat="1" ht="21.9" customHeight="1">
      <c r="B274" s="1783"/>
      <c r="C274" s="1496" t="s">
        <v>90</v>
      </c>
      <c r="D274" s="1514">
        <f>+'Yatırım Bütçesi_2024'!C10</f>
        <v>0</v>
      </c>
      <c r="E274" s="1515">
        <f>+'Yatırım Bütçesi_2024'!D10</f>
        <v>0</v>
      </c>
      <c r="F274" s="1515">
        <f>+'Yatırım Bütçesi_2024'!E10</f>
        <v>0</v>
      </c>
      <c r="G274" s="1515">
        <f>+'Yatırım Bütçesi_2024'!F10</f>
        <v>0</v>
      </c>
      <c r="H274" s="1515">
        <f>+'Yatırım Bütçesi_2024'!G10</f>
        <v>0</v>
      </c>
      <c r="I274" s="1515">
        <f>+'Yatırım Bütçesi_2024'!H10</f>
        <v>0</v>
      </c>
      <c r="J274" s="1515">
        <f>+'Yatırım Bütçesi_2024'!I10</f>
        <v>0</v>
      </c>
      <c r="K274" s="1515">
        <f>+'Yatırım Bütçesi_2024'!J10</f>
        <v>0</v>
      </c>
      <c r="L274" s="1515">
        <f>+'Yatırım Bütçesi_2024'!K10</f>
        <v>0</v>
      </c>
      <c r="M274" s="1515">
        <f>+'Yatırım Bütçesi_2024'!L10</f>
        <v>0</v>
      </c>
      <c r="N274" s="1515">
        <f>+'Yatırım Bütçesi_2024'!M10</f>
        <v>0</v>
      </c>
      <c r="O274" s="1516">
        <f>+'Yatırım Bütçesi_2024'!N10</f>
        <v>0</v>
      </c>
      <c r="P274" s="1517">
        <f t="shared" ref="P274:P285" si="96">SUM(D274:O274)</f>
        <v>0</v>
      </c>
      <c r="R274" s="1481"/>
    </row>
    <row r="275" spans="2:18" s="1057" customFormat="1" ht="21.9" customHeight="1">
      <c r="B275" s="1783"/>
      <c r="C275" s="1496" t="s">
        <v>91</v>
      </c>
      <c r="D275" s="1514">
        <f>+'Yatırım Bütçesi_2024'!C11</f>
        <v>0</v>
      </c>
      <c r="E275" s="1515">
        <f>+'Yatırım Bütçesi_2024'!D11</f>
        <v>0</v>
      </c>
      <c r="F275" s="1515">
        <f>+'Yatırım Bütçesi_2024'!E11</f>
        <v>0</v>
      </c>
      <c r="G275" s="1515">
        <f>+'Yatırım Bütçesi_2024'!F11</f>
        <v>0</v>
      </c>
      <c r="H275" s="1515">
        <f>+'Yatırım Bütçesi_2024'!G11</f>
        <v>0</v>
      </c>
      <c r="I275" s="1515">
        <f>+'Yatırım Bütçesi_2024'!H11</f>
        <v>0</v>
      </c>
      <c r="J275" s="1515">
        <f>+'Yatırım Bütçesi_2024'!I11</f>
        <v>0</v>
      </c>
      <c r="K275" s="1515">
        <f>+'Yatırım Bütçesi_2024'!J11</f>
        <v>0</v>
      </c>
      <c r="L275" s="1515">
        <f>+'Yatırım Bütçesi_2024'!K11</f>
        <v>0</v>
      </c>
      <c r="M275" s="1515">
        <f>+'Yatırım Bütçesi_2024'!L11</f>
        <v>0</v>
      </c>
      <c r="N275" s="1515">
        <f>+'Yatırım Bütçesi_2024'!M11</f>
        <v>0</v>
      </c>
      <c r="O275" s="1516">
        <f>+'Yatırım Bütçesi_2024'!N11</f>
        <v>0</v>
      </c>
      <c r="P275" s="1518">
        <f t="shared" si="96"/>
        <v>0</v>
      </c>
      <c r="R275" s="1481"/>
    </row>
    <row r="276" spans="2:18" s="1057" customFormat="1" ht="21.9" customHeight="1">
      <c r="B276" s="1783"/>
      <c r="C276" s="1496" t="s">
        <v>485</v>
      </c>
      <c r="D276" s="1514">
        <f>+'Yatırım Bütçesi_2024'!C12</f>
        <v>0</v>
      </c>
      <c r="E276" s="1515">
        <f>+'Yatırım Bütçesi_2024'!D12</f>
        <v>0</v>
      </c>
      <c r="F276" s="1515">
        <f>+'Yatırım Bütçesi_2024'!E12</f>
        <v>0</v>
      </c>
      <c r="G276" s="1515">
        <f>+'Yatırım Bütçesi_2024'!F12</f>
        <v>0</v>
      </c>
      <c r="H276" s="1515">
        <f>+'Yatırım Bütçesi_2024'!G12</f>
        <v>0</v>
      </c>
      <c r="I276" s="1515">
        <f>+'Yatırım Bütçesi_2024'!H12</f>
        <v>0</v>
      </c>
      <c r="J276" s="1515">
        <f>+'Yatırım Bütçesi_2024'!I12</f>
        <v>0</v>
      </c>
      <c r="K276" s="1515">
        <f>+'Yatırım Bütçesi_2024'!J12</f>
        <v>0</v>
      </c>
      <c r="L276" s="1515">
        <f>+'Yatırım Bütçesi_2024'!K12</f>
        <v>0</v>
      </c>
      <c r="M276" s="1515">
        <f>+'Yatırım Bütçesi_2024'!L12</f>
        <v>0</v>
      </c>
      <c r="N276" s="1515">
        <f>+'Yatırım Bütçesi_2024'!M12</f>
        <v>0</v>
      </c>
      <c r="O276" s="1516">
        <f>+'Yatırım Bütçesi_2024'!N12</f>
        <v>0</v>
      </c>
      <c r="P276" s="1518">
        <f t="shared" si="96"/>
        <v>0</v>
      </c>
      <c r="R276" s="1481"/>
    </row>
    <row r="277" spans="2:18" s="1057" customFormat="1" ht="21.9" customHeight="1">
      <c r="B277" s="1783"/>
      <c r="C277" s="1496" t="s">
        <v>95</v>
      </c>
      <c r="D277" s="1514">
        <f>+'Yatırım Bütçesi_2024'!C13</f>
        <v>0</v>
      </c>
      <c r="E277" s="1515">
        <f>+'Yatırım Bütçesi_2024'!D13</f>
        <v>0</v>
      </c>
      <c r="F277" s="1515">
        <f>+'Yatırım Bütçesi_2024'!E13</f>
        <v>0</v>
      </c>
      <c r="G277" s="1515">
        <f>+'Yatırım Bütçesi_2024'!F13</f>
        <v>0</v>
      </c>
      <c r="H277" s="1515">
        <f>+'Yatırım Bütçesi_2024'!G13</f>
        <v>0</v>
      </c>
      <c r="I277" s="1515">
        <f>+'Yatırım Bütçesi_2024'!H13</f>
        <v>0</v>
      </c>
      <c r="J277" s="1515">
        <f>+'Yatırım Bütçesi_2024'!I13</f>
        <v>0</v>
      </c>
      <c r="K277" s="1515">
        <f>+'Yatırım Bütçesi_2024'!J13</f>
        <v>0</v>
      </c>
      <c r="L277" s="1515">
        <f>+'Yatırım Bütçesi_2024'!K13</f>
        <v>0</v>
      </c>
      <c r="M277" s="1515">
        <f>+'Yatırım Bütçesi_2024'!L13</f>
        <v>0</v>
      </c>
      <c r="N277" s="1515">
        <f>+'Yatırım Bütçesi_2024'!M13</f>
        <v>0</v>
      </c>
      <c r="O277" s="1516">
        <f>+'Yatırım Bütçesi_2024'!N13</f>
        <v>0</v>
      </c>
      <c r="P277" s="1518">
        <f t="shared" si="96"/>
        <v>0</v>
      </c>
      <c r="R277" s="1481"/>
    </row>
    <row r="278" spans="2:18" s="1057" customFormat="1" ht="21.9" customHeight="1">
      <c r="B278" s="1783"/>
      <c r="C278" s="1496" t="s">
        <v>486</v>
      </c>
      <c r="D278" s="1514">
        <f>+'Yatırım Bütçesi_2024'!C14</f>
        <v>0</v>
      </c>
      <c r="E278" s="1515">
        <f>+'Yatırım Bütçesi_2024'!D14</f>
        <v>0</v>
      </c>
      <c r="F278" s="1515">
        <f>+'Yatırım Bütçesi_2024'!E14</f>
        <v>0</v>
      </c>
      <c r="G278" s="1515">
        <f>+'Yatırım Bütçesi_2024'!F14</f>
        <v>0</v>
      </c>
      <c r="H278" s="1515">
        <f>+'Yatırım Bütçesi_2024'!G14</f>
        <v>0</v>
      </c>
      <c r="I278" s="1515">
        <f>+'Yatırım Bütçesi_2024'!H14</f>
        <v>0</v>
      </c>
      <c r="J278" s="1515">
        <f>+'Yatırım Bütçesi_2024'!I14</f>
        <v>0</v>
      </c>
      <c r="K278" s="1515">
        <f>+'Yatırım Bütçesi_2024'!J14</f>
        <v>0</v>
      </c>
      <c r="L278" s="1515">
        <f>+'Yatırım Bütçesi_2024'!K14</f>
        <v>0</v>
      </c>
      <c r="M278" s="1515">
        <f>+'Yatırım Bütçesi_2024'!L14</f>
        <v>0</v>
      </c>
      <c r="N278" s="1515">
        <f>+'Yatırım Bütçesi_2024'!M14</f>
        <v>0</v>
      </c>
      <c r="O278" s="1516">
        <f>+'Yatırım Bütçesi_2024'!N14</f>
        <v>0</v>
      </c>
      <c r="P278" s="1518">
        <f t="shared" si="96"/>
        <v>0</v>
      </c>
      <c r="R278" s="1481"/>
    </row>
    <row r="279" spans="2:18" s="1057" customFormat="1" ht="21.9" customHeight="1">
      <c r="B279" s="1783"/>
      <c r="C279" s="1496" t="s">
        <v>96</v>
      </c>
      <c r="D279" s="1514">
        <f>+'Yatırım Bütçesi_2024'!C15</f>
        <v>0</v>
      </c>
      <c r="E279" s="1515">
        <f>+'Yatırım Bütçesi_2024'!D15</f>
        <v>0</v>
      </c>
      <c r="F279" s="1515">
        <f>+'Yatırım Bütçesi_2024'!E15</f>
        <v>0</v>
      </c>
      <c r="G279" s="1515">
        <f>+'Yatırım Bütçesi_2024'!F15</f>
        <v>0</v>
      </c>
      <c r="H279" s="1515">
        <f>+'Yatırım Bütçesi_2024'!G15</f>
        <v>0</v>
      </c>
      <c r="I279" s="1515">
        <f>+'Yatırım Bütçesi_2024'!H15</f>
        <v>0</v>
      </c>
      <c r="J279" s="1515">
        <f>+'Yatırım Bütçesi_2024'!I15</f>
        <v>0</v>
      </c>
      <c r="K279" s="1515">
        <f>+'Yatırım Bütçesi_2024'!J15</f>
        <v>0</v>
      </c>
      <c r="L279" s="1515">
        <f>+'Yatırım Bütçesi_2024'!K15</f>
        <v>0</v>
      </c>
      <c r="M279" s="1515">
        <f>+'Yatırım Bütçesi_2024'!L15</f>
        <v>0</v>
      </c>
      <c r="N279" s="1515">
        <f>+'Yatırım Bütçesi_2024'!M15</f>
        <v>0</v>
      </c>
      <c r="O279" s="1516">
        <f>+'Yatırım Bütçesi_2024'!N15</f>
        <v>0</v>
      </c>
      <c r="P279" s="1518">
        <f t="shared" si="96"/>
        <v>0</v>
      </c>
      <c r="R279" s="1481"/>
    </row>
    <row r="280" spans="2:18" s="1057" customFormat="1" ht="21.9" customHeight="1">
      <c r="B280" s="1783"/>
      <c r="C280" s="1496" t="s">
        <v>585</v>
      </c>
      <c r="D280" s="1514">
        <f>+'Yatırım Bütçesi_2024'!C16</f>
        <v>0</v>
      </c>
      <c r="E280" s="1515">
        <f>+'Yatırım Bütçesi_2024'!D16</f>
        <v>0</v>
      </c>
      <c r="F280" s="1515">
        <f>+'Yatırım Bütçesi_2024'!E16</f>
        <v>0</v>
      </c>
      <c r="G280" s="1515">
        <f>+'Yatırım Bütçesi_2024'!F16</f>
        <v>0</v>
      </c>
      <c r="H280" s="1515">
        <f>+'Yatırım Bütçesi_2024'!G16</f>
        <v>0</v>
      </c>
      <c r="I280" s="1515">
        <f>+'Yatırım Bütçesi_2024'!H16</f>
        <v>0</v>
      </c>
      <c r="J280" s="1515">
        <f>+'Yatırım Bütçesi_2024'!I16</f>
        <v>0</v>
      </c>
      <c r="K280" s="1515">
        <f>+'Yatırım Bütçesi_2024'!J16</f>
        <v>0</v>
      </c>
      <c r="L280" s="1515">
        <f>+'Yatırım Bütçesi_2024'!K16</f>
        <v>0</v>
      </c>
      <c r="M280" s="1515">
        <f>+'Yatırım Bütçesi_2024'!L16</f>
        <v>0</v>
      </c>
      <c r="N280" s="1515">
        <f>+'Yatırım Bütçesi_2024'!M16</f>
        <v>0</v>
      </c>
      <c r="O280" s="1516">
        <f>+'Yatırım Bütçesi_2024'!N16</f>
        <v>0</v>
      </c>
      <c r="P280" s="1518">
        <f t="shared" si="96"/>
        <v>0</v>
      </c>
      <c r="R280" s="1481"/>
    </row>
    <row r="281" spans="2:18" s="1057" customFormat="1" ht="21.9" customHeight="1">
      <c r="B281" s="1783"/>
      <c r="C281" s="1496" t="s">
        <v>561</v>
      </c>
      <c r="D281" s="1514">
        <f>+'Yatırım Bütçesi_2024'!C17</f>
        <v>0</v>
      </c>
      <c r="E281" s="1514">
        <f>+'Yatırım Bütçesi_2024'!D17</f>
        <v>0</v>
      </c>
      <c r="F281" s="1514">
        <f>+'Yatırım Bütçesi_2024'!E17</f>
        <v>0</v>
      </c>
      <c r="G281" s="1514">
        <f>+'Yatırım Bütçesi_2024'!F17</f>
        <v>0</v>
      </c>
      <c r="H281" s="1514">
        <f>+'Yatırım Bütçesi_2024'!G17</f>
        <v>0</v>
      </c>
      <c r="I281" s="1514">
        <f>+'Yatırım Bütçesi_2024'!H17</f>
        <v>0</v>
      </c>
      <c r="J281" s="1514">
        <f>+'Yatırım Bütçesi_2024'!I17</f>
        <v>0</v>
      </c>
      <c r="K281" s="1514">
        <f>+'Yatırım Bütçesi_2024'!J17</f>
        <v>0</v>
      </c>
      <c r="L281" s="1514">
        <f>+'Yatırım Bütçesi_2024'!K17</f>
        <v>0</v>
      </c>
      <c r="M281" s="1514">
        <f>+'Yatırım Bütçesi_2024'!L17</f>
        <v>0</v>
      </c>
      <c r="N281" s="1514">
        <f>+'Yatırım Bütçesi_2024'!M17</f>
        <v>0</v>
      </c>
      <c r="O281" s="1514">
        <f>+'Yatırım Bütçesi_2024'!N17</f>
        <v>0</v>
      </c>
      <c r="P281" s="1518">
        <f t="shared" si="96"/>
        <v>0</v>
      </c>
      <c r="R281" s="1481"/>
    </row>
    <row r="282" spans="2:18" s="1057" customFormat="1" ht="21.9" customHeight="1">
      <c r="B282" s="1783"/>
      <c r="C282" s="1496" t="s">
        <v>586</v>
      </c>
      <c r="D282" s="1514">
        <f>+'Yatırım Bütçesi_2024'!C18</f>
        <v>0</v>
      </c>
      <c r="E282" s="1514">
        <f>+'Yatırım Bütçesi_2024'!D18</f>
        <v>0</v>
      </c>
      <c r="F282" s="1514">
        <f>+'Yatırım Bütçesi_2024'!E18</f>
        <v>0</v>
      </c>
      <c r="G282" s="1514">
        <f>+'Yatırım Bütçesi_2024'!F18</f>
        <v>0</v>
      </c>
      <c r="H282" s="1514">
        <f>+'Yatırım Bütçesi_2024'!G18</f>
        <v>0</v>
      </c>
      <c r="I282" s="1514">
        <f>+'Yatırım Bütçesi_2024'!H18</f>
        <v>0</v>
      </c>
      <c r="J282" s="1514">
        <f>+'Yatırım Bütçesi_2024'!I18</f>
        <v>0</v>
      </c>
      <c r="K282" s="1514">
        <f>+'Yatırım Bütçesi_2024'!J18</f>
        <v>0</v>
      </c>
      <c r="L282" s="1514">
        <f>+'Yatırım Bütçesi_2024'!K18</f>
        <v>0</v>
      </c>
      <c r="M282" s="1514">
        <f>+'Yatırım Bütçesi_2024'!L18</f>
        <v>0</v>
      </c>
      <c r="N282" s="1514">
        <f>+'Yatırım Bütçesi_2024'!M18</f>
        <v>0</v>
      </c>
      <c r="O282" s="1514">
        <f>+'Yatırım Bütçesi_2024'!N18</f>
        <v>0</v>
      </c>
      <c r="P282" s="1518">
        <f t="shared" si="96"/>
        <v>0</v>
      </c>
      <c r="R282" s="1481"/>
    </row>
    <row r="283" spans="2:18" s="1057" customFormat="1" ht="21.9" customHeight="1">
      <c r="B283" s="1783"/>
      <c r="C283" s="1496" t="s">
        <v>487</v>
      </c>
      <c r="D283" s="1514">
        <f>+'Yatırım Bütçesi_2024'!C19</f>
        <v>0</v>
      </c>
      <c r="E283" s="1514">
        <f>+'Yatırım Bütçesi_2024'!D19</f>
        <v>0</v>
      </c>
      <c r="F283" s="1514">
        <f>+'Yatırım Bütçesi_2024'!E19</f>
        <v>0</v>
      </c>
      <c r="G283" s="1514">
        <f>+'Yatırım Bütçesi_2024'!F19</f>
        <v>0</v>
      </c>
      <c r="H283" s="1514">
        <f>+'Yatırım Bütçesi_2024'!G19</f>
        <v>0</v>
      </c>
      <c r="I283" s="1514">
        <f>+'Yatırım Bütçesi_2024'!H19</f>
        <v>0</v>
      </c>
      <c r="J283" s="1514">
        <f>+'Yatırım Bütçesi_2024'!I19</f>
        <v>0</v>
      </c>
      <c r="K283" s="1514">
        <f>+'Yatırım Bütçesi_2024'!J19</f>
        <v>0</v>
      </c>
      <c r="L283" s="1514">
        <f>+'Yatırım Bütçesi_2024'!K19</f>
        <v>0</v>
      </c>
      <c r="M283" s="1514">
        <f>+'Yatırım Bütçesi_2024'!L19</f>
        <v>0</v>
      </c>
      <c r="N283" s="1514">
        <f>+'Yatırım Bütçesi_2024'!M19</f>
        <v>0</v>
      </c>
      <c r="O283" s="1514">
        <f>+'Yatırım Bütçesi_2024'!N19</f>
        <v>0</v>
      </c>
      <c r="P283" s="1518">
        <f t="shared" si="96"/>
        <v>0</v>
      </c>
      <c r="R283" s="1481"/>
    </row>
    <row r="284" spans="2:18" s="1057" customFormat="1" ht="21.9" customHeight="1">
      <c r="B284" s="1783"/>
      <c r="C284" s="1496" t="s">
        <v>102</v>
      </c>
      <c r="D284" s="1514">
        <f>+'Yatırım Bütçesi_2024'!C20</f>
        <v>0</v>
      </c>
      <c r="E284" s="1514">
        <f>+'Yatırım Bütçesi_2024'!D20</f>
        <v>0</v>
      </c>
      <c r="F284" s="1514">
        <f>+'Yatırım Bütçesi_2024'!E20</f>
        <v>0</v>
      </c>
      <c r="G284" s="1514">
        <f>+'Yatırım Bütçesi_2024'!F20</f>
        <v>0</v>
      </c>
      <c r="H284" s="1514">
        <f>+'Yatırım Bütçesi_2024'!G20</f>
        <v>0</v>
      </c>
      <c r="I284" s="1514">
        <f>+'Yatırım Bütçesi_2024'!H20</f>
        <v>0</v>
      </c>
      <c r="J284" s="1514">
        <f>+'Yatırım Bütçesi_2024'!I20</f>
        <v>0</v>
      </c>
      <c r="K284" s="1514">
        <f>+'Yatırım Bütçesi_2024'!J20</f>
        <v>0</v>
      </c>
      <c r="L284" s="1514">
        <f>+'Yatırım Bütçesi_2024'!K20</f>
        <v>0</v>
      </c>
      <c r="M284" s="1514">
        <f>+'Yatırım Bütçesi_2024'!L20</f>
        <v>0</v>
      </c>
      <c r="N284" s="1514">
        <f>+'Yatırım Bütçesi_2024'!M20</f>
        <v>0</v>
      </c>
      <c r="O284" s="1514">
        <f>+'Yatırım Bütçesi_2024'!N20</f>
        <v>0</v>
      </c>
      <c r="P284" s="1518">
        <f t="shared" si="96"/>
        <v>0</v>
      </c>
      <c r="R284" s="1481"/>
    </row>
    <row r="285" spans="2:18" s="1057" customFormat="1" ht="21.9" customHeight="1">
      <c r="B285" s="1783"/>
      <c r="C285" s="1496" t="s">
        <v>559</v>
      </c>
      <c r="D285" s="1514">
        <f>+'Yatırım Bütçesi_2024'!C21</f>
        <v>0</v>
      </c>
      <c r="E285" s="1514">
        <f>+'Yatırım Bütçesi_2024'!D21</f>
        <v>0</v>
      </c>
      <c r="F285" s="1514">
        <f>+'Yatırım Bütçesi_2024'!E21</f>
        <v>0</v>
      </c>
      <c r="G285" s="1514">
        <f>+'Yatırım Bütçesi_2024'!F21</f>
        <v>0</v>
      </c>
      <c r="H285" s="1514">
        <f>+'Yatırım Bütçesi_2024'!G21</f>
        <v>0</v>
      </c>
      <c r="I285" s="1514">
        <f>+'Yatırım Bütçesi_2024'!H21</f>
        <v>0</v>
      </c>
      <c r="J285" s="1514">
        <f>+'Yatırım Bütçesi_2024'!I21</f>
        <v>0</v>
      </c>
      <c r="K285" s="1514">
        <f>+'Yatırım Bütçesi_2024'!J21</f>
        <v>0</v>
      </c>
      <c r="L285" s="1514">
        <f>+'Yatırım Bütçesi_2024'!K21</f>
        <v>0</v>
      </c>
      <c r="M285" s="1514">
        <f>+'Yatırım Bütçesi_2024'!L21</f>
        <v>0</v>
      </c>
      <c r="N285" s="1514">
        <f>+'Yatırım Bütçesi_2024'!M21</f>
        <v>0</v>
      </c>
      <c r="O285" s="1514">
        <f>+'Yatırım Bütçesi_2024'!N21</f>
        <v>0</v>
      </c>
      <c r="P285" s="1518">
        <f t="shared" si="96"/>
        <v>0</v>
      </c>
      <c r="R285" s="1481"/>
    </row>
    <row r="286" spans="2:18" s="1057" customFormat="1" ht="21.9" customHeight="1" thickBot="1">
      <c r="B286" s="1783"/>
      <c r="C286" s="1496" t="s">
        <v>488</v>
      </c>
      <c r="D286" s="1514">
        <f>+'Yatırım Bütçesi_2024'!C22</f>
        <v>0</v>
      </c>
      <c r="E286" s="1514">
        <f>+'Yatırım Bütçesi_2024'!D22</f>
        <v>0</v>
      </c>
      <c r="F286" s="1514">
        <f>+'Yatırım Bütçesi_2024'!E22</f>
        <v>0</v>
      </c>
      <c r="G286" s="1514">
        <f>+'Yatırım Bütçesi_2024'!F22</f>
        <v>0</v>
      </c>
      <c r="H286" s="1514">
        <f>+'Yatırım Bütçesi_2024'!G22</f>
        <v>0</v>
      </c>
      <c r="I286" s="1514">
        <f>+'Yatırım Bütçesi_2024'!H22</f>
        <v>0</v>
      </c>
      <c r="J286" s="1514">
        <f>+'Yatırım Bütçesi_2024'!I22</f>
        <v>0</v>
      </c>
      <c r="K286" s="1514">
        <f>+'Yatırım Bütçesi_2024'!J22</f>
        <v>0</v>
      </c>
      <c r="L286" s="1514">
        <f>+'Yatırım Bütçesi_2024'!K22</f>
        <v>0</v>
      </c>
      <c r="M286" s="1514">
        <f>+'Yatırım Bütçesi_2024'!L22</f>
        <v>0</v>
      </c>
      <c r="N286" s="1514">
        <f>+'Yatırım Bütçesi_2024'!M22</f>
        <v>0</v>
      </c>
      <c r="O286" s="1514">
        <f>+'Yatırım Bütçesi_2024'!N22</f>
        <v>0</v>
      </c>
      <c r="P286" s="1518">
        <f t="shared" ref="P286" si="97">SUM(D286:O286)</f>
        <v>0</v>
      </c>
      <c r="R286" s="1481"/>
    </row>
    <row r="287" spans="2:18" s="1089" customFormat="1" ht="23.25" customHeight="1" thickBot="1">
      <c r="B287" s="1784"/>
      <c r="C287" s="1504" t="s">
        <v>37</v>
      </c>
      <c r="D287" s="1519">
        <f>SUM(D273:D286)</f>
        <v>0</v>
      </c>
      <c r="E287" s="1519">
        <f t="shared" ref="E287:P287" si="98">SUM(E273:E286)</f>
        <v>0</v>
      </c>
      <c r="F287" s="1519">
        <f t="shared" si="98"/>
        <v>0</v>
      </c>
      <c r="G287" s="1519">
        <f t="shared" si="98"/>
        <v>0</v>
      </c>
      <c r="H287" s="1519">
        <f t="shared" si="98"/>
        <v>0</v>
      </c>
      <c r="I287" s="1519">
        <f t="shared" si="98"/>
        <v>0</v>
      </c>
      <c r="J287" s="1519">
        <f t="shared" si="98"/>
        <v>0</v>
      </c>
      <c r="K287" s="1519">
        <f t="shared" si="98"/>
        <v>0</v>
      </c>
      <c r="L287" s="1519">
        <f t="shared" si="98"/>
        <v>0</v>
      </c>
      <c r="M287" s="1519">
        <f t="shared" si="98"/>
        <v>0</v>
      </c>
      <c r="N287" s="1519">
        <f t="shared" si="98"/>
        <v>0</v>
      </c>
      <c r="O287" s="1519">
        <f t="shared" si="98"/>
        <v>0</v>
      </c>
      <c r="P287" s="2169">
        <f t="shared" si="98"/>
        <v>0</v>
      </c>
      <c r="R287" s="1509"/>
    </row>
    <row r="288" spans="2:18" s="1057" customFormat="1" ht="15.6">
      <c r="D288" s="1520"/>
      <c r="E288" s="1520"/>
      <c r="F288" s="1520"/>
      <c r="G288" s="1520"/>
      <c r="H288" s="1520"/>
      <c r="I288" s="1520"/>
      <c r="J288" s="1520"/>
      <c r="K288" s="1520"/>
      <c r="L288" s="1520"/>
      <c r="M288" s="1520"/>
      <c r="N288" s="1520"/>
      <c r="O288" s="1520"/>
      <c r="P288" s="1520"/>
      <c r="R288" s="1481"/>
    </row>
    <row r="291" spans="3:16" ht="14.4" thickBot="1"/>
    <row r="292" spans="3:16" ht="16.2" thickBot="1">
      <c r="C292" s="2339"/>
      <c r="D292" s="2336" t="s">
        <v>591</v>
      </c>
      <c r="E292" s="2337"/>
      <c r="F292" s="2337"/>
      <c r="G292" s="2337"/>
      <c r="H292" s="2337"/>
      <c r="I292" s="2337"/>
      <c r="J292" s="2337"/>
      <c r="K292" s="2337"/>
      <c r="L292" s="2337"/>
      <c r="M292" s="2337"/>
      <c r="N292" s="2337"/>
      <c r="O292" s="2337"/>
      <c r="P292" s="2338"/>
    </row>
    <row r="293" spans="3:16" ht="16.2" thickBot="1">
      <c r="C293" s="2340"/>
      <c r="D293" s="1058" t="s">
        <v>328</v>
      </c>
      <c r="E293" s="1059" t="s">
        <v>2</v>
      </c>
      <c r="F293" s="1059" t="s">
        <v>3</v>
      </c>
      <c r="G293" s="1059" t="s">
        <v>4</v>
      </c>
      <c r="H293" s="1059" t="s">
        <v>5</v>
      </c>
      <c r="I293" s="1059" t="s">
        <v>6</v>
      </c>
      <c r="J293" s="1059" t="s">
        <v>7</v>
      </c>
      <c r="K293" s="1059" t="s">
        <v>8</v>
      </c>
      <c r="L293" s="1059" t="s">
        <v>9</v>
      </c>
      <c r="M293" s="1059" t="s">
        <v>10</v>
      </c>
      <c r="N293" s="1059" t="s">
        <v>11</v>
      </c>
      <c r="O293" s="1060" t="s">
        <v>12</v>
      </c>
      <c r="P293" s="1061" t="s">
        <v>13</v>
      </c>
    </row>
    <row r="294" spans="3:16" ht="15.6">
      <c r="C294" s="1482" t="s">
        <v>329</v>
      </c>
      <c r="D294" s="1076">
        <f>'Yatırım Bütçesi_2024 LPG'!C181/1000</f>
        <v>0</v>
      </c>
      <c r="E294" s="1076">
        <f>'Yatırım Bütçesi_2024 LPG'!D181/1000</f>
        <v>0</v>
      </c>
      <c r="F294" s="1076">
        <f>'Yatırım Bütçesi_2024 LPG'!E181/1000</f>
        <v>0</v>
      </c>
      <c r="G294" s="1076">
        <f>'Yatırım Bütçesi_2024 LPG'!F181/1000</f>
        <v>0</v>
      </c>
      <c r="H294" s="1076">
        <f>'Yatırım Bütçesi_2024 LPG'!G181/1000</f>
        <v>0</v>
      </c>
      <c r="I294" s="1076">
        <f>'Yatırım Bütçesi_2024 LPG'!H181/1000</f>
        <v>0</v>
      </c>
      <c r="J294" s="1076">
        <f>'Yatırım Bütçesi_2024 LPG'!I181/1000</f>
        <v>0</v>
      </c>
      <c r="K294" s="1076">
        <f>'Yatırım Bütçesi_2024 LPG'!J181/1000</f>
        <v>0</v>
      </c>
      <c r="L294" s="1076">
        <f>'Yatırım Bütçesi_2024 LPG'!K181/1000</f>
        <v>0</v>
      </c>
      <c r="M294" s="1076">
        <f>'Yatırım Bütçesi_2024 LPG'!L181/1000</f>
        <v>0</v>
      </c>
      <c r="N294" s="1076">
        <f>'Yatırım Bütçesi_2024 LPG'!M181/1000</f>
        <v>0</v>
      </c>
      <c r="O294" s="1076">
        <f>'Yatırım Bütçesi_2024 LPG'!N181/1000</f>
        <v>0</v>
      </c>
      <c r="P294" s="1062">
        <f>SUM(D294:O294)</f>
        <v>0</v>
      </c>
    </row>
    <row r="295" spans="3:16" ht="15.6">
      <c r="C295" s="1483" t="s">
        <v>239</v>
      </c>
      <c r="D295" s="1063">
        <f>'Yatırım Bütçesi_2024 LPG'!C140/1000</f>
        <v>0</v>
      </c>
      <c r="E295" s="1063">
        <f>'Yatırım Bütçesi_2024 LPG'!D140/1000</f>
        <v>0</v>
      </c>
      <c r="F295" s="1063">
        <f>'Yatırım Bütçesi_2024 LPG'!E140/1000</f>
        <v>0</v>
      </c>
      <c r="G295" s="1063">
        <f>'Yatırım Bütçesi_2024 LPG'!F140/1000</f>
        <v>0</v>
      </c>
      <c r="H295" s="1063">
        <f>'Yatırım Bütçesi_2024 LPG'!G140/1000</f>
        <v>0</v>
      </c>
      <c r="I295" s="1063">
        <f>'Yatırım Bütçesi_2024 LPG'!H140/1000</f>
        <v>0</v>
      </c>
      <c r="J295" s="1063">
        <f>'Yatırım Bütçesi_2024 LPG'!I140/1000</f>
        <v>0</v>
      </c>
      <c r="K295" s="1063">
        <f>'Yatırım Bütçesi_2024 LPG'!J140/1000</f>
        <v>0</v>
      </c>
      <c r="L295" s="1063">
        <f>'Yatırım Bütçesi_2024 LPG'!K140/1000</f>
        <v>0</v>
      </c>
      <c r="M295" s="1063">
        <f>'Yatırım Bütçesi_2024 LPG'!L140/1000</f>
        <v>0</v>
      </c>
      <c r="N295" s="1063">
        <f>'Yatırım Bütçesi_2024 LPG'!M140/1000</f>
        <v>0</v>
      </c>
      <c r="O295" s="1063">
        <f>'Yatırım Bütçesi_2024 LPG'!N140/1000</f>
        <v>0</v>
      </c>
      <c r="P295" s="1066">
        <f>SUM(D295:O295)</f>
        <v>0</v>
      </c>
    </row>
    <row r="296" spans="3:16" ht="15.6">
      <c r="C296" s="1483" t="s">
        <v>13</v>
      </c>
      <c r="D296" s="1063">
        <f>SUM(D294:D295)</f>
        <v>0</v>
      </c>
      <c r="E296" s="1064">
        <f t="shared" ref="E296:O296" si="99">SUM(E294:E295)</f>
        <v>0</v>
      </c>
      <c r="F296" s="1064">
        <f t="shared" si="99"/>
        <v>0</v>
      </c>
      <c r="G296" s="1064">
        <f t="shared" si="99"/>
        <v>0</v>
      </c>
      <c r="H296" s="1064">
        <f t="shared" si="99"/>
        <v>0</v>
      </c>
      <c r="I296" s="1064">
        <f t="shared" si="99"/>
        <v>0</v>
      </c>
      <c r="J296" s="1064">
        <f t="shared" si="99"/>
        <v>0</v>
      </c>
      <c r="K296" s="1064">
        <f t="shared" si="99"/>
        <v>0</v>
      </c>
      <c r="L296" s="1064">
        <f t="shared" si="99"/>
        <v>0</v>
      </c>
      <c r="M296" s="1064">
        <f t="shared" si="99"/>
        <v>0</v>
      </c>
      <c r="N296" s="1064">
        <f t="shared" si="99"/>
        <v>0</v>
      </c>
      <c r="O296" s="1065">
        <f t="shared" si="99"/>
        <v>0</v>
      </c>
      <c r="P296" s="1066">
        <f>SUM(D296:O296)</f>
        <v>0</v>
      </c>
    </row>
    <row r="297" spans="3:16" ht="16.2" thickBot="1">
      <c r="C297" s="1484" t="s">
        <v>263</v>
      </c>
      <c r="D297" s="1067">
        <f>'Yatırım Bütçesi_2024 LPG'!C160/1000</f>
        <v>0</v>
      </c>
      <c r="E297" s="1067">
        <f>'Yatırım Bütçesi_2024 LPG'!D160/1000</f>
        <v>0</v>
      </c>
      <c r="F297" s="1067">
        <f>'Yatırım Bütçesi_2024 LPG'!E160/1000</f>
        <v>0</v>
      </c>
      <c r="G297" s="1067">
        <f>'Yatırım Bütçesi_2024 LPG'!F160/1000</f>
        <v>0</v>
      </c>
      <c r="H297" s="1067">
        <f>'Yatırım Bütçesi_2024 LPG'!G160/1000</f>
        <v>0</v>
      </c>
      <c r="I297" s="1067">
        <f>'Yatırım Bütçesi_2024 LPG'!H160/1000</f>
        <v>0</v>
      </c>
      <c r="J297" s="1067">
        <f>'Yatırım Bütçesi_2024 LPG'!I160/1000</f>
        <v>0</v>
      </c>
      <c r="K297" s="1067">
        <f>'Yatırım Bütçesi_2024 LPG'!J160/1000</f>
        <v>0</v>
      </c>
      <c r="L297" s="1067">
        <f>'Yatırım Bütçesi_2024 LPG'!K160/1000</f>
        <v>0</v>
      </c>
      <c r="M297" s="1067">
        <f>'Yatırım Bütçesi_2024 LPG'!L160/1000</f>
        <v>0</v>
      </c>
      <c r="N297" s="1067">
        <f>'Yatırım Bütçesi_2024 LPG'!M160/1000</f>
        <v>0</v>
      </c>
      <c r="O297" s="1067">
        <f>'Yatırım Bütçesi_2024 LPG'!N160/1000</f>
        <v>0</v>
      </c>
      <c r="P297" s="1070">
        <f>SUM(D297:O297)</f>
        <v>0</v>
      </c>
    </row>
    <row r="298" spans="3:16" ht="16.2" thickBot="1">
      <c r="C298" s="1485"/>
      <c r="D298" s="1079">
        <f>SUM(D296:D297)</f>
        <v>0</v>
      </c>
      <c r="E298" s="1080">
        <f t="shared" ref="E298:O298" si="100">SUM(E296:E297)</f>
        <v>0</v>
      </c>
      <c r="F298" s="1080">
        <f t="shared" si="100"/>
        <v>0</v>
      </c>
      <c r="G298" s="1080">
        <f t="shared" si="100"/>
        <v>0</v>
      </c>
      <c r="H298" s="1080">
        <f t="shared" si="100"/>
        <v>0</v>
      </c>
      <c r="I298" s="1080">
        <f t="shared" si="100"/>
        <v>0</v>
      </c>
      <c r="J298" s="1080">
        <f t="shared" si="100"/>
        <v>0</v>
      </c>
      <c r="K298" s="1080">
        <f t="shared" si="100"/>
        <v>0</v>
      </c>
      <c r="L298" s="1080">
        <f t="shared" si="100"/>
        <v>0</v>
      </c>
      <c r="M298" s="1080">
        <f t="shared" si="100"/>
        <v>0</v>
      </c>
      <c r="N298" s="1080">
        <f t="shared" si="100"/>
        <v>0</v>
      </c>
      <c r="O298" s="1081">
        <f t="shared" si="100"/>
        <v>0</v>
      </c>
      <c r="P298" s="2125">
        <f>SUM(P296:P297)</f>
        <v>0</v>
      </c>
    </row>
    <row r="299" spans="3:16" ht="15.6">
      <c r="C299" s="1486"/>
      <c r="D299" s="1071"/>
      <c r="E299" s="1071"/>
      <c r="F299" s="1071"/>
      <c r="G299" s="1071"/>
      <c r="H299" s="1071"/>
      <c r="I299" s="1071"/>
      <c r="J299" s="1071"/>
      <c r="K299" s="1071"/>
      <c r="L299" s="1071"/>
      <c r="M299" s="1071"/>
      <c r="N299" s="1071"/>
      <c r="O299" s="1071"/>
      <c r="P299" s="1072"/>
    </row>
    <row r="300" spans="3:16" ht="16.2" thickBot="1">
      <c r="C300" s="1486"/>
      <c r="D300" s="1071"/>
      <c r="E300" s="1071"/>
      <c r="F300" s="1071"/>
      <c r="G300" s="1071"/>
      <c r="H300" s="1071"/>
      <c r="I300" s="1071"/>
      <c r="J300" s="1071"/>
      <c r="K300" s="1071"/>
      <c r="L300" s="1071"/>
      <c r="M300" s="1071"/>
      <c r="N300" s="1071"/>
      <c r="O300" s="1071"/>
      <c r="P300" s="1072"/>
    </row>
    <row r="301" spans="3:16" ht="16.2" thickBot="1">
      <c r="C301" s="1788"/>
      <c r="D301" s="2336" t="s">
        <v>592</v>
      </c>
      <c r="E301" s="2337"/>
      <c r="F301" s="2337"/>
      <c r="G301" s="2337"/>
      <c r="H301" s="2337"/>
      <c r="I301" s="2337"/>
      <c r="J301" s="2337"/>
      <c r="K301" s="2337"/>
      <c r="L301" s="2337"/>
      <c r="M301" s="2337"/>
      <c r="N301" s="2337"/>
      <c r="O301" s="2337"/>
      <c r="P301" s="2338"/>
    </row>
    <row r="302" spans="3:16" ht="16.2" thickBot="1">
      <c r="C302" s="1789"/>
      <c r="D302" s="1073" t="s">
        <v>328</v>
      </c>
      <c r="E302" s="1074" t="s">
        <v>2</v>
      </c>
      <c r="F302" s="1074" t="s">
        <v>3</v>
      </c>
      <c r="G302" s="1074" t="s">
        <v>4</v>
      </c>
      <c r="H302" s="1074" t="s">
        <v>5</v>
      </c>
      <c r="I302" s="1074" t="s">
        <v>6</v>
      </c>
      <c r="J302" s="1074" t="s">
        <v>7</v>
      </c>
      <c r="K302" s="1074" t="s">
        <v>8</v>
      </c>
      <c r="L302" s="1074" t="s">
        <v>9</v>
      </c>
      <c r="M302" s="1074" t="s">
        <v>10</v>
      </c>
      <c r="N302" s="1074" t="s">
        <v>11</v>
      </c>
      <c r="O302" s="1075" t="s">
        <v>12</v>
      </c>
      <c r="P302" s="1061" t="s">
        <v>13</v>
      </c>
    </row>
    <row r="303" spans="3:16" ht="15.6">
      <c r="C303" s="1790" t="s">
        <v>329</v>
      </c>
      <c r="D303" s="1076">
        <f>'Yatırım Bütçesi_2024 LPG'!C121/1000</f>
        <v>0</v>
      </c>
      <c r="E303" s="1076">
        <f>'Yatırım Bütçesi_2024 LPG'!D121/1000</f>
        <v>0</v>
      </c>
      <c r="F303" s="1076">
        <f>'Yatırım Bütçesi_2024 LPG'!E121/1000</f>
        <v>0</v>
      </c>
      <c r="G303" s="1076">
        <f>'Yatırım Bütçesi_2024 LPG'!F121/1000</f>
        <v>0</v>
      </c>
      <c r="H303" s="1076">
        <f>'Yatırım Bütçesi_2024 LPG'!G121/1000</f>
        <v>0</v>
      </c>
      <c r="I303" s="1076">
        <f>'Yatırım Bütçesi_2024 LPG'!H121/1000</f>
        <v>0</v>
      </c>
      <c r="J303" s="1076">
        <f>'Yatırım Bütçesi_2024 LPG'!I121/1000</f>
        <v>0</v>
      </c>
      <c r="K303" s="1076">
        <f>'Yatırım Bütçesi_2024 LPG'!J121/1000</f>
        <v>0</v>
      </c>
      <c r="L303" s="1076">
        <f>'Yatırım Bütçesi_2024 LPG'!K121/1000</f>
        <v>0</v>
      </c>
      <c r="M303" s="1076">
        <f>'Yatırım Bütçesi_2024 LPG'!L121/1000</f>
        <v>0</v>
      </c>
      <c r="N303" s="1076">
        <f>'Yatırım Bütçesi_2024 LPG'!M121/1000</f>
        <v>0</v>
      </c>
      <c r="O303" s="1076">
        <f>'Yatırım Bütçesi_2024 LPG'!N121/1000</f>
        <v>0</v>
      </c>
      <c r="P303" s="1062">
        <f>SUM(D303:O303)</f>
        <v>0</v>
      </c>
    </row>
    <row r="304" spans="3:16" ht="15.6">
      <c r="C304" s="1483" t="s">
        <v>239</v>
      </c>
      <c r="D304" s="1063">
        <f>'Yatırım Bütçesi_2024 LPG'!C100/1000</f>
        <v>0</v>
      </c>
      <c r="E304" s="1063">
        <f>'Yatırım Bütçesi_2024 LPG'!D100/1000</f>
        <v>0</v>
      </c>
      <c r="F304" s="1063">
        <f>'Yatırım Bütçesi_2024 LPG'!E100/1000</f>
        <v>0</v>
      </c>
      <c r="G304" s="1063">
        <f>'Yatırım Bütçesi_2024 LPG'!F100/1000</f>
        <v>0</v>
      </c>
      <c r="H304" s="1063">
        <f>'Yatırım Bütçesi_2024 LPG'!G100/1000</f>
        <v>0</v>
      </c>
      <c r="I304" s="1063">
        <f>'Yatırım Bütçesi_2024 LPG'!H100/1000</f>
        <v>0</v>
      </c>
      <c r="J304" s="1063">
        <f>'Yatırım Bütçesi_2024 LPG'!I100/1000</f>
        <v>0</v>
      </c>
      <c r="K304" s="1063">
        <f>'Yatırım Bütçesi_2024 LPG'!J100/1000</f>
        <v>0</v>
      </c>
      <c r="L304" s="1063">
        <f>'Yatırım Bütçesi_2024 LPG'!K100/1000</f>
        <v>0</v>
      </c>
      <c r="M304" s="1063">
        <f>'Yatırım Bütçesi_2024 LPG'!L100/1000</f>
        <v>0</v>
      </c>
      <c r="N304" s="1063">
        <f>'Yatırım Bütçesi_2024 LPG'!M100/1000</f>
        <v>0</v>
      </c>
      <c r="O304" s="1063">
        <f>'Yatırım Bütçesi_2024 LPG'!N100/1000</f>
        <v>0</v>
      </c>
      <c r="P304" s="1066">
        <f t="shared" ref="P304" si="101">SUM(D304:O304)</f>
        <v>0</v>
      </c>
    </row>
    <row r="305" spans="3:16" ht="15.6">
      <c r="C305" s="1483" t="s">
        <v>13</v>
      </c>
      <c r="D305" s="1063">
        <f>SUM(D303:D304)</f>
        <v>0</v>
      </c>
      <c r="E305" s="1064">
        <f t="shared" ref="E305:O305" si="102">SUM(E303:E304)</f>
        <v>0</v>
      </c>
      <c r="F305" s="1064">
        <f t="shared" si="102"/>
        <v>0</v>
      </c>
      <c r="G305" s="1064">
        <f t="shared" si="102"/>
        <v>0</v>
      </c>
      <c r="H305" s="1064">
        <f t="shared" si="102"/>
        <v>0</v>
      </c>
      <c r="I305" s="1064">
        <f t="shared" si="102"/>
        <v>0</v>
      </c>
      <c r="J305" s="1064">
        <f t="shared" si="102"/>
        <v>0</v>
      </c>
      <c r="K305" s="1064">
        <f t="shared" si="102"/>
        <v>0</v>
      </c>
      <c r="L305" s="1064">
        <f t="shared" si="102"/>
        <v>0</v>
      </c>
      <c r="M305" s="1064">
        <f t="shared" si="102"/>
        <v>0</v>
      </c>
      <c r="N305" s="1064">
        <f t="shared" si="102"/>
        <v>0</v>
      </c>
      <c r="O305" s="1065">
        <f t="shared" si="102"/>
        <v>0</v>
      </c>
      <c r="P305" s="1066">
        <f>SUM(D305:O305)</f>
        <v>0</v>
      </c>
    </row>
    <row r="306" spans="3:16" ht="16.2" thickBot="1">
      <c r="C306" s="1484" t="s">
        <v>263</v>
      </c>
      <c r="D306" s="1067">
        <f>'Yatırım Bütçesi_2024 LPG'!C80/1000</f>
        <v>0</v>
      </c>
      <c r="E306" s="1067">
        <f>'Yatırım Bütçesi_2024 LPG'!D80/1000</f>
        <v>0</v>
      </c>
      <c r="F306" s="1067">
        <f>'Yatırım Bütçesi_2024 LPG'!E80/1000</f>
        <v>0</v>
      </c>
      <c r="G306" s="1067">
        <f>'Yatırım Bütçesi_2024 LPG'!F80/1000</f>
        <v>0</v>
      </c>
      <c r="H306" s="1067">
        <f>'Yatırım Bütçesi_2024 LPG'!G80/1000</f>
        <v>0</v>
      </c>
      <c r="I306" s="1067">
        <f>'Yatırım Bütçesi_2024 LPG'!H80/1000</f>
        <v>0</v>
      </c>
      <c r="J306" s="1067">
        <f>'Yatırım Bütçesi_2024 LPG'!I80/1000</f>
        <v>0</v>
      </c>
      <c r="K306" s="1067">
        <f>'Yatırım Bütçesi_2024 LPG'!J80/1000</f>
        <v>0</v>
      </c>
      <c r="L306" s="1067">
        <f>'Yatırım Bütçesi_2024 LPG'!K80/1000</f>
        <v>0</v>
      </c>
      <c r="M306" s="1067">
        <f>'Yatırım Bütçesi_2024 LPG'!L80/1000</f>
        <v>0</v>
      </c>
      <c r="N306" s="1067">
        <f>'Yatırım Bütçesi_2024 LPG'!M80/1000</f>
        <v>0</v>
      </c>
      <c r="O306" s="1067">
        <f>'Yatırım Bütçesi_2024 LPG'!N80/1000</f>
        <v>0</v>
      </c>
      <c r="P306" s="1070">
        <f>SUM(D306:O306)</f>
        <v>0</v>
      </c>
    </row>
    <row r="307" spans="3:16" ht="16.2" thickBot="1">
      <c r="C307" s="1485" t="s">
        <v>37</v>
      </c>
      <c r="D307" s="1079">
        <f>SUM(D305:D306)</f>
        <v>0</v>
      </c>
      <c r="E307" s="1080">
        <f t="shared" ref="E307:O307" si="103">SUM(E305:E306)</f>
        <v>0</v>
      </c>
      <c r="F307" s="1080">
        <f t="shared" si="103"/>
        <v>0</v>
      </c>
      <c r="G307" s="1080">
        <f t="shared" si="103"/>
        <v>0</v>
      </c>
      <c r="H307" s="1080">
        <f t="shared" si="103"/>
        <v>0</v>
      </c>
      <c r="I307" s="1080">
        <f t="shared" si="103"/>
        <v>0</v>
      </c>
      <c r="J307" s="1080">
        <f t="shared" si="103"/>
        <v>0</v>
      </c>
      <c r="K307" s="1080">
        <f t="shared" si="103"/>
        <v>0</v>
      </c>
      <c r="L307" s="1080">
        <f t="shared" si="103"/>
        <v>0</v>
      </c>
      <c r="M307" s="1080">
        <f t="shared" si="103"/>
        <v>0</v>
      </c>
      <c r="N307" s="1080">
        <f t="shared" si="103"/>
        <v>0</v>
      </c>
      <c r="O307" s="1081">
        <f t="shared" si="103"/>
        <v>0</v>
      </c>
      <c r="P307" s="1488">
        <f>SUM(P305:P306)</f>
        <v>0</v>
      </c>
    </row>
    <row r="308" spans="3:16" ht="15.6">
      <c r="C308" s="1486"/>
      <c r="D308" s="1071"/>
      <c r="E308" s="1071"/>
      <c r="F308" s="1071"/>
      <c r="G308" s="1071"/>
      <c r="H308" s="1071"/>
      <c r="I308" s="1071"/>
      <c r="J308" s="1071"/>
      <c r="K308" s="1071"/>
      <c r="L308" s="1071"/>
      <c r="M308" s="1071"/>
      <c r="N308" s="1071"/>
      <c r="O308" s="1071"/>
      <c r="P308" s="1072"/>
    </row>
    <row r="309" spans="3:16" ht="16.2" thickBot="1">
      <c r="C309" s="1057"/>
      <c r="D309" s="1082"/>
      <c r="E309" s="1082"/>
      <c r="F309" s="1082"/>
      <c r="G309" s="1082"/>
      <c r="H309" s="1082"/>
      <c r="I309" s="1082"/>
      <c r="J309" s="1082"/>
      <c r="K309" s="1082"/>
      <c r="L309" s="1082"/>
      <c r="M309" s="1082"/>
      <c r="N309" s="1082"/>
      <c r="O309" s="1082"/>
      <c r="P309" s="1083"/>
    </row>
    <row r="310" spans="3:16" ht="16.2" thickBot="1">
      <c r="C310" s="1788"/>
      <c r="D310" s="2336" t="s">
        <v>593</v>
      </c>
      <c r="E310" s="2337"/>
      <c r="F310" s="2337"/>
      <c r="G310" s="2337"/>
      <c r="H310" s="2337"/>
      <c r="I310" s="2337"/>
      <c r="J310" s="2337"/>
      <c r="K310" s="2337"/>
      <c r="L310" s="2337"/>
      <c r="M310" s="2337"/>
      <c r="N310" s="2337"/>
      <c r="O310" s="2337"/>
      <c r="P310" s="2338"/>
    </row>
    <row r="311" spans="3:16" ht="16.2" thickBot="1">
      <c r="C311" s="1789"/>
      <c r="D311" s="1073" t="s">
        <v>328</v>
      </c>
      <c r="E311" s="1074" t="s">
        <v>2</v>
      </c>
      <c r="F311" s="1074" t="s">
        <v>3</v>
      </c>
      <c r="G311" s="1074" t="s">
        <v>4</v>
      </c>
      <c r="H311" s="1074" t="s">
        <v>5</v>
      </c>
      <c r="I311" s="1074" t="s">
        <v>6</v>
      </c>
      <c r="J311" s="1074" t="s">
        <v>7</v>
      </c>
      <c r="K311" s="1074" t="s">
        <v>8</v>
      </c>
      <c r="L311" s="1074" t="s">
        <v>9</v>
      </c>
      <c r="M311" s="1074" t="s">
        <v>10</v>
      </c>
      <c r="N311" s="1074" t="s">
        <v>11</v>
      </c>
      <c r="O311" s="1075" t="s">
        <v>12</v>
      </c>
      <c r="P311" s="1061" t="s">
        <v>13</v>
      </c>
    </row>
    <row r="312" spans="3:16" ht="15.6">
      <c r="C312" s="1790" t="s">
        <v>329</v>
      </c>
      <c r="D312" s="1076">
        <f>+D294+D303</f>
        <v>0</v>
      </c>
      <c r="E312" s="1077">
        <f t="shared" ref="E312:O312" si="104">+E294+E303</f>
        <v>0</v>
      </c>
      <c r="F312" s="1077">
        <f t="shared" si="104"/>
        <v>0</v>
      </c>
      <c r="G312" s="1077">
        <f t="shared" si="104"/>
        <v>0</v>
      </c>
      <c r="H312" s="1077">
        <f t="shared" si="104"/>
        <v>0</v>
      </c>
      <c r="I312" s="1077">
        <f t="shared" si="104"/>
        <v>0</v>
      </c>
      <c r="J312" s="1077">
        <f t="shared" si="104"/>
        <v>0</v>
      </c>
      <c r="K312" s="1077">
        <f t="shared" si="104"/>
        <v>0</v>
      </c>
      <c r="L312" s="1077">
        <f t="shared" si="104"/>
        <v>0</v>
      </c>
      <c r="M312" s="1077">
        <f t="shared" si="104"/>
        <v>0</v>
      </c>
      <c r="N312" s="1077">
        <f t="shared" si="104"/>
        <v>0</v>
      </c>
      <c r="O312" s="1078">
        <f t="shared" si="104"/>
        <v>0</v>
      </c>
      <c r="P312" s="1062">
        <f>SUM(D312:O312)</f>
        <v>0</v>
      </c>
    </row>
    <row r="313" spans="3:16" ht="15.6">
      <c r="C313" s="1483" t="s">
        <v>239</v>
      </c>
      <c r="D313" s="1063">
        <f>+D295+D304</f>
        <v>0</v>
      </c>
      <c r="E313" s="1064">
        <f t="shared" ref="E313:O313" si="105">+E295+E304</f>
        <v>0</v>
      </c>
      <c r="F313" s="1064">
        <f t="shared" si="105"/>
        <v>0</v>
      </c>
      <c r="G313" s="1064">
        <f t="shared" si="105"/>
        <v>0</v>
      </c>
      <c r="H313" s="1064">
        <f t="shared" si="105"/>
        <v>0</v>
      </c>
      <c r="I313" s="1064">
        <f t="shared" si="105"/>
        <v>0</v>
      </c>
      <c r="J313" s="1064">
        <f t="shared" si="105"/>
        <v>0</v>
      </c>
      <c r="K313" s="1064">
        <f t="shared" si="105"/>
        <v>0</v>
      </c>
      <c r="L313" s="1064">
        <f t="shared" si="105"/>
        <v>0</v>
      </c>
      <c r="M313" s="1064">
        <f t="shared" si="105"/>
        <v>0</v>
      </c>
      <c r="N313" s="1064">
        <f t="shared" si="105"/>
        <v>0</v>
      </c>
      <c r="O313" s="1065">
        <f t="shared" si="105"/>
        <v>0</v>
      </c>
      <c r="P313" s="1066">
        <f t="shared" ref="P313:P314" si="106">SUM(D313:O313)</f>
        <v>0</v>
      </c>
    </row>
    <row r="314" spans="3:16" ht="15.6">
      <c r="C314" s="1483" t="s">
        <v>13</v>
      </c>
      <c r="D314" s="1063">
        <f>SUM(D312:D313)</f>
        <v>0</v>
      </c>
      <c r="E314" s="1064">
        <f t="shared" ref="E314:O314" si="107">SUM(E312:E313)</f>
        <v>0</v>
      </c>
      <c r="F314" s="1064">
        <f t="shared" si="107"/>
        <v>0</v>
      </c>
      <c r="G314" s="1064">
        <f t="shared" si="107"/>
        <v>0</v>
      </c>
      <c r="H314" s="1064">
        <f t="shared" si="107"/>
        <v>0</v>
      </c>
      <c r="I314" s="1064">
        <f t="shared" si="107"/>
        <v>0</v>
      </c>
      <c r="J314" s="1064">
        <f t="shared" si="107"/>
        <v>0</v>
      </c>
      <c r="K314" s="1064">
        <f t="shared" si="107"/>
        <v>0</v>
      </c>
      <c r="L314" s="1064">
        <f t="shared" si="107"/>
        <v>0</v>
      </c>
      <c r="M314" s="1064">
        <f t="shared" si="107"/>
        <v>0</v>
      </c>
      <c r="N314" s="1064">
        <f t="shared" si="107"/>
        <v>0</v>
      </c>
      <c r="O314" s="1065">
        <f t="shared" si="107"/>
        <v>0</v>
      </c>
      <c r="P314" s="1066">
        <f t="shared" si="106"/>
        <v>0</v>
      </c>
    </row>
    <row r="315" spans="3:16" ht="16.2" thickBot="1">
      <c r="C315" s="1484" t="s">
        <v>263</v>
      </c>
      <c r="D315" s="1067">
        <f>+D297+D306</f>
        <v>0</v>
      </c>
      <c r="E315" s="1068">
        <f t="shared" ref="E315:O315" si="108">+E297+E306</f>
        <v>0</v>
      </c>
      <c r="F315" s="1068">
        <f t="shared" si="108"/>
        <v>0</v>
      </c>
      <c r="G315" s="1068">
        <f t="shared" si="108"/>
        <v>0</v>
      </c>
      <c r="H315" s="1068">
        <f t="shared" si="108"/>
        <v>0</v>
      </c>
      <c r="I315" s="1068">
        <f t="shared" si="108"/>
        <v>0</v>
      </c>
      <c r="J315" s="1068">
        <f t="shared" si="108"/>
        <v>0</v>
      </c>
      <c r="K315" s="1068">
        <f t="shared" si="108"/>
        <v>0</v>
      </c>
      <c r="L315" s="1068">
        <f t="shared" si="108"/>
        <v>0</v>
      </c>
      <c r="M315" s="1068">
        <f t="shared" si="108"/>
        <v>0</v>
      </c>
      <c r="N315" s="1068">
        <f t="shared" si="108"/>
        <v>0</v>
      </c>
      <c r="O315" s="1069">
        <f t="shared" si="108"/>
        <v>0</v>
      </c>
      <c r="P315" s="1070">
        <f>SUM(D315:O315)</f>
        <v>0</v>
      </c>
    </row>
    <row r="316" spans="3:16" ht="16.2" thickBot="1">
      <c r="C316" s="1485" t="s">
        <v>37</v>
      </c>
      <c r="D316" s="1079">
        <f>SUM(D314:D315)</f>
        <v>0</v>
      </c>
      <c r="E316" s="1080">
        <f t="shared" ref="E316:P316" si="109">SUM(E314:E315)</f>
        <v>0</v>
      </c>
      <c r="F316" s="1080">
        <f t="shared" si="109"/>
        <v>0</v>
      </c>
      <c r="G316" s="1080">
        <f t="shared" si="109"/>
        <v>0</v>
      </c>
      <c r="H316" s="1080">
        <f t="shared" si="109"/>
        <v>0</v>
      </c>
      <c r="I316" s="1080">
        <f t="shared" si="109"/>
        <v>0</v>
      </c>
      <c r="J316" s="1080">
        <f t="shared" si="109"/>
        <v>0</v>
      </c>
      <c r="K316" s="1080">
        <f t="shared" si="109"/>
        <v>0</v>
      </c>
      <c r="L316" s="1080">
        <f t="shared" si="109"/>
        <v>0</v>
      </c>
      <c r="M316" s="1080">
        <f t="shared" si="109"/>
        <v>0</v>
      </c>
      <c r="N316" s="1080">
        <f t="shared" si="109"/>
        <v>0</v>
      </c>
      <c r="O316" s="1081">
        <f t="shared" si="109"/>
        <v>0</v>
      </c>
      <c r="P316" s="2170">
        <f t="shared" si="109"/>
        <v>0</v>
      </c>
    </row>
    <row r="317" spans="3:16" ht="15.6">
      <c r="C317" s="1486"/>
      <c r="D317" s="1071"/>
      <c r="E317" s="1071"/>
      <c r="F317" s="1071"/>
      <c r="G317" s="1071"/>
      <c r="H317" s="1071"/>
      <c r="I317" s="1071"/>
      <c r="J317" s="1071"/>
      <c r="K317" s="1071"/>
      <c r="L317" s="1071"/>
      <c r="M317" s="1071"/>
      <c r="N317" s="1071"/>
      <c r="O317" s="1071"/>
      <c r="P317" s="1072"/>
    </row>
    <row r="318" spans="3:16" ht="14.4">
      <c r="C318" s="1490"/>
      <c r="D318" s="1084"/>
      <c r="E318" s="1084"/>
      <c r="F318" s="1084"/>
      <c r="G318" s="1084"/>
      <c r="H318" s="1084"/>
      <c r="I318" s="1084"/>
      <c r="J318" s="1084"/>
      <c r="K318" s="1084"/>
      <c r="L318" s="1084"/>
      <c r="M318" s="1084"/>
      <c r="N318" s="1084"/>
      <c r="O318" s="1084"/>
      <c r="P318" s="1085"/>
    </row>
    <row r="319" spans="3:16" ht="14.4">
      <c r="C319" s="1490"/>
      <c r="D319" s="1084"/>
      <c r="E319" s="1084"/>
      <c r="F319" s="1084"/>
      <c r="G319" s="1084"/>
      <c r="H319" s="1084"/>
      <c r="I319" s="1084"/>
      <c r="J319" s="1084"/>
      <c r="K319" s="1084"/>
      <c r="L319" s="1084"/>
      <c r="M319" s="1084"/>
      <c r="N319" s="1084"/>
      <c r="O319" s="1084"/>
      <c r="P319" s="1085"/>
    </row>
    <row r="320" spans="3:16" ht="15" thickBot="1">
      <c r="C320" s="1490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5"/>
    </row>
    <row r="321" spans="3:16" ht="16.2" thickBot="1">
      <c r="C321" s="2334" t="s">
        <v>494</v>
      </c>
      <c r="D321" s="2336" t="s">
        <v>594</v>
      </c>
      <c r="E321" s="2337"/>
      <c r="F321" s="2337"/>
      <c r="G321" s="2337"/>
      <c r="H321" s="2337"/>
      <c r="I321" s="2337"/>
      <c r="J321" s="2337"/>
      <c r="K321" s="2337"/>
      <c r="L321" s="2337"/>
      <c r="M321" s="2337"/>
      <c r="N321" s="2337"/>
      <c r="O321" s="2337"/>
      <c r="P321" s="2338"/>
    </row>
    <row r="322" spans="3:16" ht="16.2" thickBot="1">
      <c r="C322" s="2335"/>
      <c r="D322" s="1086" t="s">
        <v>328</v>
      </c>
      <c r="E322" s="1087" t="s">
        <v>2</v>
      </c>
      <c r="F322" s="1087" t="s">
        <v>3</v>
      </c>
      <c r="G322" s="1087" t="s">
        <v>4</v>
      </c>
      <c r="H322" s="1087" t="s">
        <v>5</v>
      </c>
      <c r="I322" s="1087" t="s">
        <v>6</v>
      </c>
      <c r="J322" s="1087" t="s">
        <v>7</v>
      </c>
      <c r="K322" s="1087" t="s">
        <v>8</v>
      </c>
      <c r="L322" s="1087" t="s">
        <v>9</v>
      </c>
      <c r="M322" s="1087" t="s">
        <v>10</v>
      </c>
      <c r="N322" s="1087" t="s">
        <v>11</v>
      </c>
      <c r="O322" s="1088" t="s">
        <v>12</v>
      </c>
      <c r="P322" s="1061" t="s">
        <v>13</v>
      </c>
    </row>
    <row r="323" spans="3:16" ht="15.6">
      <c r="C323" s="1491" t="s">
        <v>159</v>
      </c>
      <c r="D323" s="1492">
        <f>'Yatırım Bütçesi_2024 LPG'!C27</f>
        <v>0</v>
      </c>
      <c r="E323" s="1492">
        <f>'Yatırım Bütçesi_2024 LPG'!D27</f>
        <v>0</v>
      </c>
      <c r="F323" s="1492">
        <f>'Yatırım Bütçesi_2024 LPG'!E27</f>
        <v>0</v>
      </c>
      <c r="G323" s="1492">
        <f>'Yatırım Bütçesi_2024 LPG'!F27</f>
        <v>0</v>
      </c>
      <c r="H323" s="1492">
        <f>'Yatırım Bütçesi_2024 LPG'!G27</f>
        <v>0</v>
      </c>
      <c r="I323" s="1492">
        <f>'Yatırım Bütçesi_2024 LPG'!H27</f>
        <v>0</v>
      </c>
      <c r="J323" s="1492">
        <f>'Yatırım Bütçesi_2024 LPG'!I27</f>
        <v>0</v>
      </c>
      <c r="K323" s="1492">
        <f>'Yatırım Bütçesi_2024 LPG'!J27</f>
        <v>0</v>
      </c>
      <c r="L323" s="1492">
        <f>'Yatırım Bütçesi_2024 LPG'!K27</f>
        <v>0</v>
      </c>
      <c r="M323" s="1492">
        <f>'Yatırım Bütçesi_2024 LPG'!L27</f>
        <v>0</v>
      </c>
      <c r="N323" s="1492">
        <f>'Yatırım Bütçesi_2024 LPG'!M27</f>
        <v>0</v>
      </c>
      <c r="O323" s="1492">
        <f>'Yatırım Bütçesi_2024 LPG'!N27</f>
        <v>0</v>
      </c>
      <c r="P323" s="1495">
        <f>SUM(D323:O323)</f>
        <v>0</v>
      </c>
    </row>
    <row r="324" spans="3:16" ht="15.6">
      <c r="C324" s="1496" t="s">
        <v>90</v>
      </c>
      <c r="D324" s="1492">
        <f>'Yatırım Bütçesi_2024 LPG'!C28</f>
        <v>0</v>
      </c>
      <c r="E324" s="1492">
        <f>'Yatırım Bütçesi_2024 LPG'!D28</f>
        <v>0</v>
      </c>
      <c r="F324" s="1492">
        <f>'Yatırım Bütçesi_2024 LPG'!E28</f>
        <v>0</v>
      </c>
      <c r="G324" s="1492">
        <f>'Yatırım Bütçesi_2024 LPG'!F28</f>
        <v>0</v>
      </c>
      <c r="H324" s="1492">
        <f>'Yatırım Bütçesi_2024 LPG'!G28</f>
        <v>0</v>
      </c>
      <c r="I324" s="1492">
        <f>'Yatırım Bütçesi_2024 LPG'!H28</f>
        <v>0</v>
      </c>
      <c r="J324" s="1492">
        <f>'Yatırım Bütçesi_2024 LPG'!I28</f>
        <v>0</v>
      </c>
      <c r="K324" s="1492">
        <f>'Yatırım Bütçesi_2024 LPG'!J28</f>
        <v>0</v>
      </c>
      <c r="L324" s="1492">
        <f>'Yatırım Bütçesi_2024 LPG'!K28</f>
        <v>0</v>
      </c>
      <c r="M324" s="1492">
        <f>'Yatırım Bütçesi_2024 LPG'!L28</f>
        <v>0</v>
      </c>
      <c r="N324" s="1492">
        <f>'Yatırım Bütçesi_2024 LPG'!M28</f>
        <v>0</v>
      </c>
      <c r="O324" s="1492">
        <f>'Yatırım Bütçesi_2024 LPG'!N28</f>
        <v>0</v>
      </c>
      <c r="P324" s="1500">
        <f t="shared" ref="P324:P336" si="110">SUM(D324:O324)</f>
        <v>0</v>
      </c>
    </row>
    <row r="325" spans="3:16" ht="15.6">
      <c r="C325" s="1496" t="s">
        <v>91</v>
      </c>
      <c r="D325" s="1492">
        <f>'Yatırım Bütçesi_2024 LPG'!C29</f>
        <v>0</v>
      </c>
      <c r="E325" s="1492">
        <f>'Yatırım Bütçesi_2024 LPG'!D29</f>
        <v>0</v>
      </c>
      <c r="F325" s="1492">
        <f>'Yatırım Bütçesi_2024 LPG'!E29</f>
        <v>0</v>
      </c>
      <c r="G325" s="1492">
        <f>'Yatırım Bütçesi_2024 LPG'!F29</f>
        <v>0</v>
      </c>
      <c r="H325" s="1492">
        <f>'Yatırım Bütçesi_2024 LPG'!G29</f>
        <v>0</v>
      </c>
      <c r="I325" s="1492">
        <f>'Yatırım Bütçesi_2024 LPG'!H29</f>
        <v>0</v>
      </c>
      <c r="J325" s="1492">
        <f>'Yatırım Bütçesi_2024 LPG'!I29</f>
        <v>0</v>
      </c>
      <c r="K325" s="1492">
        <f>'Yatırım Bütçesi_2024 LPG'!J29</f>
        <v>0</v>
      </c>
      <c r="L325" s="1492">
        <f>'Yatırım Bütçesi_2024 LPG'!K29</f>
        <v>0</v>
      </c>
      <c r="M325" s="1492">
        <f>'Yatırım Bütçesi_2024 LPG'!L29</f>
        <v>0</v>
      </c>
      <c r="N325" s="1492">
        <f>'Yatırım Bütçesi_2024 LPG'!M29</f>
        <v>0</v>
      </c>
      <c r="O325" s="1492">
        <f>'Yatırım Bütçesi_2024 LPG'!N29</f>
        <v>0</v>
      </c>
      <c r="P325" s="1501">
        <f t="shared" si="110"/>
        <v>0</v>
      </c>
    </row>
    <row r="326" spans="3:16" ht="15.6">
      <c r="C326" s="1496" t="s">
        <v>104</v>
      </c>
      <c r="D326" s="1492">
        <f>'Yatırım Bütçesi_2024 LPG'!C30</f>
        <v>0</v>
      </c>
      <c r="E326" s="1492">
        <f>'Yatırım Bütçesi_2024 LPG'!D30</f>
        <v>0</v>
      </c>
      <c r="F326" s="1492">
        <f>'Yatırım Bütçesi_2024 LPG'!E30</f>
        <v>0</v>
      </c>
      <c r="G326" s="1492">
        <f>'Yatırım Bütçesi_2024 LPG'!F30</f>
        <v>0</v>
      </c>
      <c r="H326" s="1492">
        <f>'Yatırım Bütçesi_2024 LPG'!G30</f>
        <v>0</v>
      </c>
      <c r="I326" s="1492">
        <f>'Yatırım Bütçesi_2024 LPG'!H30</f>
        <v>0</v>
      </c>
      <c r="J326" s="1492">
        <f>'Yatırım Bütçesi_2024 LPG'!I30</f>
        <v>0</v>
      </c>
      <c r="K326" s="1492">
        <f>'Yatırım Bütçesi_2024 LPG'!J30</f>
        <v>0</v>
      </c>
      <c r="L326" s="1492">
        <f>'Yatırım Bütçesi_2024 LPG'!K30</f>
        <v>0</v>
      </c>
      <c r="M326" s="1492">
        <f>'Yatırım Bütçesi_2024 LPG'!L30</f>
        <v>0</v>
      </c>
      <c r="N326" s="1492">
        <f>'Yatırım Bütçesi_2024 LPG'!M30</f>
        <v>0</v>
      </c>
      <c r="O326" s="1492">
        <f>'Yatırım Bütçesi_2024 LPG'!N30</f>
        <v>0</v>
      </c>
      <c r="P326" s="1501">
        <f t="shared" si="110"/>
        <v>0</v>
      </c>
    </row>
    <row r="327" spans="3:16" ht="15.6">
      <c r="C327" s="1496" t="s">
        <v>101</v>
      </c>
      <c r="D327" s="1492">
        <f>'Yatırım Bütçesi_2024 LPG'!C31</f>
        <v>0</v>
      </c>
      <c r="E327" s="1492">
        <f>'Yatırım Bütçesi_2024 LPG'!D31</f>
        <v>0</v>
      </c>
      <c r="F327" s="1492">
        <f>'Yatırım Bütçesi_2024 LPG'!E31</f>
        <v>0</v>
      </c>
      <c r="G327" s="1492">
        <f>'Yatırım Bütçesi_2024 LPG'!F31</f>
        <v>0</v>
      </c>
      <c r="H327" s="1492">
        <f>'Yatırım Bütçesi_2024 LPG'!G31</f>
        <v>0</v>
      </c>
      <c r="I327" s="1492">
        <f>'Yatırım Bütçesi_2024 LPG'!H31</f>
        <v>0</v>
      </c>
      <c r="J327" s="1492">
        <f>'Yatırım Bütçesi_2024 LPG'!I31</f>
        <v>0</v>
      </c>
      <c r="K327" s="1492">
        <f>'Yatırım Bütçesi_2024 LPG'!J31</f>
        <v>0</v>
      </c>
      <c r="L327" s="1492">
        <f>'Yatırım Bütçesi_2024 LPG'!K31</f>
        <v>0</v>
      </c>
      <c r="M327" s="1492">
        <f>'Yatırım Bütçesi_2024 LPG'!L31</f>
        <v>0</v>
      </c>
      <c r="N327" s="1492">
        <f>'Yatırım Bütçesi_2024 LPG'!M31</f>
        <v>0</v>
      </c>
      <c r="O327" s="1492">
        <f>'Yatırım Bütçesi_2024 LPG'!N31</f>
        <v>0</v>
      </c>
      <c r="P327" s="1501">
        <f t="shared" si="110"/>
        <v>0</v>
      </c>
    </row>
    <row r="328" spans="3:16" ht="15.6">
      <c r="C328" s="1496" t="s">
        <v>486</v>
      </c>
      <c r="D328" s="1492">
        <f>'Yatırım Bütçesi_2024 LPG'!C32</f>
        <v>0</v>
      </c>
      <c r="E328" s="1492">
        <f>'Yatırım Bütçesi_2024 LPG'!D32</f>
        <v>0</v>
      </c>
      <c r="F328" s="1492">
        <f>'Yatırım Bütçesi_2024 LPG'!E32</f>
        <v>0</v>
      </c>
      <c r="G328" s="1492">
        <f>'Yatırım Bütçesi_2024 LPG'!F32</f>
        <v>0</v>
      </c>
      <c r="H328" s="1492">
        <f>'Yatırım Bütçesi_2024 LPG'!G32</f>
        <v>0</v>
      </c>
      <c r="I328" s="1492">
        <f>'Yatırım Bütçesi_2024 LPG'!H32</f>
        <v>0</v>
      </c>
      <c r="J328" s="1492">
        <f>'Yatırım Bütçesi_2024 LPG'!I32</f>
        <v>0</v>
      </c>
      <c r="K328" s="1492">
        <f>'Yatırım Bütçesi_2024 LPG'!J32</f>
        <v>0</v>
      </c>
      <c r="L328" s="1492">
        <f>'Yatırım Bütçesi_2024 LPG'!K32</f>
        <v>0</v>
      </c>
      <c r="M328" s="1492">
        <f>'Yatırım Bütçesi_2024 LPG'!L32</f>
        <v>0</v>
      </c>
      <c r="N328" s="1492">
        <f>'Yatırım Bütçesi_2024 LPG'!M32</f>
        <v>0</v>
      </c>
      <c r="O328" s="1492">
        <f>'Yatırım Bütçesi_2024 LPG'!N32</f>
        <v>0</v>
      </c>
      <c r="P328" s="1501">
        <f t="shared" si="110"/>
        <v>0</v>
      </c>
    </row>
    <row r="329" spans="3:16" ht="15.6">
      <c r="C329" s="1496" t="s">
        <v>96</v>
      </c>
      <c r="D329" s="1492">
        <f>'Yatırım Bütçesi_2024 LPG'!C33</f>
        <v>0</v>
      </c>
      <c r="E329" s="1492">
        <f>'Yatırım Bütçesi_2024 LPG'!D33</f>
        <v>0</v>
      </c>
      <c r="F329" s="1492">
        <f>'Yatırım Bütçesi_2024 LPG'!E33</f>
        <v>0</v>
      </c>
      <c r="G329" s="1492">
        <f>'Yatırım Bütçesi_2024 LPG'!F33</f>
        <v>0</v>
      </c>
      <c r="H329" s="1492">
        <f>'Yatırım Bütçesi_2024 LPG'!G33</f>
        <v>0</v>
      </c>
      <c r="I329" s="1492">
        <f>'Yatırım Bütçesi_2024 LPG'!H33</f>
        <v>0</v>
      </c>
      <c r="J329" s="1492">
        <f>'Yatırım Bütçesi_2024 LPG'!I33</f>
        <v>0</v>
      </c>
      <c r="K329" s="1492">
        <f>'Yatırım Bütçesi_2024 LPG'!J33</f>
        <v>0</v>
      </c>
      <c r="L329" s="1492">
        <f>'Yatırım Bütçesi_2024 LPG'!K33</f>
        <v>0</v>
      </c>
      <c r="M329" s="1492">
        <f>'Yatırım Bütçesi_2024 LPG'!L33</f>
        <v>0</v>
      </c>
      <c r="N329" s="1492">
        <f>'Yatırım Bütçesi_2024 LPG'!M33</f>
        <v>0</v>
      </c>
      <c r="O329" s="1492">
        <f>'Yatırım Bütçesi_2024 LPG'!N33</f>
        <v>0</v>
      </c>
      <c r="P329" s="1501">
        <f t="shared" si="110"/>
        <v>0</v>
      </c>
    </row>
    <row r="330" spans="3:16" ht="15.6">
      <c r="C330" s="1496" t="s">
        <v>585</v>
      </c>
      <c r="D330" s="1492">
        <f>'Yatırım Bütçesi_2024 LPG'!C34</f>
        <v>0</v>
      </c>
      <c r="E330" s="1492">
        <f>'Yatırım Bütçesi_2024 LPG'!D34</f>
        <v>0</v>
      </c>
      <c r="F330" s="1492">
        <f>'Yatırım Bütçesi_2024 LPG'!E34</f>
        <v>0</v>
      </c>
      <c r="G330" s="1492">
        <f>'Yatırım Bütçesi_2024 LPG'!F34</f>
        <v>0</v>
      </c>
      <c r="H330" s="1492">
        <f>'Yatırım Bütçesi_2024 LPG'!G34</f>
        <v>0</v>
      </c>
      <c r="I330" s="1492">
        <f>'Yatırım Bütçesi_2024 LPG'!H34</f>
        <v>0</v>
      </c>
      <c r="J330" s="1492">
        <f>'Yatırım Bütçesi_2024 LPG'!I34</f>
        <v>0</v>
      </c>
      <c r="K330" s="1492">
        <f>'Yatırım Bütçesi_2024 LPG'!J34</f>
        <v>0</v>
      </c>
      <c r="L330" s="1492">
        <f>'Yatırım Bütçesi_2024 LPG'!K34</f>
        <v>0</v>
      </c>
      <c r="M330" s="1492">
        <f>'Yatırım Bütçesi_2024 LPG'!L34</f>
        <v>0</v>
      </c>
      <c r="N330" s="1492">
        <f>'Yatırım Bütçesi_2024 LPG'!M34</f>
        <v>0</v>
      </c>
      <c r="O330" s="1492">
        <f>'Yatırım Bütçesi_2024 LPG'!N34</f>
        <v>0</v>
      </c>
      <c r="P330" s="1501">
        <f t="shared" si="110"/>
        <v>0</v>
      </c>
    </row>
    <row r="331" spans="3:16" ht="15.6">
      <c r="C331" s="1496" t="s">
        <v>561</v>
      </c>
      <c r="D331" s="1492">
        <f>'Yatırım Bütçesi_2024 LPG'!C35</f>
        <v>0</v>
      </c>
      <c r="E331" s="1492">
        <f>'Yatırım Bütçesi_2024 LPG'!D35</f>
        <v>0</v>
      </c>
      <c r="F331" s="1492">
        <f>'Yatırım Bütçesi_2024 LPG'!E35</f>
        <v>0</v>
      </c>
      <c r="G331" s="1492">
        <f>'Yatırım Bütçesi_2024 LPG'!F35</f>
        <v>0</v>
      </c>
      <c r="H331" s="1492">
        <f>'Yatırım Bütçesi_2024 LPG'!G35</f>
        <v>0</v>
      </c>
      <c r="I331" s="1492">
        <f>'Yatırım Bütçesi_2024 LPG'!H35</f>
        <v>0</v>
      </c>
      <c r="J331" s="1492">
        <f>'Yatırım Bütçesi_2024 LPG'!I35</f>
        <v>0</v>
      </c>
      <c r="K331" s="1492">
        <f>'Yatırım Bütçesi_2024 LPG'!J35</f>
        <v>0</v>
      </c>
      <c r="L331" s="1492">
        <f>'Yatırım Bütçesi_2024 LPG'!K35</f>
        <v>0</v>
      </c>
      <c r="M331" s="1492">
        <f>'Yatırım Bütçesi_2024 LPG'!L35</f>
        <v>0</v>
      </c>
      <c r="N331" s="1492">
        <f>'Yatırım Bütçesi_2024 LPG'!M35</f>
        <v>0</v>
      </c>
      <c r="O331" s="1492">
        <f>'Yatırım Bütçesi_2024 LPG'!N35</f>
        <v>0</v>
      </c>
      <c r="P331" s="1501">
        <f t="shared" si="110"/>
        <v>0</v>
      </c>
    </row>
    <row r="332" spans="3:16" ht="15.6">
      <c r="C332" s="1496" t="s">
        <v>586</v>
      </c>
      <c r="D332" s="1492">
        <f>'Yatırım Bütçesi_2024 LPG'!C36</f>
        <v>0</v>
      </c>
      <c r="E332" s="1492">
        <f>'Yatırım Bütçesi_2024 LPG'!D36</f>
        <v>0</v>
      </c>
      <c r="F332" s="1492">
        <f>'Yatırım Bütçesi_2024 LPG'!E36</f>
        <v>0</v>
      </c>
      <c r="G332" s="1492">
        <f>'Yatırım Bütçesi_2024 LPG'!F36</f>
        <v>0</v>
      </c>
      <c r="H332" s="1492">
        <f>'Yatırım Bütçesi_2024 LPG'!G36</f>
        <v>0</v>
      </c>
      <c r="I332" s="1492">
        <f>'Yatırım Bütçesi_2024 LPG'!H36</f>
        <v>0</v>
      </c>
      <c r="J332" s="1492">
        <f>'Yatırım Bütçesi_2024 LPG'!I36</f>
        <v>0</v>
      </c>
      <c r="K332" s="1492">
        <f>'Yatırım Bütçesi_2024 LPG'!J36</f>
        <v>0</v>
      </c>
      <c r="L332" s="1492">
        <f>'Yatırım Bütçesi_2024 LPG'!K36</f>
        <v>0</v>
      </c>
      <c r="M332" s="1492">
        <f>'Yatırım Bütçesi_2024 LPG'!L36</f>
        <v>0</v>
      </c>
      <c r="N332" s="1492">
        <f>'Yatırım Bütçesi_2024 LPG'!M36</f>
        <v>0</v>
      </c>
      <c r="O332" s="1492">
        <f>'Yatırım Bütçesi_2024 LPG'!N36</f>
        <v>0</v>
      </c>
      <c r="P332" s="1501">
        <f t="shared" si="110"/>
        <v>0</v>
      </c>
    </row>
    <row r="333" spans="3:16" ht="15.6">
      <c r="C333" s="1496" t="s">
        <v>100</v>
      </c>
      <c r="D333" s="1492">
        <f>'Yatırım Bütçesi_2024 LPG'!C37</f>
        <v>0</v>
      </c>
      <c r="E333" s="1492">
        <f>'Yatırım Bütçesi_2024 LPG'!D37</f>
        <v>0</v>
      </c>
      <c r="F333" s="1492">
        <f>'Yatırım Bütçesi_2024 LPG'!E37</f>
        <v>0</v>
      </c>
      <c r="G333" s="1492">
        <f>'Yatırım Bütçesi_2024 LPG'!F37</f>
        <v>0</v>
      </c>
      <c r="H333" s="1492">
        <f>'Yatırım Bütçesi_2024 LPG'!G37</f>
        <v>0</v>
      </c>
      <c r="I333" s="1492">
        <f>'Yatırım Bütçesi_2024 LPG'!H37</f>
        <v>0</v>
      </c>
      <c r="J333" s="1492">
        <f>'Yatırım Bütçesi_2024 LPG'!I37</f>
        <v>0</v>
      </c>
      <c r="K333" s="1492">
        <f>'Yatırım Bütçesi_2024 LPG'!J37</f>
        <v>0</v>
      </c>
      <c r="L333" s="1492">
        <f>'Yatırım Bütçesi_2024 LPG'!K37</f>
        <v>0</v>
      </c>
      <c r="M333" s="1492">
        <f>'Yatırım Bütçesi_2024 LPG'!L37</f>
        <v>0</v>
      </c>
      <c r="N333" s="1492">
        <f>'Yatırım Bütçesi_2024 LPG'!M37</f>
        <v>0</v>
      </c>
      <c r="O333" s="1492">
        <f>'Yatırım Bütçesi_2024 LPG'!N37</f>
        <v>0</v>
      </c>
      <c r="P333" s="1501">
        <f t="shared" si="110"/>
        <v>0</v>
      </c>
    </row>
    <row r="334" spans="3:16" ht="15.6">
      <c r="C334" s="1496" t="s">
        <v>102</v>
      </c>
      <c r="D334" s="1492">
        <f>'Yatırım Bütçesi_2024 LPG'!C38</f>
        <v>0</v>
      </c>
      <c r="E334" s="1492">
        <f>'Yatırım Bütçesi_2024 LPG'!D38</f>
        <v>0</v>
      </c>
      <c r="F334" s="1492">
        <f>'Yatırım Bütçesi_2024 LPG'!E38</f>
        <v>0</v>
      </c>
      <c r="G334" s="1492">
        <f>'Yatırım Bütçesi_2024 LPG'!F38</f>
        <v>0</v>
      </c>
      <c r="H334" s="1492">
        <f>'Yatırım Bütçesi_2024 LPG'!G38</f>
        <v>0</v>
      </c>
      <c r="I334" s="1492">
        <f>'Yatırım Bütçesi_2024 LPG'!H38</f>
        <v>0</v>
      </c>
      <c r="J334" s="1492">
        <f>'Yatırım Bütçesi_2024 LPG'!I38</f>
        <v>0</v>
      </c>
      <c r="K334" s="1492">
        <f>'Yatırım Bütçesi_2024 LPG'!J38</f>
        <v>0</v>
      </c>
      <c r="L334" s="1492">
        <f>'Yatırım Bütçesi_2024 LPG'!K38</f>
        <v>0</v>
      </c>
      <c r="M334" s="1492">
        <f>'Yatırım Bütçesi_2024 LPG'!L38</f>
        <v>0</v>
      </c>
      <c r="N334" s="1492">
        <f>'Yatırım Bütçesi_2024 LPG'!M38</f>
        <v>0</v>
      </c>
      <c r="O334" s="1492">
        <f>'Yatırım Bütçesi_2024 LPG'!N38</f>
        <v>0</v>
      </c>
      <c r="P334" s="1501">
        <f t="shared" si="110"/>
        <v>0</v>
      </c>
    </row>
    <row r="335" spans="3:16" ht="15.6">
      <c r="C335" s="1496" t="s">
        <v>559</v>
      </c>
      <c r="D335" s="1492">
        <f>'Yatırım Bütçesi_2024 LPG'!C39</f>
        <v>0</v>
      </c>
      <c r="E335" s="1492">
        <f>'Yatırım Bütçesi_2024 LPG'!D39</f>
        <v>0</v>
      </c>
      <c r="F335" s="1492">
        <f>'Yatırım Bütçesi_2024 LPG'!E39</f>
        <v>0</v>
      </c>
      <c r="G335" s="1492">
        <f>'Yatırım Bütçesi_2024 LPG'!F39</f>
        <v>0</v>
      </c>
      <c r="H335" s="1492">
        <f>'Yatırım Bütçesi_2024 LPG'!G39</f>
        <v>0</v>
      </c>
      <c r="I335" s="1492">
        <f>'Yatırım Bütçesi_2024 LPG'!H39</f>
        <v>0</v>
      </c>
      <c r="J335" s="1492">
        <f>'Yatırım Bütçesi_2024 LPG'!I39</f>
        <v>0</v>
      </c>
      <c r="K335" s="1492">
        <f>'Yatırım Bütçesi_2024 LPG'!J39</f>
        <v>0</v>
      </c>
      <c r="L335" s="1492">
        <f>'Yatırım Bütçesi_2024 LPG'!K39</f>
        <v>0</v>
      </c>
      <c r="M335" s="1492">
        <f>'Yatırım Bütçesi_2024 LPG'!L39</f>
        <v>0</v>
      </c>
      <c r="N335" s="1492">
        <f>'Yatırım Bütçesi_2024 LPG'!M39</f>
        <v>0</v>
      </c>
      <c r="O335" s="1492">
        <f>'Yatırım Bütçesi_2024 LPG'!N39</f>
        <v>0</v>
      </c>
      <c r="P335" s="1501">
        <f t="shared" si="110"/>
        <v>0</v>
      </c>
    </row>
    <row r="336" spans="3:16" ht="16.2" thickBot="1">
      <c r="C336" s="1502" t="s">
        <v>488</v>
      </c>
      <c r="D336" s="1492">
        <f>'Yatırım Bütçesi_2024 LPG'!C40</f>
        <v>0</v>
      </c>
      <c r="E336" s="1492">
        <f>'Yatırım Bütçesi_2024 LPG'!D40</f>
        <v>0</v>
      </c>
      <c r="F336" s="1492">
        <f>'Yatırım Bütçesi_2024 LPG'!E40</f>
        <v>0</v>
      </c>
      <c r="G336" s="1492">
        <f>'Yatırım Bütçesi_2024 LPG'!F40</f>
        <v>0</v>
      </c>
      <c r="H336" s="1492">
        <f>'Yatırım Bütçesi_2024 LPG'!G40</f>
        <v>0</v>
      </c>
      <c r="I336" s="1492">
        <f>'Yatırım Bütçesi_2024 LPG'!H40</f>
        <v>0</v>
      </c>
      <c r="J336" s="1492">
        <f>'Yatırım Bütçesi_2024 LPG'!I40</f>
        <v>0</v>
      </c>
      <c r="K336" s="1492">
        <f>'Yatırım Bütçesi_2024 LPG'!J40</f>
        <v>0</v>
      </c>
      <c r="L336" s="1492">
        <f>'Yatırım Bütçesi_2024 LPG'!K40</f>
        <v>0</v>
      </c>
      <c r="M336" s="1492">
        <f>'Yatırım Bütçesi_2024 LPG'!L40</f>
        <v>0</v>
      </c>
      <c r="N336" s="1492">
        <f>'Yatırım Bütçesi_2024 LPG'!M40</f>
        <v>0</v>
      </c>
      <c r="O336" s="1492">
        <f>'Yatırım Bütçesi_2024 LPG'!N40</f>
        <v>0</v>
      </c>
      <c r="P336" s="1503">
        <f t="shared" si="110"/>
        <v>0</v>
      </c>
    </row>
    <row r="337" spans="3:16" ht="16.2" thickBot="1">
      <c r="C337" s="1504" t="s">
        <v>37</v>
      </c>
      <c r="D337" s="1505">
        <f t="shared" ref="D337:P337" si="111">SUM(D323:D336)</f>
        <v>0</v>
      </c>
      <c r="E337" s="1506">
        <f t="shared" si="111"/>
        <v>0</v>
      </c>
      <c r="F337" s="1506">
        <f t="shared" si="111"/>
        <v>0</v>
      </c>
      <c r="G337" s="1506">
        <f t="shared" si="111"/>
        <v>0</v>
      </c>
      <c r="H337" s="1506">
        <f t="shared" si="111"/>
        <v>0</v>
      </c>
      <c r="I337" s="1506">
        <f t="shared" si="111"/>
        <v>0</v>
      </c>
      <c r="J337" s="1506">
        <f t="shared" si="111"/>
        <v>0</v>
      </c>
      <c r="K337" s="1506">
        <f t="shared" si="111"/>
        <v>0</v>
      </c>
      <c r="L337" s="1506">
        <f t="shared" si="111"/>
        <v>0</v>
      </c>
      <c r="M337" s="1506">
        <f t="shared" si="111"/>
        <v>0</v>
      </c>
      <c r="N337" s="1506">
        <f t="shared" si="111"/>
        <v>0</v>
      </c>
      <c r="O337" s="1507">
        <f t="shared" si="111"/>
        <v>0</v>
      </c>
      <c r="P337" s="1508">
        <f t="shared" si="111"/>
        <v>0</v>
      </c>
    </row>
    <row r="338" spans="3:16" ht="15" thickBot="1">
      <c r="C338" s="1490"/>
      <c r="D338" s="1084"/>
      <c r="E338" s="1084"/>
      <c r="F338" s="1084"/>
      <c r="G338" s="1084"/>
      <c r="H338" s="1084"/>
      <c r="I338" s="1084"/>
      <c r="J338" s="1084"/>
      <c r="K338" s="1084"/>
      <c r="L338" s="1084"/>
      <c r="M338" s="1084"/>
      <c r="N338" s="1084"/>
      <c r="O338" s="1084"/>
      <c r="P338" s="1085"/>
    </row>
    <row r="339" spans="3:16" ht="16.2" thickBot="1">
      <c r="C339" s="2334" t="s">
        <v>494</v>
      </c>
      <c r="D339" s="2336" t="s">
        <v>595</v>
      </c>
      <c r="E339" s="2337"/>
      <c r="F339" s="2337"/>
      <c r="G339" s="2337"/>
      <c r="H339" s="2337"/>
      <c r="I339" s="2337"/>
      <c r="J339" s="2337"/>
      <c r="K339" s="2337"/>
      <c r="L339" s="2337"/>
      <c r="M339" s="2337"/>
      <c r="N339" s="2337"/>
      <c r="O339" s="2337"/>
      <c r="P339" s="2338"/>
    </row>
    <row r="340" spans="3:16" ht="16.2" thickBot="1">
      <c r="C340" s="2335"/>
      <c r="D340" s="1086" t="s">
        <v>328</v>
      </c>
      <c r="E340" s="1087" t="s">
        <v>2</v>
      </c>
      <c r="F340" s="1087" t="s">
        <v>3</v>
      </c>
      <c r="G340" s="1087" t="s">
        <v>4</v>
      </c>
      <c r="H340" s="1087" t="s">
        <v>5</v>
      </c>
      <c r="I340" s="1087" t="s">
        <v>6</v>
      </c>
      <c r="J340" s="1087" t="s">
        <v>7</v>
      </c>
      <c r="K340" s="1087" t="s">
        <v>8</v>
      </c>
      <c r="L340" s="1087" t="s">
        <v>9</v>
      </c>
      <c r="M340" s="1087" t="s">
        <v>10</v>
      </c>
      <c r="N340" s="1087" t="s">
        <v>11</v>
      </c>
      <c r="O340" s="1088" t="s">
        <v>12</v>
      </c>
      <c r="P340" s="1061" t="s">
        <v>13</v>
      </c>
    </row>
    <row r="341" spans="3:16" ht="15.6">
      <c r="C341" s="1491" t="s">
        <v>159</v>
      </c>
      <c r="D341" s="1510">
        <f>'Yatırım Bütçesi_2024 LPG'!C9</f>
        <v>0</v>
      </c>
      <c r="E341" s="1510">
        <f>'Yatırım Bütçesi_2024 LPG'!D9</f>
        <v>0</v>
      </c>
      <c r="F341" s="1510">
        <f>'Yatırım Bütçesi_2024 LPG'!E9</f>
        <v>0</v>
      </c>
      <c r="G341" s="1510">
        <f>'Yatırım Bütçesi_2024 LPG'!F9</f>
        <v>0</v>
      </c>
      <c r="H341" s="1510">
        <f>'Yatırım Bütçesi_2024 LPG'!G9</f>
        <v>0</v>
      </c>
      <c r="I341" s="1510">
        <f>'Yatırım Bütçesi_2024 LPG'!H9</f>
        <v>0</v>
      </c>
      <c r="J341" s="1510">
        <f>'Yatırım Bütçesi_2024 LPG'!I9</f>
        <v>0</v>
      </c>
      <c r="K341" s="1510">
        <f>'Yatırım Bütçesi_2024 LPG'!J9</f>
        <v>0</v>
      </c>
      <c r="L341" s="1510">
        <f>'Yatırım Bütçesi_2024 LPG'!K9</f>
        <v>0</v>
      </c>
      <c r="M341" s="1510">
        <f>'Yatırım Bütçesi_2024 LPG'!L9</f>
        <v>0</v>
      </c>
      <c r="N341" s="1510">
        <f>'Yatırım Bütçesi_2024 LPG'!M9</f>
        <v>0</v>
      </c>
      <c r="O341" s="1510">
        <f>'Yatırım Bütçesi_2024 LPG'!N9</f>
        <v>0</v>
      </c>
      <c r="P341" s="1513">
        <f>SUM(D341:O341)</f>
        <v>0</v>
      </c>
    </row>
    <row r="342" spans="3:16" ht="15.6">
      <c r="C342" s="1496" t="s">
        <v>90</v>
      </c>
      <c r="D342" s="1510">
        <f>'Yatırım Bütçesi_2024 LPG'!C10</f>
        <v>0</v>
      </c>
      <c r="E342" s="1510">
        <f>'Yatırım Bütçesi_2024 LPG'!D10</f>
        <v>0</v>
      </c>
      <c r="F342" s="1510">
        <f>'Yatırım Bütçesi_2024 LPG'!E10</f>
        <v>0</v>
      </c>
      <c r="G342" s="1510">
        <f>'Yatırım Bütçesi_2024 LPG'!F10</f>
        <v>0</v>
      </c>
      <c r="H342" s="1510">
        <f>'Yatırım Bütçesi_2024 LPG'!G10</f>
        <v>0</v>
      </c>
      <c r="I342" s="1510">
        <f>'Yatırım Bütçesi_2024 LPG'!H10</f>
        <v>0</v>
      </c>
      <c r="J342" s="1510">
        <f>'Yatırım Bütçesi_2024 LPG'!I10</f>
        <v>0</v>
      </c>
      <c r="K342" s="1510">
        <f>'Yatırım Bütçesi_2024 LPG'!J10</f>
        <v>0</v>
      </c>
      <c r="L342" s="1510">
        <f>'Yatırım Bütçesi_2024 LPG'!K10</f>
        <v>0</v>
      </c>
      <c r="M342" s="1510">
        <f>'Yatırım Bütçesi_2024 LPG'!L10</f>
        <v>0</v>
      </c>
      <c r="N342" s="1510">
        <f>'Yatırım Bütçesi_2024 LPG'!M10</f>
        <v>0</v>
      </c>
      <c r="O342" s="1510">
        <f>'Yatırım Bütçesi_2024 LPG'!N10</f>
        <v>0</v>
      </c>
      <c r="P342" s="1517">
        <f t="shared" ref="P342:P354" si="112">SUM(D342:O342)</f>
        <v>0</v>
      </c>
    </row>
    <row r="343" spans="3:16" ht="15.6">
      <c r="C343" s="1496" t="s">
        <v>91</v>
      </c>
      <c r="D343" s="1510">
        <f>'Yatırım Bütçesi_2024 LPG'!C11</f>
        <v>0</v>
      </c>
      <c r="E343" s="1510">
        <f>'Yatırım Bütçesi_2024 LPG'!D11</f>
        <v>0</v>
      </c>
      <c r="F343" s="1510">
        <f>'Yatırım Bütçesi_2024 LPG'!E11</f>
        <v>0</v>
      </c>
      <c r="G343" s="1510">
        <f>'Yatırım Bütçesi_2024 LPG'!F11</f>
        <v>0</v>
      </c>
      <c r="H343" s="1510">
        <f>'Yatırım Bütçesi_2024 LPG'!G11</f>
        <v>0</v>
      </c>
      <c r="I343" s="1510">
        <f>'Yatırım Bütçesi_2024 LPG'!H11</f>
        <v>0</v>
      </c>
      <c r="J343" s="1510">
        <f>'Yatırım Bütçesi_2024 LPG'!I11</f>
        <v>0</v>
      </c>
      <c r="K343" s="1510">
        <f>'Yatırım Bütçesi_2024 LPG'!J11</f>
        <v>0</v>
      </c>
      <c r="L343" s="1510">
        <f>'Yatırım Bütçesi_2024 LPG'!K11</f>
        <v>0</v>
      </c>
      <c r="M343" s="1510">
        <f>'Yatırım Bütçesi_2024 LPG'!L11</f>
        <v>0</v>
      </c>
      <c r="N343" s="1510">
        <f>'Yatırım Bütçesi_2024 LPG'!M11</f>
        <v>0</v>
      </c>
      <c r="O343" s="1510">
        <f>'Yatırım Bütçesi_2024 LPG'!N11</f>
        <v>0</v>
      </c>
      <c r="P343" s="1518">
        <f t="shared" si="112"/>
        <v>0</v>
      </c>
    </row>
    <row r="344" spans="3:16" ht="15.6">
      <c r="C344" s="1496" t="s">
        <v>485</v>
      </c>
      <c r="D344" s="1510">
        <f>'Yatırım Bütçesi_2024 LPG'!C12</f>
        <v>0</v>
      </c>
      <c r="E344" s="1510">
        <f>'Yatırım Bütçesi_2024 LPG'!D12</f>
        <v>0</v>
      </c>
      <c r="F344" s="1510">
        <f>'Yatırım Bütçesi_2024 LPG'!E12</f>
        <v>0</v>
      </c>
      <c r="G344" s="1510">
        <f>'Yatırım Bütçesi_2024 LPG'!F12</f>
        <v>0</v>
      </c>
      <c r="H344" s="1510">
        <f>'Yatırım Bütçesi_2024 LPG'!G12</f>
        <v>0</v>
      </c>
      <c r="I344" s="1510">
        <f>'Yatırım Bütçesi_2024 LPG'!H12</f>
        <v>0</v>
      </c>
      <c r="J344" s="1510">
        <f>'Yatırım Bütçesi_2024 LPG'!I12</f>
        <v>0</v>
      </c>
      <c r="K344" s="1510">
        <f>'Yatırım Bütçesi_2024 LPG'!J12</f>
        <v>0</v>
      </c>
      <c r="L344" s="1510">
        <f>'Yatırım Bütçesi_2024 LPG'!K12</f>
        <v>0</v>
      </c>
      <c r="M344" s="1510">
        <f>'Yatırım Bütçesi_2024 LPG'!L12</f>
        <v>0</v>
      </c>
      <c r="N344" s="1510">
        <f>'Yatırım Bütçesi_2024 LPG'!M12</f>
        <v>0</v>
      </c>
      <c r="O344" s="1510">
        <f>'Yatırım Bütçesi_2024 LPG'!N12</f>
        <v>0</v>
      </c>
      <c r="P344" s="1518">
        <f t="shared" si="112"/>
        <v>0</v>
      </c>
    </row>
    <row r="345" spans="3:16" ht="15.6">
      <c r="C345" s="1496" t="s">
        <v>95</v>
      </c>
      <c r="D345" s="1510">
        <f>'Yatırım Bütçesi_2024 LPG'!C13</f>
        <v>0</v>
      </c>
      <c r="E345" s="1510">
        <f>'Yatırım Bütçesi_2024 LPG'!D13</f>
        <v>0</v>
      </c>
      <c r="F345" s="1510">
        <f>'Yatırım Bütçesi_2024 LPG'!E13</f>
        <v>0</v>
      </c>
      <c r="G345" s="1510">
        <f>'Yatırım Bütçesi_2024 LPG'!F13</f>
        <v>0</v>
      </c>
      <c r="H345" s="1510">
        <f>'Yatırım Bütçesi_2024 LPG'!G13</f>
        <v>0</v>
      </c>
      <c r="I345" s="1510">
        <f>'Yatırım Bütçesi_2024 LPG'!H13</f>
        <v>0</v>
      </c>
      <c r="J345" s="1510">
        <f>'Yatırım Bütçesi_2024 LPG'!I13</f>
        <v>0</v>
      </c>
      <c r="K345" s="1510">
        <f>'Yatırım Bütçesi_2024 LPG'!J13</f>
        <v>0</v>
      </c>
      <c r="L345" s="1510">
        <f>'Yatırım Bütçesi_2024 LPG'!K13</f>
        <v>0</v>
      </c>
      <c r="M345" s="1510">
        <f>'Yatırım Bütçesi_2024 LPG'!L13</f>
        <v>0</v>
      </c>
      <c r="N345" s="1510">
        <f>'Yatırım Bütçesi_2024 LPG'!M13</f>
        <v>0</v>
      </c>
      <c r="O345" s="1510">
        <f>'Yatırım Bütçesi_2024 LPG'!N13</f>
        <v>0</v>
      </c>
      <c r="P345" s="1518">
        <f t="shared" si="112"/>
        <v>0</v>
      </c>
    </row>
    <row r="346" spans="3:16" ht="15.6">
      <c r="C346" s="1496" t="s">
        <v>486</v>
      </c>
      <c r="D346" s="1510">
        <f>'Yatırım Bütçesi_2024 LPG'!C14</f>
        <v>0</v>
      </c>
      <c r="E346" s="1510">
        <f>'Yatırım Bütçesi_2024 LPG'!D14</f>
        <v>0</v>
      </c>
      <c r="F346" s="1510">
        <f>'Yatırım Bütçesi_2024 LPG'!E14</f>
        <v>0</v>
      </c>
      <c r="G346" s="1510">
        <f>'Yatırım Bütçesi_2024 LPG'!F14</f>
        <v>0</v>
      </c>
      <c r="H346" s="1510">
        <f>'Yatırım Bütçesi_2024 LPG'!G14</f>
        <v>0</v>
      </c>
      <c r="I346" s="1510">
        <f>'Yatırım Bütçesi_2024 LPG'!H14</f>
        <v>0</v>
      </c>
      <c r="J346" s="1510">
        <f>'Yatırım Bütçesi_2024 LPG'!I14</f>
        <v>0</v>
      </c>
      <c r="K346" s="1510">
        <f>'Yatırım Bütçesi_2024 LPG'!J14</f>
        <v>0</v>
      </c>
      <c r="L346" s="1510">
        <f>'Yatırım Bütçesi_2024 LPG'!K14</f>
        <v>0</v>
      </c>
      <c r="M346" s="1510">
        <f>'Yatırım Bütçesi_2024 LPG'!L14</f>
        <v>0</v>
      </c>
      <c r="N346" s="1510">
        <f>'Yatırım Bütçesi_2024 LPG'!M14</f>
        <v>0</v>
      </c>
      <c r="O346" s="1510">
        <f>'Yatırım Bütçesi_2024 LPG'!N14</f>
        <v>0</v>
      </c>
      <c r="P346" s="1518">
        <f t="shared" si="112"/>
        <v>0</v>
      </c>
    </row>
    <row r="347" spans="3:16" ht="15.6">
      <c r="C347" s="1496" t="s">
        <v>96</v>
      </c>
      <c r="D347" s="1510">
        <f>'Yatırım Bütçesi_2024 LPG'!C15</f>
        <v>0</v>
      </c>
      <c r="E347" s="1510">
        <f>'Yatırım Bütçesi_2024 LPG'!D15</f>
        <v>0</v>
      </c>
      <c r="F347" s="1510">
        <f>'Yatırım Bütçesi_2024 LPG'!E15</f>
        <v>0</v>
      </c>
      <c r="G347" s="1510">
        <f>'Yatırım Bütçesi_2024 LPG'!F15</f>
        <v>0</v>
      </c>
      <c r="H347" s="1510">
        <f>'Yatırım Bütçesi_2024 LPG'!G15</f>
        <v>0</v>
      </c>
      <c r="I347" s="1510">
        <f>'Yatırım Bütçesi_2024 LPG'!H15</f>
        <v>0</v>
      </c>
      <c r="J347" s="1510">
        <f>'Yatırım Bütçesi_2024 LPG'!I15</f>
        <v>0</v>
      </c>
      <c r="K347" s="1510">
        <f>'Yatırım Bütçesi_2024 LPG'!J15</f>
        <v>0</v>
      </c>
      <c r="L347" s="1510">
        <f>'Yatırım Bütçesi_2024 LPG'!K15</f>
        <v>0</v>
      </c>
      <c r="M347" s="1510">
        <f>'Yatırım Bütçesi_2024 LPG'!L15</f>
        <v>0</v>
      </c>
      <c r="N347" s="1510">
        <f>'Yatırım Bütçesi_2024 LPG'!M15</f>
        <v>0</v>
      </c>
      <c r="O347" s="1510">
        <f>'Yatırım Bütçesi_2024 LPG'!N15</f>
        <v>0</v>
      </c>
      <c r="P347" s="1518">
        <f t="shared" si="112"/>
        <v>0</v>
      </c>
    </row>
    <row r="348" spans="3:16" ht="15.6">
      <c r="C348" s="1496" t="s">
        <v>585</v>
      </c>
      <c r="D348" s="1510">
        <f>'Yatırım Bütçesi_2024 LPG'!C16</f>
        <v>0</v>
      </c>
      <c r="E348" s="1510">
        <f>'Yatırım Bütçesi_2024 LPG'!D16</f>
        <v>0</v>
      </c>
      <c r="F348" s="1510">
        <f>'Yatırım Bütçesi_2024 LPG'!E16</f>
        <v>0</v>
      </c>
      <c r="G348" s="1510">
        <f>'Yatırım Bütçesi_2024 LPG'!F16</f>
        <v>0</v>
      </c>
      <c r="H348" s="1510">
        <f>'Yatırım Bütçesi_2024 LPG'!G16</f>
        <v>0</v>
      </c>
      <c r="I348" s="1510">
        <f>'Yatırım Bütçesi_2024 LPG'!H16</f>
        <v>0</v>
      </c>
      <c r="J348" s="1510">
        <f>'Yatırım Bütçesi_2024 LPG'!I16</f>
        <v>0</v>
      </c>
      <c r="K348" s="1510">
        <f>'Yatırım Bütçesi_2024 LPG'!J16</f>
        <v>0</v>
      </c>
      <c r="L348" s="1510">
        <f>'Yatırım Bütçesi_2024 LPG'!K16</f>
        <v>0</v>
      </c>
      <c r="M348" s="1510">
        <f>'Yatırım Bütçesi_2024 LPG'!L16</f>
        <v>0</v>
      </c>
      <c r="N348" s="1510">
        <f>'Yatırım Bütçesi_2024 LPG'!M16</f>
        <v>0</v>
      </c>
      <c r="O348" s="1510">
        <f>'Yatırım Bütçesi_2024 LPG'!N16</f>
        <v>0</v>
      </c>
      <c r="P348" s="1518">
        <f t="shared" si="112"/>
        <v>0</v>
      </c>
    </row>
    <row r="349" spans="3:16" ht="15.6">
      <c r="C349" s="1496" t="s">
        <v>561</v>
      </c>
      <c r="D349" s="1510">
        <f>'Yatırım Bütçesi_2024 LPG'!C17</f>
        <v>0</v>
      </c>
      <c r="E349" s="1510">
        <f>'Yatırım Bütçesi_2024 LPG'!D17</f>
        <v>0</v>
      </c>
      <c r="F349" s="1510">
        <f>'Yatırım Bütçesi_2024 LPG'!E17</f>
        <v>0</v>
      </c>
      <c r="G349" s="1510">
        <f>'Yatırım Bütçesi_2024 LPG'!F17</f>
        <v>0</v>
      </c>
      <c r="H349" s="1510">
        <f>'Yatırım Bütçesi_2024 LPG'!G17</f>
        <v>0</v>
      </c>
      <c r="I349" s="1510">
        <f>'Yatırım Bütçesi_2024 LPG'!H17</f>
        <v>0</v>
      </c>
      <c r="J349" s="1510">
        <f>'Yatırım Bütçesi_2024 LPG'!I17</f>
        <v>0</v>
      </c>
      <c r="K349" s="1510">
        <f>'Yatırım Bütçesi_2024 LPG'!J17</f>
        <v>0</v>
      </c>
      <c r="L349" s="1510">
        <f>'Yatırım Bütçesi_2024 LPG'!K17</f>
        <v>0</v>
      </c>
      <c r="M349" s="1510">
        <f>'Yatırım Bütçesi_2024 LPG'!L17</f>
        <v>0</v>
      </c>
      <c r="N349" s="1510">
        <f>'Yatırım Bütçesi_2024 LPG'!M17</f>
        <v>0</v>
      </c>
      <c r="O349" s="1510">
        <f>'Yatırım Bütçesi_2024 LPG'!N17</f>
        <v>0</v>
      </c>
      <c r="P349" s="1518">
        <f t="shared" si="112"/>
        <v>0</v>
      </c>
    </row>
    <row r="350" spans="3:16" ht="15.6">
      <c r="C350" s="1496" t="s">
        <v>586</v>
      </c>
      <c r="D350" s="1510">
        <f>'Yatırım Bütçesi_2024 LPG'!C18</f>
        <v>0</v>
      </c>
      <c r="E350" s="1510">
        <f>'Yatırım Bütçesi_2024 LPG'!D18</f>
        <v>0</v>
      </c>
      <c r="F350" s="1510">
        <f>'Yatırım Bütçesi_2024 LPG'!E18</f>
        <v>0</v>
      </c>
      <c r="G350" s="1510">
        <f>'Yatırım Bütçesi_2024 LPG'!F18</f>
        <v>0</v>
      </c>
      <c r="H350" s="1510">
        <f>'Yatırım Bütçesi_2024 LPG'!G18</f>
        <v>0</v>
      </c>
      <c r="I350" s="1510">
        <f>'Yatırım Bütçesi_2024 LPG'!H18</f>
        <v>0</v>
      </c>
      <c r="J350" s="1510">
        <f>'Yatırım Bütçesi_2024 LPG'!I18</f>
        <v>0</v>
      </c>
      <c r="K350" s="1510">
        <f>'Yatırım Bütçesi_2024 LPG'!J18</f>
        <v>0</v>
      </c>
      <c r="L350" s="1510">
        <f>'Yatırım Bütçesi_2024 LPG'!K18</f>
        <v>0</v>
      </c>
      <c r="M350" s="1510">
        <f>'Yatırım Bütçesi_2024 LPG'!L18</f>
        <v>0</v>
      </c>
      <c r="N350" s="1510">
        <f>'Yatırım Bütçesi_2024 LPG'!M18</f>
        <v>0</v>
      </c>
      <c r="O350" s="1510">
        <f>'Yatırım Bütçesi_2024 LPG'!N18</f>
        <v>0</v>
      </c>
      <c r="P350" s="1518">
        <f t="shared" si="112"/>
        <v>0</v>
      </c>
    </row>
    <row r="351" spans="3:16" ht="15.6">
      <c r="C351" s="1496" t="s">
        <v>487</v>
      </c>
      <c r="D351" s="1510">
        <f>'Yatırım Bütçesi_2024 LPG'!C19</f>
        <v>0</v>
      </c>
      <c r="E351" s="1510">
        <f>'Yatırım Bütçesi_2024 LPG'!D19</f>
        <v>0</v>
      </c>
      <c r="F351" s="1510">
        <f>'Yatırım Bütçesi_2024 LPG'!E19</f>
        <v>0</v>
      </c>
      <c r="G351" s="1510">
        <f>'Yatırım Bütçesi_2024 LPG'!F19</f>
        <v>0</v>
      </c>
      <c r="H351" s="1510">
        <f>'Yatırım Bütçesi_2024 LPG'!G19</f>
        <v>0</v>
      </c>
      <c r="I351" s="1510">
        <f>'Yatırım Bütçesi_2024 LPG'!H19</f>
        <v>0</v>
      </c>
      <c r="J351" s="1510">
        <f>'Yatırım Bütçesi_2024 LPG'!I19</f>
        <v>0</v>
      </c>
      <c r="K351" s="1510">
        <f>'Yatırım Bütçesi_2024 LPG'!J19</f>
        <v>0</v>
      </c>
      <c r="L351" s="1510">
        <f>'Yatırım Bütçesi_2024 LPG'!K19</f>
        <v>0</v>
      </c>
      <c r="M351" s="1510">
        <f>'Yatırım Bütçesi_2024 LPG'!L19</f>
        <v>0</v>
      </c>
      <c r="N351" s="1510">
        <f>'Yatırım Bütçesi_2024 LPG'!M19</f>
        <v>0</v>
      </c>
      <c r="O351" s="1510">
        <f>'Yatırım Bütçesi_2024 LPG'!N19</f>
        <v>0</v>
      </c>
      <c r="P351" s="1518">
        <f t="shared" si="112"/>
        <v>0</v>
      </c>
    </row>
    <row r="352" spans="3:16" ht="15.6">
      <c r="C352" s="1496" t="s">
        <v>102</v>
      </c>
      <c r="D352" s="1510">
        <f>'Yatırım Bütçesi_2024 LPG'!C20</f>
        <v>0</v>
      </c>
      <c r="E352" s="1510">
        <f>'Yatırım Bütçesi_2024 LPG'!D20</f>
        <v>0</v>
      </c>
      <c r="F352" s="1510">
        <f>'Yatırım Bütçesi_2024 LPG'!E20</f>
        <v>0</v>
      </c>
      <c r="G352" s="1510">
        <f>'Yatırım Bütçesi_2024 LPG'!F20</f>
        <v>0</v>
      </c>
      <c r="H352" s="1510">
        <f>'Yatırım Bütçesi_2024 LPG'!G20</f>
        <v>0</v>
      </c>
      <c r="I352" s="1510">
        <f>'Yatırım Bütçesi_2024 LPG'!H20</f>
        <v>0</v>
      </c>
      <c r="J352" s="1510">
        <f>'Yatırım Bütçesi_2024 LPG'!I20</f>
        <v>0</v>
      </c>
      <c r="K352" s="1510">
        <f>'Yatırım Bütçesi_2024 LPG'!J20</f>
        <v>0</v>
      </c>
      <c r="L352" s="1510">
        <f>'Yatırım Bütçesi_2024 LPG'!K20</f>
        <v>0</v>
      </c>
      <c r="M352" s="1510">
        <f>'Yatırım Bütçesi_2024 LPG'!L20</f>
        <v>0</v>
      </c>
      <c r="N352" s="1510">
        <f>'Yatırım Bütçesi_2024 LPG'!M20</f>
        <v>0</v>
      </c>
      <c r="O352" s="1510">
        <f>'Yatırım Bütçesi_2024 LPG'!N20</f>
        <v>0</v>
      </c>
      <c r="P352" s="1518">
        <f t="shared" si="112"/>
        <v>0</v>
      </c>
    </row>
    <row r="353" spans="3:16" ht="15.6">
      <c r="C353" s="1496" t="s">
        <v>559</v>
      </c>
      <c r="D353" s="1510">
        <f>'Yatırım Bütçesi_2024 LPG'!C21</f>
        <v>0</v>
      </c>
      <c r="E353" s="1510">
        <f>'Yatırım Bütçesi_2024 LPG'!D21</f>
        <v>0</v>
      </c>
      <c r="F353" s="1510">
        <f>'Yatırım Bütçesi_2024 LPG'!E21</f>
        <v>0</v>
      </c>
      <c r="G353" s="1510">
        <f>'Yatırım Bütçesi_2024 LPG'!F21</f>
        <v>0</v>
      </c>
      <c r="H353" s="1510">
        <f>'Yatırım Bütçesi_2024 LPG'!G21</f>
        <v>0</v>
      </c>
      <c r="I353" s="1510">
        <f>'Yatırım Bütçesi_2024 LPG'!H21</f>
        <v>0</v>
      </c>
      <c r="J353" s="1510">
        <f>'Yatırım Bütçesi_2024 LPG'!I21</f>
        <v>0</v>
      </c>
      <c r="K353" s="1510">
        <f>'Yatırım Bütçesi_2024 LPG'!J21</f>
        <v>0</v>
      </c>
      <c r="L353" s="1510">
        <f>'Yatırım Bütçesi_2024 LPG'!K21</f>
        <v>0</v>
      </c>
      <c r="M353" s="1510">
        <f>'Yatırım Bütçesi_2024 LPG'!L21</f>
        <v>0</v>
      </c>
      <c r="N353" s="1510">
        <f>'Yatırım Bütçesi_2024 LPG'!M21</f>
        <v>0</v>
      </c>
      <c r="O353" s="1510">
        <f>'Yatırım Bütçesi_2024 LPG'!N21</f>
        <v>0</v>
      </c>
      <c r="P353" s="1518">
        <f t="shared" si="112"/>
        <v>0</v>
      </c>
    </row>
    <row r="354" spans="3:16" ht="16.2" thickBot="1">
      <c r="C354" s="1496" t="s">
        <v>488</v>
      </c>
      <c r="D354" s="1510">
        <f>'Yatırım Bütçesi_2024 LPG'!C22</f>
        <v>0</v>
      </c>
      <c r="E354" s="1510">
        <f>'Yatırım Bütçesi_2024 LPG'!D22</f>
        <v>0</v>
      </c>
      <c r="F354" s="1510">
        <f>'Yatırım Bütçesi_2024 LPG'!E22</f>
        <v>0</v>
      </c>
      <c r="G354" s="1510">
        <f>'Yatırım Bütçesi_2024 LPG'!F22</f>
        <v>0</v>
      </c>
      <c r="H354" s="1510">
        <f>'Yatırım Bütçesi_2024 LPG'!G22</f>
        <v>0</v>
      </c>
      <c r="I354" s="1510">
        <f>'Yatırım Bütçesi_2024 LPG'!H22</f>
        <v>0</v>
      </c>
      <c r="J354" s="1510">
        <f>'Yatırım Bütçesi_2024 LPG'!I22</f>
        <v>0</v>
      </c>
      <c r="K354" s="1510">
        <f>'Yatırım Bütçesi_2024 LPG'!J22</f>
        <v>0</v>
      </c>
      <c r="L354" s="1510">
        <f>'Yatırım Bütçesi_2024 LPG'!K22</f>
        <v>0</v>
      </c>
      <c r="M354" s="1510">
        <f>'Yatırım Bütçesi_2024 LPG'!L22</f>
        <v>0</v>
      </c>
      <c r="N354" s="1510">
        <f>'Yatırım Bütçesi_2024 LPG'!M22</f>
        <v>0</v>
      </c>
      <c r="O354" s="1510">
        <f>'Yatırım Bütçesi_2024 LPG'!N22</f>
        <v>0</v>
      </c>
      <c r="P354" s="1518">
        <f t="shared" si="112"/>
        <v>0</v>
      </c>
    </row>
    <row r="355" spans="3:16" ht="16.2" thickBot="1">
      <c r="C355" s="1504" t="s">
        <v>37</v>
      </c>
      <c r="D355" s="1519">
        <f>SUM(D341:D354)</f>
        <v>0</v>
      </c>
      <c r="E355" s="1519">
        <f t="shared" ref="E355:P355" si="113">SUM(E341:E354)</f>
        <v>0</v>
      </c>
      <c r="F355" s="1519">
        <f t="shared" si="113"/>
        <v>0</v>
      </c>
      <c r="G355" s="1519">
        <f t="shared" si="113"/>
        <v>0</v>
      </c>
      <c r="H355" s="1519">
        <f t="shared" si="113"/>
        <v>0</v>
      </c>
      <c r="I355" s="1519">
        <f t="shared" si="113"/>
        <v>0</v>
      </c>
      <c r="J355" s="1519">
        <f t="shared" si="113"/>
        <v>0</v>
      </c>
      <c r="K355" s="1519">
        <f t="shared" si="113"/>
        <v>0</v>
      </c>
      <c r="L355" s="1519">
        <f t="shared" si="113"/>
        <v>0</v>
      </c>
      <c r="M355" s="1519">
        <f t="shared" si="113"/>
        <v>0</v>
      </c>
      <c r="N355" s="1519">
        <f t="shared" si="113"/>
        <v>0</v>
      </c>
      <c r="O355" s="1519">
        <f t="shared" si="113"/>
        <v>0</v>
      </c>
      <c r="P355" s="2169">
        <f t="shared" si="113"/>
        <v>0</v>
      </c>
    </row>
  </sheetData>
  <mergeCells count="46">
    <mergeCell ref="B253:B254"/>
    <mergeCell ref="B271:B272"/>
    <mergeCell ref="B102:B103"/>
    <mergeCell ref="B125:B126"/>
    <mergeCell ref="B148:B149"/>
    <mergeCell ref="B186:B187"/>
    <mergeCell ref="B224:B225"/>
    <mergeCell ref="B2:B3"/>
    <mergeCell ref="B23:B24"/>
    <mergeCell ref="B33:B34"/>
    <mergeCell ref="B56:B57"/>
    <mergeCell ref="B79:B80"/>
    <mergeCell ref="D253:P253"/>
    <mergeCell ref="C271:C272"/>
    <mergeCell ref="D271:P271"/>
    <mergeCell ref="D79:P79"/>
    <mergeCell ref="D102:P102"/>
    <mergeCell ref="D125:P125"/>
    <mergeCell ref="C79:C80"/>
    <mergeCell ref="C102:C103"/>
    <mergeCell ref="C125:C126"/>
    <mergeCell ref="D148:P148"/>
    <mergeCell ref="D186:P186"/>
    <mergeCell ref="C186:C187"/>
    <mergeCell ref="C148:C149"/>
    <mergeCell ref="C224:C225"/>
    <mergeCell ref="D224:P224"/>
    <mergeCell ref="D233:P233"/>
    <mergeCell ref="C2:C3"/>
    <mergeCell ref="C23:C24"/>
    <mergeCell ref="C33:C34"/>
    <mergeCell ref="C56:C57"/>
    <mergeCell ref="C253:C254"/>
    <mergeCell ref="D242:P242"/>
    <mergeCell ref="D2:P2"/>
    <mergeCell ref="D33:P33"/>
    <mergeCell ref="D56:P56"/>
    <mergeCell ref="D23:P23"/>
    <mergeCell ref="C339:C340"/>
    <mergeCell ref="D339:P339"/>
    <mergeCell ref="C292:C293"/>
    <mergeCell ref="D292:P292"/>
    <mergeCell ref="D301:P301"/>
    <mergeCell ref="D310:P310"/>
    <mergeCell ref="C321:C322"/>
    <mergeCell ref="D321:P321"/>
  </mergeCells>
  <pageMargins left="0.25" right="0.25" top="0.75" bottom="0.75" header="0.3" footer="0.3"/>
  <pageSetup paperSize="9" scale="68" fitToHeight="0" orientation="landscape" r:id="rId1"/>
  <headerFooter alignWithMargins="0"/>
  <rowBreaks count="6" manualBreakCount="6">
    <brk id="21" max="16" man="1"/>
    <brk id="54" max="16" man="1"/>
    <brk id="184" max="16" man="1"/>
    <brk id="222" max="16" man="1"/>
    <brk id="251" max="16" man="1"/>
    <brk id="270" max="16" man="1"/>
  </rowBrea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66"/>
  </sheetPr>
  <dimension ref="A1:S169"/>
  <sheetViews>
    <sheetView view="pageBreakPreview" zoomScale="80" zoomScaleNormal="110" zoomScaleSheetLayoutView="80" workbookViewId="0">
      <selection activeCell="C5" sqref="C5"/>
    </sheetView>
  </sheetViews>
  <sheetFormatPr defaultColWidth="9.109375" defaultRowHeight="13.8"/>
  <cols>
    <col min="1" max="1" width="25.88671875" style="2" customWidth="1"/>
    <col min="2" max="2" width="11.33203125" style="2" customWidth="1"/>
    <col min="3" max="3" width="11.88671875" style="2" customWidth="1"/>
    <col min="4" max="13" width="10.88671875" style="2" bestFit="1" customWidth="1"/>
    <col min="14" max="14" width="10.88671875" style="3" bestFit="1" customWidth="1"/>
    <col min="15" max="15" width="10.88671875" style="4" bestFit="1" customWidth="1"/>
    <col min="16" max="16" width="12" style="2" bestFit="1" customWidth="1"/>
    <col min="17" max="17" width="9.109375" style="2"/>
    <col min="18" max="18" width="17" style="2" customWidth="1"/>
    <col min="19" max="19" width="5.5546875" style="2" bestFit="1" customWidth="1"/>
    <col min="20" max="16384" width="9.109375" style="2"/>
  </cols>
  <sheetData>
    <row r="1" spans="1:19" ht="14.4" thickBot="1">
      <c r="L1" s="3"/>
      <c r="M1" s="4"/>
      <c r="N1" s="2"/>
      <c r="O1" s="2"/>
    </row>
    <row r="2" spans="1:19" ht="33" customHeight="1" thickBot="1">
      <c r="A2" s="5"/>
      <c r="B2" s="2345" t="s">
        <v>574</v>
      </c>
      <c r="C2" s="2346"/>
      <c r="D2" s="2313" t="s">
        <v>572</v>
      </c>
      <c r="E2" s="2314"/>
      <c r="F2" s="2314"/>
      <c r="G2" s="2314"/>
      <c r="H2" s="2314"/>
      <c r="I2" s="2314"/>
      <c r="J2" s="2314"/>
      <c r="K2" s="2314"/>
      <c r="L2" s="2314"/>
      <c r="M2" s="2314"/>
      <c r="N2" s="2314"/>
      <c r="O2" s="2314"/>
      <c r="P2" s="2315"/>
      <c r="Q2" s="6" t="s">
        <v>573</v>
      </c>
      <c r="R2" s="211"/>
    </row>
    <row r="3" spans="1:19" ht="30.75" customHeight="1" thickBot="1">
      <c r="A3" s="7"/>
      <c r="B3" s="8" t="s">
        <v>575</v>
      </c>
      <c r="C3" s="8" t="s">
        <v>576</v>
      </c>
      <c r="D3" s="9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1" t="s">
        <v>13</v>
      </c>
      <c r="Q3" s="12" t="s">
        <v>571</v>
      </c>
      <c r="R3" s="211"/>
    </row>
    <row r="4" spans="1:19" ht="22.5" customHeight="1" thickBot="1">
      <c r="A4" s="13" t="s">
        <v>24</v>
      </c>
      <c r="B4" s="14">
        <f>SUM(B5:B18)</f>
        <v>0</v>
      </c>
      <c r="C4" s="15">
        <f t="shared" ref="C4:P4" si="0">SUM(C5:C18)</f>
        <v>0</v>
      </c>
      <c r="D4" s="16">
        <f t="shared" si="0"/>
        <v>0</v>
      </c>
      <c r="E4" s="17">
        <f t="shared" si="0"/>
        <v>0</v>
      </c>
      <c r="F4" s="17">
        <f t="shared" si="0"/>
        <v>0</v>
      </c>
      <c r="G4" s="17">
        <f t="shared" si="0"/>
        <v>0</v>
      </c>
      <c r="H4" s="17">
        <f t="shared" si="0"/>
        <v>0</v>
      </c>
      <c r="I4" s="17">
        <f t="shared" si="0"/>
        <v>0</v>
      </c>
      <c r="J4" s="17">
        <f t="shared" si="0"/>
        <v>0</v>
      </c>
      <c r="K4" s="17">
        <f t="shared" si="0"/>
        <v>0</v>
      </c>
      <c r="L4" s="17">
        <f t="shared" si="0"/>
        <v>0</v>
      </c>
      <c r="M4" s="17">
        <f t="shared" si="0"/>
        <v>0</v>
      </c>
      <c r="N4" s="17">
        <f t="shared" si="0"/>
        <v>0</v>
      </c>
      <c r="O4" s="15">
        <f t="shared" si="0"/>
        <v>0</v>
      </c>
      <c r="P4" s="94">
        <f t="shared" si="0"/>
        <v>0</v>
      </c>
      <c r="Q4" s="1130" t="str">
        <f>IF(P4=0,"-",P4/C4-1)</f>
        <v>-</v>
      </c>
      <c r="R4" s="3"/>
    </row>
    <row r="5" spans="1:19" ht="16.5" customHeight="1">
      <c r="A5" s="19" t="s">
        <v>89</v>
      </c>
      <c r="B5" s="20">
        <f>+Mersin!B4</f>
        <v>0</v>
      </c>
      <c r="C5" s="21">
        <f>+Mersin!C4</f>
        <v>0</v>
      </c>
      <c r="D5" s="22">
        <f>+D25/1000</f>
        <v>0</v>
      </c>
      <c r="E5" s="23">
        <f t="shared" ref="E5:O6" si="1">+E25/1000</f>
        <v>0</v>
      </c>
      <c r="F5" s="23">
        <f t="shared" si="1"/>
        <v>0</v>
      </c>
      <c r="G5" s="23">
        <f t="shared" si="1"/>
        <v>0</v>
      </c>
      <c r="H5" s="24">
        <f t="shared" si="1"/>
        <v>0</v>
      </c>
      <c r="I5" s="24">
        <f t="shared" si="1"/>
        <v>0</v>
      </c>
      <c r="J5" s="24">
        <f t="shared" si="1"/>
        <v>0</v>
      </c>
      <c r="K5" s="24">
        <f t="shared" si="1"/>
        <v>0</v>
      </c>
      <c r="L5" s="24">
        <f t="shared" si="1"/>
        <v>0</v>
      </c>
      <c r="M5" s="24">
        <f t="shared" si="1"/>
        <v>0</v>
      </c>
      <c r="N5" s="24">
        <f t="shared" si="1"/>
        <v>0</v>
      </c>
      <c r="O5" s="25">
        <f t="shared" si="1"/>
        <v>0</v>
      </c>
      <c r="P5" s="1131">
        <f>SUM(D5:O5)</f>
        <v>0</v>
      </c>
      <c r="Q5" s="1226" t="str">
        <f>IF(P5=0,"-",P5/C5-1)</f>
        <v>-</v>
      </c>
      <c r="R5" s="228"/>
      <c r="S5" s="27"/>
    </row>
    <row r="6" spans="1:19" ht="16.5" customHeight="1">
      <c r="A6" s="28" t="s">
        <v>90</v>
      </c>
      <c r="B6" s="29">
        <f>Ankara!B4</f>
        <v>0</v>
      </c>
      <c r="C6" s="30">
        <f>Ankara!C4</f>
        <v>0</v>
      </c>
      <c r="D6" s="31">
        <f>+D26/1000</f>
        <v>0</v>
      </c>
      <c r="E6" s="32">
        <f t="shared" si="1"/>
        <v>0</v>
      </c>
      <c r="F6" s="32">
        <f t="shared" si="1"/>
        <v>0</v>
      </c>
      <c r="G6" s="32">
        <f t="shared" si="1"/>
        <v>0</v>
      </c>
      <c r="H6" s="33">
        <f t="shared" si="1"/>
        <v>0</v>
      </c>
      <c r="I6" s="33">
        <f t="shared" si="1"/>
        <v>0</v>
      </c>
      <c r="J6" s="33">
        <f t="shared" si="1"/>
        <v>0</v>
      </c>
      <c r="K6" s="33">
        <f t="shared" si="1"/>
        <v>0</v>
      </c>
      <c r="L6" s="33">
        <f t="shared" si="1"/>
        <v>0</v>
      </c>
      <c r="M6" s="33">
        <f t="shared" si="1"/>
        <v>0</v>
      </c>
      <c r="N6" s="33">
        <f t="shared" si="1"/>
        <v>0</v>
      </c>
      <c r="O6" s="34">
        <f t="shared" si="1"/>
        <v>0</v>
      </c>
      <c r="P6" s="1132">
        <f>SUM(D6:O6)</f>
        <v>0</v>
      </c>
      <c r="Q6" s="1227" t="str">
        <f t="shared" ref="Q6:Q20" si="2">IF(P6=0,"-",P6/C6-1)</f>
        <v>-</v>
      </c>
      <c r="R6" s="228"/>
      <c r="S6" s="27"/>
    </row>
    <row r="7" spans="1:19" ht="16.5" customHeight="1">
      <c r="A7" s="19" t="s">
        <v>91</v>
      </c>
      <c r="B7" s="20">
        <f>Antalya!B4</f>
        <v>0</v>
      </c>
      <c r="C7" s="21">
        <f>Antalya!C4</f>
        <v>0</v>
      </c>
      <c r="D7" s="22">
        <f t="shared" ref="D7:O7" si="3">+D27/1000</f>
        <v>0</v>
      </c>
      <c r="E7" s="23">
        <f t="shared" si="3"/>
        <v>0</v>
      </c>
      <c r="F7" s="23">
        <f t="shared" si="3"/>
        <v>0</v>
      </c>
      <c r="G7" s="23">
        <f t="shared" si="3"/>
        <v>0</v>
      </c>
      <c r="H7" s="24">
        <f t="shared" si="3"/>
        <v>0</v>
      </c>
      <c r="I7" s="24">
        <f t="shared" si="3"/>
        <v>0</v>
      </c>
      <c r="J7" s="24">
        <f t="shared" si="3"/>
        <v>0</v>
      </c>
      <c r="K7" s="24">
        <f t="shared" si="3"/>
        <v>0</v>
      </c>
      <c r="L7" s="24">
        <f t="shared" si="3"/>
        <v>0</v>
      </c>
      <c r="M7" s="24">
        <f t="shared" si="3"/>
        <v>0</v>
      </c>
      <c r="N7" s="24">
        <f t="shared" si="3"/>
        <v>0</v>
      </c>
      <c r="O7" s="25">
        <f t="shared" si="3"/>
        <v>0</v>
      </c>
      <c r="P7" s="1131">
        <f t="shared" ref="P7:P18" si="4">SUM(D7:O7)</f>
        <v>0</v>
      </c>
      <c r="Q7" s="1226" t="str">
        <f t="shared" si="2"/>
        <v>-</v>
      </c>
      <c r="R7" s="228"/>
      <c r="S7" s="27"/>
    </row>
    <row r="8" spans="1:19" ht="16.5" customHeight="1">
      <c r="A8" s="28" t="s">
        <v>104</v>
      </c>
      <c r="B8" s="29">
        <f>Trakya!B4</f>
        <v>0</v>
      </c>
      <c r="C8" s="30">
        <f>Trakya!C4</f>
        <v>0</v>
      </c>
      <c r="D8" s="31">
        <f t="shared" ref="D8:O8" si="5">+D28/1000</f>
        <v>0</v>
      </c>
      <c r="E8" s="32">
        <f t="shared" si="5"/>
        <v>0</v>
      </c>
      <c r="F8" s="32">
        <f t="shared" si="5"/>
        <v>0</v>
      </c>
      <c r="G8" s="32">
        <f t="shared" si="5"/>
        <v>0</v>
      </c>
      <c r="H8" s="33">
        <f t="shared" si="5"/>
        <v>0</v>
      </c>
      <c r="I8" s="33">
        <f t="shared" si="5"/>
        <v>0</v>
      </c>
      <c r="J8" s="33">
        <f t="shared" si="5"/>
        <v>0</v>
      </c>
      <c r="K8" s="33">
        <f t="shared" si="5"/>
        <v>0</v>
      </c>
      <c r="L8" s="33">
        <f t="shared" si="5"/>
        <v>0</v>
      </c>
      <c r="M8" s="33">
        <f t="shared" si="5"/>
        <v>0</v>
      </c>
      <c r="N8" s="33">
        <f t="shared" si="5"/>
        <v>0</v>
      </c>
      <c r="O8" s="34">
        <f t="shared" si="5"/>
        <v>0</v>
      </c>
      <c r="P8" s="1132">
        <f t="shared" si="4"/>
        <v>0</v>
      </c>
      <c r="Q8" s="1227" t="str">
        <f t="shared" si="2"/>
        <v>-</v>
      </c>
      <c r="R8" s="228"/>
      <c r="S8" s="27"/>
    </row>
    <row r="9" spans="1:19" ht="16.5" customHeight="1">
      <c r="A9" s="28" t="s">
        <v>486</v>
      </c>
      <c r="B9" s="29">
        <f>Diyarbakır!B4</f>
        <v>0</v>
      </c>
      <c r="C9" s="30">
        <f>Diyarbakır!C4</f>
        <v>0</v>
      </c>
      <c r="D9" s="31">
        <f t="shared" ref="D9:O9" si="6">+D29/1000</f>
        <v>0</v>
      </c>
      <c r="E9" s="32">
        <f t="shared" si="6"/>
        <v>0</v>
      </c>
      <c r="F9" s="32">
        <f t="shared" si="6"/>
        <v>0</v>
      </c>
      <c r="G9" s="32">
        <f t="shared" si="6"/>
        <v>0</v>
      </c>
      <c r="H9" s="33">
        <f t="shared" si="6"/>
        <v>0</v>
      </c>
      <c r="I9" s="33">
        <f t="shared" si="6"/>
        <v>0</v>
      </c>
      <c r="J9" s="33">
        <f t="shared" si="6"/>
        <v>0</v>
      </c>
      <c r="K9" s="33">
        <f t="shared" si="6"/>
        <v>0</v>
      </c>
      <c r="L9" s="33">
        <f t="shared" si="6"/>
        <v>0</v>
      </c>
      <c r="M9" s="33">
        <f t="shared" si="6"/>
        <v>0</v>
      </c>
      <c r="N9" s="33">
        <f t="shared" si="6"/>
        <v>0</v>
      </c>
      <c r="O9" s="34">
        <f t="shared" si="6"/>
        <v>0</v>
      </c>
      <c r="P9" s="1132">
        <f t="shared" si="4"/>
        <v>0</v>
      </c>
      <c r="Q9" s="1227" t="str">
        <f t="shared" si="2"/>
        <v>-</v>
      </c>
      <c r="R9" s="228"/>
      <c r="S9" s="27"/>
    </row>
    <row r="10" spans="1:19" ht="16.5" customHeight="1">
      <c r="A10" s="19" t="s">
        <v>101</v>
      </c>
      <c r="B10" s="20">
        <f>Konya!B4</f>
        <v>0</v>
      </c>
      <c r="C10" s="21">
        <f>Konya!C4</f>
        <v>0</v>
      </c>
      <c r="D10" s="22">
        <f t="shared" ref="D10:O10" si="7">+D30/1000</f>
        <v>0</v>
      </c>
      <c r="E10" s="23">
        <f t="shared" si="7"/>
        <v>0</v>
      </c>
      <c r="F10" s="23">
        <f t="shared" si="7"/>
        <v>0</v>
      </c>
      <c r="G10" s="23">
        <f t="shared" si="7"/>
        <v>0</v>
      </c>
      <c r="H10" s="24">
        <f t="shared" si="7"/>
        <v>0</v>
      </c>
      <c r="I10" s="24">
        <f t="shared" si="7"/>
        <v>0</v>
      </c>
      <c r="J10" s="24">
        <f t="shared" si="7"/>
        <v>0</v>
      </c>
      <c r="K10" s="24">
        <f t="shared" si="7"/>
        <v>0</v>
      </c>
      <c r="L10" s="24">
        <f t="shared" si="7"/>
        <v>0</v>
      </c>
      <c r="M10" s="24">
        <f t="shared" si="7"/>
        <v>0</v>
      </c>
      <c r="N10" s="24">
        <f t="shared" si="7"/>
        <v>0</v>
      </c>
      <c r="O10" s="25">
        <f t="shared" si="7"/>
        <v>0</v>
      </c>
      <c r="P10" s="1131">
        <f t="shared" si="4"/>
        <v>0</v>
      </c>
      <c r="Q10" s="1226" t="str">
        <f t="shared" si="2"/>
        <v>-</v>
      </c>
      <c r="R10" s="228"/>
      <c r="S10" s="27"/>
    </row>
    <row r="11" spans="1:19" ht="16.5" customHeight="1">
      <c r="A11" s="28" t="s">
        <v>96</v>
      </c>
      <c r="B11" s="29">
        <f>Erzurum!B4</f>
        <v>0</v>
      </c>
      <c r="C11" s="30">
        <f>Erzurum!C4</f>
        <v>0</v>
      </c>
      <c r="D11" s="31">
        <f t="shared" ref="D11:O11" si="8">+D31/1000</f>
        <v>0</v>
      </c>
      <c r="E11" s="32">
        <f t="shared" si="8"/>
        <v>0</v>
      </c>
      <c r="F11" s="32">
        <f t="shared" si="8"/>
        <v>0</v>
      </c>
      <c r="G11" s="32">
        <f t="shared" si="8"/>
        <v>0</v>
      </c>
      <c r="H11" s="33">
        <f t="shared" si="8"/>
        <v>0</v>
      </c>
      <c r="I11" s="33">
        <f t="shared" si="8"/>
        <v>0</v>
      </c>
      <c r="J11" s="33">
        <f t="shared" si="8"/>
        <v>0</v>
      </c>
      <c r="K11" s="33">
        <f t="shared" si="8"/>
        <v>0</v>
      </c>
      <c r="L11" s="33">
        <f t="shared" si="8"/>
        <v>0</v>
      </c>
      <c r="M11" s="33">
        <f t="shared" si="8"/>
        <v>0</v>
      </c>
      <c r="N11" s="33">
        <f t="shared" si="8"/>
        <v>0</v>
      </c>
      <c r="O11" s="34">
        <f t="shared" si="8"/>
        <v>0</v>
      </c>
      <c r="P11" s="1132">
        <f t="shared" si="4"/>
        <v>0</v>
      </c>
      <c r="Q11" s="1227" t="str">
        <f t="shared" si="2"/>
        <v>-</v>
      </c>
      <c r="R11" s="228"/>
      <c r="S11" s="27"/>
    </row>
    <row r="12" spans="1:19" ht="16.5" hidden="1" customHeight="1">
      <c r="A12" s="19" t="s">
        <v>174</v>
      </c>
      <c r="B12" s="20">
        <f>Marmara2!B4</f>
        <v>0</v>
      </c>
      <c r="C12" s="21">
        <f>Marmara2!C4</f>
        <v>0</v>
      </c>
      <c r="D12" s="22">
        <f t="shared" ref="D12:O12" si="9">+D32/1000</f>
        <v>0</v>
      </c>
      <c r="E12" s="23">
        <f t="shared" si="9"/>
        <v>0</v>
      </c>
      <c r="F12" s="23">
        <f t="shared" si="9"/>
        <v>0</v>
      </c>
      <c r="G12" s="23">
        <f t="shared" si="9"/>
        <v>0</v>
      </c>
      <c r="H12" s="24">
        <f t="shared" si="9"/>
        <v>0</v>
      </c>
      <c r="I12" s="24">
        <f t="shared" si="9"/>
        <v>0</v>
      </c>
      <c r="J12" s="24">
        <f t="shared" si="9"/>
        <v>0</v>
      </c>
      <c r="K12" s="24">
        <f t="shared" si="9"/>
        <v>0</v>
      </c>
      <c r="L12" s="24">
        <f t="shared" si="9"/>
        <v>0</v>
      </c>
      <c r="M12" s="24">
        <f t="shared" si="9"/>
        <v>0</v>
      </c>
      <c r="N12" s="24">
        <f t="shared" si="9"/>
        <v>0</v>
      </c>
      <c r="O12" s="25">
        <f t="shared" si="9"/>
        <v>0</v>
      </c>
      <c r="P12" s="1131">
        <f t="shared" si="4"/>
        <v>0</v>
      </c>
      <c r="Q12" s="1226" t="str">
        <f t="shared" si="2"/>
        <v>-</v>
      </c>
      <c r="R12" s="228"/>
      <c r="S12" s="27"/>
    </row>
    <row r="13" spans="1:19" ht="16.5" customHeight="1">
      <c r="A13" s="28" t="s">
        <v>560</v>
      </c>
      <c r="B13" s="29">
        <f>Marmara1!B4</f>
        <v>0</v>
      </c>
      <c r="C13" s="30">
        <f>Marmara1!C4</f>
        <v>0</v>
      </c>
      <c r="D13" s="31">
        <f t="shared" ref="D13:O13" si="10">+D33/1000</f>
        <v>0</v>
      </c>
      <c r="E13" s="32">
        <f t="shared" si="10"/>
        <v>0</v>
      </c>
      <c r="F13" s="32">
        <f t="shared" si="10"/>
        <v>0</v>
      </c>
      <c r="G13" s="32">
        <f t="shared" si="10"/>
        <v>0</v>
      </c>
      <c r="H13" s="33">
        <f t="shared" si="10"/>
        <v>0</v>
      </c>
      <c r="I13" s="33">
        <f t="shared" si="10"/>
        <v>0</v>
      </c>
      <c r="J13" s="33">
        <f t="shared" si="10"/>
        <v>0</v>
      </c>
      <c r="K13" s="33">
        <f t="shared" si="10"/>
        <v>0</v>
      </c>
      <c r="L13" s="33">
        <f t="shared" si="10"/>
        <v>0</v>
      </c>
      <c r="M13" s="33">
        <f t="shared" si="10"/>
        <v>0</v>
      </c>
      <c r="N13" s="33">
        <f t="shared" si="10"/>
        <v>0</v>
      </c>
      <c r="O13" s="34">
        <f t="shared" si="10"/>
        <v>0</v>
      </c>
      <c r="P13" s="1132">
        <f t="shared" si="4"/>
        <v>0</v>
      </c>
      <c r="Q13" s="1227" t="str">
        <f t="shared" si="2"/>
        <v>-</v>
      </c>
      <c r="R13" s="228"/>
      <c r="S13" s="27"/>
    </row>
    <row r="14" spans="1:19" ht="16.5" customHeight="1">
      <c r="A14" s="19" t="s">
        <v>561</v>
      </c>
      <c r="B14" s="20">
        <f>Ege!B4</f>
        <v>0</v>
      </c>
      <c r="C14" s="21">
        <f>Ege!C4</f>
        <v>0</v>
      </c>
      <c r="D14" s="22">
        <f t="shared" ref="D14:O14" si="11">+D34/1000</f>
        <v>0</v>
      </c>
      <c r="E14" s="23">
        <f t="shared" si="11"/>
        <v>0</v>
      </c>
      <c r="F14" s="23">
        <f t="shared" si="11"/>
        <v>0</v>
      </c>
      <c r="G14" s="23">
        <f t="shared" si="11"/>
        <v>0</v>
      </c>
      <c r="H14" s="24">
        <f t="shared" si="11"/>
        <v>0</v>
      </c>
      <c r="I14" s="24">
        <f t="shared" si="11"/>
        <v>0</v>
      </c>
      <c r="J14" s="24">
        <f t="shared" si="11"/>
        <v>0</v>
      </c>
      <c r="K14" s="24">
        <f t="shared" si="11"/>
        <v>0</v>
      </c>
      <c r="L14" s="24">
        <f t="shared" si="11"/>
        <v>0</v>
      </c>
      <c r="M14" s="24">
        <f t="shared" si="11"/>
        <v>0</v>
      </c>
      <c r="N14" s="24">
        <f t="shared" si="11"/>
        <v>0</v>
      </c>
      <c r="O14" s="25">
        <f t="shared" si="11"/>
        <v>0</v>
      </c>
      <c r="P14" s="1131">
        <f t="shared" si="4"/>
        <v>0</v>
      </c>
      <c r="Q14" s="1226" t="str">
        <f t="shared" si="2"/>
        <v>-</v>
      </c>
      <c r="R14" s="228"/>
      <c r="S14" s="27"/>
    </row>
    <row r="15" spans="1:19" ht="16.5" customHeight="1">
      <c r="A15" s="28" t="s">
        <v>488</v>
      </c>
      <c r="B15" s="29">
        <f>Şanlıurfa!B4</f>
        <v>0</v>
      </c>
      <c r="C15" s="30">
        <f>Şanlıurfa!C4</f>
        <v>0</v>
      </c>
      <c r="D15" s="31">
        <f t="shared" ref="D15:O15" si="12">+D35/1000</f>
        <v>0</v>
      </c>
      <c r="E15" s="32">
        <f t="shared" si="12"/>
        <v>0</v>
      </c>
      <c r="F15" s="32">
        <f t="shared" si="12"/>
        <v>0</v>
      </c>
      <c r="G15" s="32">
        <f t="shared" si="12"/>
        <v>0</v>
      </c>
      <c r="H15" s="33">
        <f t="shared" si="12"/>
        <v>0</v>
      </c>
      <c r="I15" s="33">
        <f t="shared" si="12"/>
        <v>0</v>
      </c>
      <c r="J15" s="33">
        <f t="shared" si="12"/>
        <v>0</v>
      </c>
      <c r="K15" s="33">
        <f t="shared" si="12"/>
        <v>0</v>
      </c>
      <c r="L15" s="33">
        <f t="shared" si="12"/>
        <v>0</v>
      </c>
      <c r="M15" s="33">
        <f t="shared" si="12"/>
        <v>0</v>
      </c>
      <c r="N15" s="33">
        <f t="shared" si="12"/>
        <v>0</v>
      </c>
      <c r="O15" s="34">
        <f t="shared" si="12"/>
        <v>0</v>
      </c>
      <c r="P15" s="1132">
        <f t="shared" si="4"/>
        <v>0</v>
      </c>
      <c r="Q15" s="1227" t="str">
        <f t="shared" si="2"/>
        <v>-</v>
      </c>
      <c r="R15" s="228"/>
      <c r="S15" s="27"/>
    </row>
    <row r="16" spans="1:19" s="569" customFormat="1" ht="16.5" customHeight="1">
      <c r="A16" s="1411" t="s">
        <v>102</v>
      </c>
      <c r="B16" s="1412">
        <f>Malatya!B4</f>
        <v>0</v>
      </c>
      <c r="C16" s="1413">
        <f>Malatya!C4</f>
        <v>0</v>
      </c>
      <c r="D16" s="1414">
        <f t="shared" ref="D16:O16" si="13">+D36/1000</f>
        <v>0</v>
      </c>
      <c r="E16" s="1415">
        <f t="shared" si="13"/>
        <v>0</v>
      </c>
      <c r="F16" s="1415">
        <f t="shared" si="13"/>
        <v>0</v>
      </c>
      <c r="G16" s="1415">
        <f t="shared" si="13"/>
        <v>0</v>
      </c>
      <c r="H16" s="1416">
        <f t="shared" si="13"/>
        <v>0</v>
      </c>
      <c r="I16" s="1416">
        <f t="shared" si="13"/>
        <v>0</v>
      </c>
      <c r="J16" s="1416">
        <f t="shared" si="13"/>
        <v>0</v>
      </c>
      <c r="K16" s="1416">
        <f t="shared" si="13"/>
        <v>0</v>
      </c>
      <c r="L16" s="1416">
        <f t="shared" si="13"/>
        <v>0</v>
      </c>
      <c r="M16" s="1416">
        <f t="shared" si="13"/>
        <v>0</v>
      </c>
      <c r="N16" s="1416">
        <f t="shared" si="13"/>
        <v>0</v>
      </c>
      <c r="O16" s="1417">
        <f t="shared" si="13"/>
        <v>0</v>
      </c>
      <c r="P16" s="1418">
        <f t="shared" si="4"/>
        <v>0</v>
      </c>
      <c r="Q16" s="1419" t="str">
        <f t="shared" si="2"/>
        <v>-</v>
      </c>
      <c r="R16" s="228"/>
      <c r="S16" s="1420"/>
    </row>
    <row r="17" spans="1:19" ht="16.5" customHeight="1">
      <c r="A17" s="19" t="s">
        <v>559</v>
      </c>
      <c r="B17" s="20">
        <f>Karadeniz!B4</f>
        <v>0</v>
      </c>
      <c r="C17" s="21">
        <f>Karadeniz!C4</f>
        <v>0</v>
      </c>
      <c r="D17" s="22">
        <f t="shared" ref="D17:O17" si="14">+D37/1000</f>
        <v>0</v>
      </c>
      <c r="E17" s="23">
        <f t="shared" si="14"/>
        <v>0</v>
      </c>
      <c r="F17" s="23">
        <f t="shared" si="14"/>
        <v>0</v>
      </c>
      <c r="G17" s="23">
        <f t="shared" si="14"/>
        <v>0</v>
      </c>
      <c r="H17" s="24">
        <f t="shared" si="14"/>
        <v>0</v>
      </c>
      <c r="I17" s="24">
        <f t="shared" si="14"/>
        <v>0</v>
      </c>
      <c r="J17" s="24">
        <f t="shared" si="14"/>
        <v>0</v>
      </c>
      <c r="K17" s="24">
        <f t="shared" si="14"/>
        <v>0</v>
      </c>
      <c r="L17" s="24">
        <f t="shared" si="14"/>
        <v>0</v>
      </c>
      <c r="M17" s="24">
        <f t="shared" si="14"/>
        <v>0</v>
      </c>
      <c r="N17" s="24">
        <f t="shared" si="14"/>
        <v>0</v>
      </c>
      <c r="O17" s="25">
        <f t="shared" si="14"/>
        <v>0</v>
      </c>
      <c r="P17" s="1131">
        <f t="shared" si="4"/>
        <v>0</v>
      </c>
      <c r="Q17" s="1226" t="str">
        <f t="shared" si="2"/>
        <v>-</v>
      </c>
      <c r="R17" s="228"/>
      <c r="S17" s="27"/>
    </row>
    <row r="18" spans="1:19" ht="16.5" customHeight="1" thickBot="1">
      <c r="A18" s="221" t="s">
        <v>100</v>
      </c>
      <c r="B18" s="222">
        <f>Kayseri!B4</f>
        <v>0</v>
      </c>
      <c r="C18" s="223">
        <f>Kayseri!C4</f>
        <v>0</v>
      </c>
      <c r="D18" s="224">
        <f t="shared" ref="D18:O18" si="15">+D38/1000</f>
        <v>0</v>
      </c>
      <c r="E18" s="225">
        <f t="shared" si="15"/>
        <v>0</v>
      </c>
      <c r="F18" s="225">
        <f t="shared" si="15"/>
        <v>0</v>
      </c>
      <c r="G18" s="225">
        <f t="shared" si="15"/>
        <v>0</v>
      </c>
      <c r="H18" s="226">
        <f t="shared" si="15"/>
        <v>0</v>
      </c>
      <c r="I18" s="226">
        <f t="shared" si="15"/>
        <v>0</v>
      </c>
      <c r="J18" s="226">
        <f t="shared" si="15"/>
        <v>0</v>
      </c>
      <c r="K18" s="226">
        <f t="shared" si="15"/>
        <v>0</v>
      </c>
      <c r="L18" s="226">
        <f t="shared" si="15"/>
        <v>0</v>
      </c>
      <c r="M18" s="226">
        <f t="shared" si="15"/>
        <v>0</v>
      </c>
      <c r="N18" s="226">
        <f t="shared" si="15"/>
        <v>0</v>
      </c>
      <c r="O18" s="227">
        <f t="shared" si="15"/>
        <v>0</v>
      </c>
      <c r="P18" s="1229">
        <f t="shared" si="4"/>
        <v>0</v>
      </c>
      <c r="Q18" s="1228" t="str">
        <f t="shared" si="2"/>
        <v>-</v>
      </c>
      <c r="R18" s="228"/>
      <c r="S18" s="27"/>
    </row>
    <row r="19" spans="1:19" ht="14.4" thickBot="1">
      <c r="Q19" s="598" t="str">
        <f t="shared" si="2"/>
        <v>-</v>
      </c>
      <c r="R19" s="228"/>
      <c r="S19" s="27"/>
    </row>
    <row r="20" spans="1:19" ht="16.5" customHeight="1" thickBot="1">
      <c r="A20" s="591" t="s">
        <v>182</v>
      </c>
      <c r="B20" s="592">
        <f>Perakende!B21</f>
        <v>0</v>
      </c>
      <c r="C20" s="593">
        <f>Perakende!C21</f>
        <v>0</v>
      </c>
      <c r="D20" s="594">
        <f>+D40/1000</f>
        <v>0</v>
      </c>
      <c r="E20" s="595">
        <f t="shared" ref="E20:O20" si="16">+E40/1000</f>
        <v>0</v>
      </c>
      <c r="F20" s="595">
        <f t="shared" si="16"/>
        <v>0</v>
      </c>
      <c r="G20" s="595">
        <f t="shared" si="16"/>
        <v>0</v>
      </c>
      <c r="H20" s="596">
        <f t="shared" si="16"/>
        <v>0</v>
      </c>
      <c r="I20" s="596">
        <f t="shared" si="16"/>
        <v>0</v>
      </c>
      <c r="J20" s="596">
        <f t="shared" si="16"/>
        <v>0</v>
      </c>
      <c r="K20" s="596">
        <f t="shared" si="16"/>
        <v>0</v>
      </c>
      <c r="L20" s="596">
        <f t="shared" si="16"/>
        <v>0</v>
      </c>
      <c r="M20" s="596">
        <f t="shared" si="16"/>
        <v>0</v>
      </c>
      <c r="N20" s="596">
        <f t="shared" si="16"/>
        <v>0</v>
      </c>
      <c r="O20" s="597">
        <f t="shared" si="16"/>
        <v>0</v>
      </c>
      <c r="P20" s="592">
        <f>SUM(D20:O20)</f>
        <v>0</v>
      </c>
      <c r="Q20" s="599" t="str">
        <f t="shared" si="2"/>
        <v>-</v>
      </c>
      <c r="R20" s="228"/>
      <c r="S20" s="27"/>
    </row>
    <row r="21" spans="1:19" ht="14.4" thickBot="1">
      <c r="Q21" s="598"/>
      <c r="R21" s="228"/>
    </row>
    <row r="22" spans="1:19" ht="16.5" customHeight="1" thickBot="1">
      <c r="A22" s="591" t="s">
        <v>514</v>
      </c>
      <c r="B22" s="592">
        <f>+ENDÜSTRİYEL!B4</f>
        <v>0</v>
      </c>
      <c r="C22" s="593">
        <f>+ENDÜSTRİYEL!C4</f>
        <v>0</v>
      </c>
      <c r="D22" s="594">
        <f>+D42/1000</f>
        <v>0</v>
      </c>
      <c r="E22" s="595">
        <f t="shared" ref="E22:O22" si="17">+E42/1000</f>
        <v>0</v>
      </c>
      <c r="F22" s="595">
        <f t="shared" si="17"/>
        <v>0</v>
      </c>
      <c r="G22" s="595">
        <f t="shared" si="17"/>
        <v>0</v>
      </c>
      <c r="H22" s="596">
        <f t="shared" si="17"/>
        <v>0</v>
      </c>
      <c r="I22" s="596">
        <f t="shared" si="17"/>
        <v>0</v>
      </c>
      <c r="J22" s="596">
        <f t="shared" si="17"/>
        <v>0</v>
      </c>
      <c r="K22" s="596">
        <f t="shared" si="17"/>
        <v>0</v>
      </c>
      <c r="L22" s="596">
        <f t="shared" si="17"/>
        <v>0</v>
      </c>
      <c r="M22" s="596">
        <f t="shared" si="17"/>
        <v>0</v>
      </c>
      <c r="N22" s="596">
        <f t="shared" si="17"/>
        <v>0</v>
      </c>
      <c r="O22" s="597">
        <f t="shared" si="17"/>
        <v>0</v>
      </c>
      <c r="P22" s="1849">
        <f t="shared" ref="P22" si="18">SUM(D22:O22)</f>
        <v>0</v>
      </c>
      <c r="Q22" s="1850" t="str">
        <f>IF(P22=0,"-",P22/C22-1)</f>
        <v>-</v>
      </c>
      <c r="R22" s="228"/>
      <c r="S22" s="27"/>
    </row>
    <row r="23" spans="1:19">
      <c r="C23" s="3">
        <f>+C4+C22</f>
        <v>0</v>
      </c>
      <c r="P23" s="3">
        <f>+P22+P4</f>
        <v>0</v>
      </c>
      <c r="R23" s="228"/>
    </row>
    <row r="24" spans="1:19">
      <c r="A24" s="2" t="s">
        <v>24</v>
      </c>
      <c r="B24" s="4"/>
      <c r="C24" s="1675"/>
      <c r="D24" s="1675"/>
      <c r="E24" s="1675"/>
      <c r="F24" s="1675"/>
      <c r="G24" s="1675"/>
      <c r="H24" s="1675"/>
      <c r="I24" s="1675"/>
      <c r="J24" s="1675"/>
      <c r="K24" s="1675"/>
      <c r="L24" s="1675"/>
      <c r="M24" s="1675"/>
      <c r="N24" s="1675"/>
      <c r="O24" s="1675"/>
      <c r="P24" s="1851">
        <f>SUM(D24:O24)</f>
        <v>0</v>
      </c>
      <c r="Q24" s="4"/>
      <c r="R24" s="228"/>
    </row>
    <row r="25" spans="1:19">
      <c r="A25" s="249" t="s">
        <v>89</v>
      </c>
      <c r="B25" s="1852"/>
      <c r="C25" s="1676"/>
      <c r="D25" s="1854"/>
      <c r="E25" s="1854"/>
      <c r="F25" s="1854"/>
      <c r="G25" s="1854"/>
      <c r="H25" s="1854"/>
      <c r="I25" s="1854"/>
      <c r="J25" s="1854"/>
      <c r="K25" s="1854"/>
      <c r="L25" s="1854"/>
      <c r="M25" s="1854"/>
      <c r="N25" s="1854"/>
      <c r="O25" s="1854"/>
      <c r="P25" s="1855">
        <f t="shared" ref="P25:P42" si="19">SUM(D25:O25)</f>
        <v>0</v>
      </c>
      <c r="Q25" s="1854"/>
    </row>
    <row r="26" spans="1:19">
      <c r="A26" s="249" t="s">
        <v>90</v>
      </c>
      <c r="B26" s="1852"/>
      <c r="C26" s="1676"/>
      <c r="D26" s="1854"/>
      <c r="E26" s="1854"/>
      <c r="F26" s="1854"/>
      <c r="G26" s="1854"/>
      <c r="H26" s="1854"/>
      <c r="I26" s="1854"/>
      <c r="J26" s="1854"/>
      <c r="K26" s="1854"/>
      <c r="L26" s="1854"/>
      <c r="M26" s="1854"/>
      <c r="N26" s="1854"/>
      <c r="O26" s="1854"/>
      <c r="P26" s="1855">
        <f t="shared" si="19"/>
        <v>0</v>
      </c>
      <c r="Q26" s="1854"/>
    </row>
    <row r="27" spans="1:19">
      <c r="A27" s="249" t="s">
        <v>91</v>
      </c>
      <c r="B27" s="1852"/>
      <c r="C27" s="1676"/>
      <c r="D27" s="1854"/>
      <c r="E27" s="1854"/>
      <c r="F27" s="1854"/>
      <c r="G27" s="1854"/>
      <c r="H27" s="1854"/>
      <c r="I27" s="1854"/>
      <c r="J27" s="1854"/>
      <c r="K27" s="1854"/>
      <c r="L27" s="1854"/>
      <c r="M27" s="1854"/>
      <c r="N27" s="1854"/>
      <c r="O27" s="1854"/>
      <c r="P27" s="1855">
        <f t="shared" si="19"/>
        <v>0</v>
      </c>
      <c r="Q27" s="1854"/>
    </row>
    <row r="28" spans="1:19">
      <c r="A28" s="249" t="s">
        <v>485</v>
      </c>
      <c r="B28" s="1852"/>
      <c r="C28" s="1676"/>
      <c r="D28" s="1854"/>
      <c r="E28" s="1854"/>
      <c r="F28" s="1854"/>
      <c r="G28" s="1854"/>
      <c r="H28" s="1854"/>
      <c r="I28" s="1854"/>
      <c r="J28" s="1854"/>
      <c r="K28" s="1854"/>
      <c r="L28" s="1854"/>
      <c r="M28" s="1854"/>
      <c r="N28" s="1854"/>
      <c r="O28" s="1854"/>
      <c r="P28" s="1855">
        <f t="shared" si="19"/>
        <v>0</v>
      </c>
      <c r="Q28" s="1854"/>
    </row>
    <row r="29" spans="1:19">
      <c r="A29" s="249" t="s">
        <v>486</v>
      </c>
      <c r="B29" s="1852"/>
      <c r="C29" s="1676"/>
      <c r="D29" s="1854"/>
      <c r="E29" s="1854"/>
      <c r="F29" s="1854"/>
      <c r="G29" s="1854"/>
      <c r="H29" s="1854"/>
      <c r="I29" s="1854"/>
      <c r="J29" s="1854"/>
      <c r="K29" s="1854"/>
      <c r="L29" s="1854"/>
      <c r="M29" s="1854"/>
      <c r="N29" s="1854"/>
      <c r="O29" s="1854"/>
      <c r="P29" s="1855">
        <f t="shared" si="19"/>
        <v>0</v>
      </c>
      <c r="Q29" s="1854"/>
    </row>
    <row r="30" spans="1:19">
      <c r="A30" s="249" t="s">
        <v>95</v>
      </c>
      <c r="B30" s="1852"/>
      <c r="C30" s="1676"/>
      <c r="D30" s="1854"/>
      <c r="E30" s="1854"/>
      <c r="F30" s="1854"/>
      <c r="G30" s="1854"/>
      <c r="H30" s="1854"/>
      <c r="I30" s="1854"/>
      <c r="J30" s="1854"/>
      <c r="K30" s="1854"/>
      <c r="L30" s="1854"/>
      <c r="M30" s="1854"/>
      <c r="N30" s="1854"/>
      <c r="O30" s="1854"/>
      <c r="P30" s="1855">
        <f t="shared" si="19"/>
        <v>0</v>
      </c>
      <c r="Q30" s="1854"/>
    </row>
    <row r="31" spans="1:19">
      <c r="A31" s="249" t="s">
        <v>96</v>
      </c>
      <c r="B31" s="1852"/>
      <c r="C31" s="1676"/>
      <c r="D31" s="1854"/>
      <c r="E31" s="1854"/>
      <c r="F31" s="1854"/>
      <c r="G31" s="1854"/>
      <c r="H31" s="1854"/>
      <c r="I31" s="1854"/>
      <c r="J31" s="1854"/>
      <c r="K31" s="1854"/>
      <c r="L31" s="1854"/>
      <c r="M31" s="1854"/>
      <c r="N31" s="1854"/>
      <c r="O31" s="1854"/>
      <c r="P31" s="1855">
        <f t="shared" si="19"/>
        <v>0</v>
      </c>
      <c r="Q31" s="1854"/>
    </row>
    <row r="32" spans="1:19">
      <c r="A32" s="249" t="s">
        <v>174</v>
      </c>
      <c r="B32" s="1852"/>
      <c r="C32" s="1676"/>
      <c r="D32" s="1854"/>
      <c r="E32" s="1854"/>
      <c r="F32" s="1854"/>
      <c r="G32" s="1854"/>
      <c r="H32" s="1854"/>
      <c r="I32" s="1854"/>
      <c r="J32" s="1854"/>
      <c r="K32" s="1854"/>
      <c r="L32" s="1854"/>
      <c r="M32" s="1854"/>
      <c r="N32" s="1854"/>
      <c r="O32" s="1854"/>
      <c r="P32" s="1855">
        <f t="shared" si="19"/>
        <v>0</v>
      </c>
      <c r="Q32" s="1854"/>
    </row>
    <row r="33" spans="1:17">
      <c r="A33" s="249" t="s">
        <v>98</v>
      </c>
      <c r="B33" s="1852"/>
      <c r="C33" s="1676"/>
      <c r="D33" s="1854"/>
      <c r="E33" s="1854"/>
      <c r="F33" s="1854"/>
      <c r="G33" s="1854"/>
      <c r="H33" s="1854"/>
      <c r="I33" s="1854"/>
      <c r="J33" s="1854"/>
      <c r="K33" s="1854"/>
      <c r="L33" s="1854"/>
      <c r="M33" s="1854"/>
      <c r="N33" s="1854"/>
      <c r="O33" s="1854"/>
      <c r="P33" s="1855">
        <f t="shared" si="19"/>
        <v>0</v>
      </c>
      <c r="Q33" s="1854"/>
    </row>
    <row r="34" spans="1:17">
      <c r="A34" s="249" t="s">
        <v>99</v>
      </c>
      <c r="B34" s="1852"/>
      <c r="C34" s="1676"/>
      <c r="D34" s="1854"/>
      <c r="E34" s="1854"/>
      <c r="F34" s="1854"/>
      <c r="G34" s="1854"/>
      <c r="H34" s="1854"/>
      <c r="I34" s="1854"/>
      <c r="J34" s="1854"/>
      <c r="K34" s="1854"/>
      <c r="L34" s="1854"/>
      <c r="M34" s="1854"/>
      <c r="N34" s="1854"/>
      <c r="O34" s="1854"/>
      <c r="P34" s="1855">
        <f t="shared" si="19"/>
        <v>0</v>
      </c>
      <c r="Q34" s="1854"/>
    </row>
    <row r="35" spans="1:17">
      <c r="A35" s="249" t="s">
        <v>488</v>
      </c>
      <c r="B35" s="1852"/>
      <c r="C35" s="1676"/>
      <c r="D35" s="1854"/>
      <c r="E35" s="1854"/>
      <c r="F35" s="1854"/>
      <c r="G35" s="1854"/>
      <c r="H35" s="1854"/>
      <c r="I35" s="1854"/>
      <c r="J35" s="1854"/>
      <c r="K35" s="1854"/>
      <c r="L35" s="1854"/>
      <c r="M35" s="1854"/>
      <c r="N35" s="1854"/>
      <c r="O35" s="1854"/>
      <c r="P35" s="1855">
        <f t="shared" si="19"/>
        <v>0</v>
      </c>
      <c r="Q35" s="1854"/>
    </row>
    <row r="36" spans="1:17">
      <c r="A36" s="249" t="s">
        <v>102</v>
      </c>
      <c r="B36" s="1852"/>
      <c r="C36" s="1676"/>
      <c r="D36" s="1854"/>
      <c r="E36" s="1854"/>
      <c r="F36" s="1854"/>
      <c r="G36" s="1854"/>
      <c r="H36" s="1854"/>
      <c r="I36" s="1854"/>
      <c r="J36" s="1854"/>
      <c r="K36" s="1854"/>
      <c r="L36" s="1854"/>
      <c r="M36" s="1854"/>
      <c r="N36" s="1854"/>
      <c r="O36" s="1854"/>
      <c r="P36" s="1855">
        <f t="shared" si="19"/>
        <v>0</v>
      </c>
      <c r="Q36" s="1854"/>
    </row>
    <row r="37" spans="1:17">
      <c r="A37" s="249" t="s">
        <v>103</v>
      </c>
      <c r="B37" s="1852"/>
      <c r="C37" s="1676"/>
      <c r="D37" s="1854"/>
      <c r="E37" s="1854"/>
      <c r="F37" s="1854"/>
      <c r="G37" s="1854"/>
      <c r="H37" s="1854"/>
      <c r="I37" s="1854"/>
      <c r="J37" s="1854"/>
      <c r="K37" s="1854"/>
      <c r="L37" s="1854"/>
      <c r="M37" s="1854"/>
      <c r="N37" s="1854"/>
      <c r="O37" s="1854"/>
      <c r="P37" s="1855">
        <f t="shared" si="19"/>
        <v>0</v>
      </c>
      <c r="Q37" s="1854"/>
    </row>
    <row r="38" spans="1:17">
      <c r="A38" s="249" t="s">
        <v>487</v>
      </c>
      <c r="B38" s="1852"/>
      <c r="C38" s="1676"/>
      <c r="D38" s="1854"/>
      <c r="E38" s="1854"/>
      <c r="F38" s="1854"/>
      <c r="G38" s="1854"/>
      <c r="H38" s="1854"/>
      <c r="I38" s="1854"/>
      <c r="J38" s="1854"/>
      <c r="K38" s="1854"/>
      <c r="L38" s="1854"/>
      <c r="M38" s="1854"/>
      <c r="N38" s="1854"/>
      <c r="O38" s="1854"/>
      <c r="P38" s="1855">
        <f t="shared" si="19"/>
        <v>0</v>
      </c>
      <c r="Q38" s="1854"/>
    </row>
    <row r="39" spans="1:17">
      <c r="B39" s="4"/>
      <c r="C39" s="1675"/>
      <c r="D39" s="1854"/>
      <c r="E39" s="1854"/>
      <c r="F39" s="1854"/>
      <c r="G39" s="1854"/>
      <c r="H39" s="1854"/>
      <c r="I39" s="1854"/>
      <c r="J39" s="1854"/>
      <c r="K39" s="1854"/>
      <c r="L39" s="1854"/>
      <c r="M39" s="1854"/>
      <c r="N39" s="1854"/>
      <c r="O39" s="1854"/>
      <c r="P39" s="1855">
        <f t="shared" si="19"/>
        <v>0</v>
      </c>
      <c r="Q39" s="1854"/>
    </row>
    <row r="40" spans="1:17">
      <c r="A40" s="2" t="s">
        <v>182</v>
      </c>
      <c r="B40" s="4"/>
      <c r="C40" s="1675"/>
      <c r="D40" s="1854"/>
      <c r="E40" s="1854"/>
      <c r="F40" s="1854"/>
      <c r="G40" s="1854"/>
      <c r="H40" s="1854"/>
      <c r="I40" s="1854"/>
      <c r="J40" s="1854"/>
      <c r="K40" s="1854"/>
      <c r="L40" s="1854"/>
      <c r="M40" s="1854"/>
      <c r="N40" s="1854"/>
      <c r="O40" s="1854"/>
      <c r="P40" s="1855">
        <f t="shared" si="19"/>
        <v>0</v>
      </c>
      <c r="Q40" s="1854"/>
    </row>
    <row r="41" spans="1:17">
      <c r="B41" s="4"/>
      <c r="C41" s="4"/>
      <c r="D41" s="1854"/>
      <c r="E41" s="1854"/>
      <c r="F41" s="1854"/>
      <c r="G41" s="1854"/>
      <c r="H41" s="1854"/>
      <c r="I41" s="1854"/>
      <c r="J41" s="1854"/>
      <c r="K41" s="1854"/>
      <c r="L41" s="1854"/>
      <c r="M41" s="1854"/>
      <c r="N41" s="1854"/>
      <c r="O41" s="1854"/>
      <c r="P41" s="1855">
        <f t="shared" si="19"/>
        <v>0</v>
      </c>
      <c r="Q41" s="1854"/>
    </row>
    <row r="42" spans="1:17">
      <c r="A42" s="2" t="s">
        <v>290</v>
      </c>
      <c r="B42" s="4"/>
      <c r="C42" s="4"/>
      <c r="D42" s="1856"/>
      <c r="E42" s="1856"/>
      <c r="F42" s="1856"/>
      <c r="G42" s="1856"/>
      <c r="H42" s="1856"/>
      <c r="I42" s="1856"/>
      <c r="J42" s="1856"/>
      <c r="K42" s="1856"/>
      <c r="L42" s="1856"/>
      <c r="M42" s="1856"/>
      <c r="N42" s="1856"/>
      <c r="O42" s="1856"/>
      <c r="P42" s="1855">
        <f t="shared" si="19"/>
        <v>0</v>
      </c>
      <c r="Q42" s="1854"/>
    </row>
    <row r="43" spans="1:17">
      <c r="B43" s="4"/>
      <c r="C43" s="4"/>
      <c r="D43" s="1854"/>
      <c r="E43" s="1854"/>
      <c r="F43" s="1854"/>
      <c r="G43" s="1854"/>
      <c r="H43" s="1854"/>
      <c r="I43" s="1854"/>
      <c r="J43" s="1854"/>
      <c r="K43" s="1854"/>
      <c r="L43" s="1854"/>
      <c r="M43" s="1854"/>
      <c r="N43" s="1854"/>
      <c r="O43" s="1854"/>
      <c r="P43" s="1854"/>
      <c r="Q43" s="1854"/>
    </row>
    <row r="44" spans="1:17">
      <c r="B44" s="4"/>
      <c r="C44" s="4"/>
      <c r="D44" s="1854"/>
      <c r="E44" s="1854"/>
      <c r="F44" s="1854"/>
      <c r="G44" s="1854"/>
      <c r="H44" s="1854"/>
      <c r="I44" s="1854"/>
      <c r="J44" s="1854"/>
      <c r="K44" s="1854"/>
      <c r="L44" s="1854"/>
      <c r="M44" s="1854"/>
      <c r="N44" s="1854"/>
      <c r="O44" s="1854"/>
      <c r="P44" s="1854"/>
      <c r="Q44" s="1854"/>
    </row>
    <row r="45" spans="1:17">
      <c r="B45" s="4"/>
      <c r="C45" s="4"/>
      <c r="D45" s="1857"/>
      <c r="E45" s="1857"/>
      <c r="F45" s="1857"/>
      <c r="G45" s="1857"/>
      <c r="H45" s="1857"/>
      <c r="I45" s="1857"/>
      <c r="J45" s="1857"/>
      <c r="K45" s="1857"/>
      <c r="L45" s="1857"/>
      <c r="M45" s="1857"/>
      <c r="N45" s="1857"/>
      <c r="O45" s="1857"/>
      <c r="P45" s="1857"/>
      <c r="Q45" s="4"/>
    </row>
    <row r="46" spans="1:17">
      <c r="B46" s="4"/>
      <c r="C46" s="4"/>
      <c r="D46" s="1857"/>
      <c r="E46" s="1857"/>
      <c r="F46" s="1857"/>
      <c r="G46" s="1857"/>
      <c r="H46" s="1857"/>
      <c r="I46" s="1857"/>
      <c r="J46" s="1857"/>
      <c r="K46" s="1857"/>
      <c r="L46" s="1857"/>
      <c r="M46" s="1857"/>
      <c r="N46" s="1857"/>
      <c r="O46" s="1857"/>
      <c r="P46" s="1857"/>
      <c r="Q46" s="4"/>
    </row>
    <row r="47" spans="1:17">
      <c r="B47" s="4"/>
      <c r="C47" s="4"/>
      <c r="D47" s="1857"/>
      <c r="E47" s="1857"/>
      <c r="F47" s="1857"/>
      <c r="G47" s="1857"/>
      <c r="H47" s="1857"/>
      <c r="I47" s="1857"/>
      <c r="J47" s="1857"/>
      <c r="K47" s="1857"/>
      <c r="L47" s="1857"/>
      <c r="M47" s="1857"/>
      <c r="N47" s="1857"/>
      <c r="O47" s="1857"/>
      <c r="P47" s="1857"/>
      <c r="Q47" s="4"/>
    </row>
    <row r="48" spans="1:17">
      <c r="B48" s="4"/>
      <c r="C48" s="4"/>
      <c r="D48" s="1857"/>
      <c r="E48" s="1857"/>
      <c r="F48" s="1857"/>
      <c r="G48" s="1857"/>
      <c r="H48" s="1857"/>
      <c r="I48" s="1857"/>
      <c r="J48" s="1857"/>
      <c r="K48" s="1857"/>
      <c r="L48" s="1857"/>
      <c r="M48" s="1857"/>
      <c r="N48" s="1857"/>
      <c r="O48" s="1857"/>
      <c r="P48" s="1857"/>
      <c r="Q48" s="4"/>
    </row>
    <row r="49" spans="2:17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1853"/>
      <c r="P49" s="4"/>
      <c r="Q49" s="4"/>
    </row>
    <row r="50" spans="2:17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1853"/>
      <c r="P50" s="4"/>
      <c r="Q50" s="4"/>
    </row>
    <row r="51" spans="2:17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1853"/>
      <c r="P51" s="4"/>
      <c r="Q51" s="4"/>
    </row>
    <row r="52" spans="2:17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1853"/>
      <c r="P52" s="4"/>
      <c r="Q52" s="4"/>
    </row>
    <row r="53" spans="2:17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1853"/>
      <c r="P53" s="4"/>
      <c r="Q53" s="4"/>
    </row>
    <row r="54" spans="2:17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1853"/>
      <c r="P54" s="4"/>
      <c r="Q54" s="4"/>
    </row>
    <row r="55" spans="2:17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1853"/>
      <c r="P55" s="4"/>
      <c r="Q55" s="4"/>
    </row>
    <row r="56" spans="2:17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1853"/>
      <c r="P56" s="4"/>
      <c r="Q56" s="4"/>
    </row>
    <row r="57" spans="2:17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1853"/>
      <c r="P57" s="4"/>
      <c r="Q57" s="4"/>
    </row>
    <row r="58" spans="2:17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1853"/>
      <c r="P58" s="4"/>
      <c r="Q58" s="4"/>
    </row>
    <row r="59" spans="2:17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1853"/>
      <c r="P59" s="4"/>
      <c r="Q59" s="4"/>
    </row>
    <row r="60" spans="2:17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1853"/>
      <c r="P60" s="4"/>
      <c r="Q60" s="4"/>
    </row>
    <row r="61" spans="2:17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1853"/>
      <c r="P61" s="4"/>
      <c r="Q61" s="4"/>
    </row>
    <row r="62" spans="2:17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1853"/>
      <c r="P62" s="4"/>
      <c r="Q62" s="4"/>
    </row>
    <row r="63" spans="2:17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1853"/>
      <c r="P63" s="4"/>
      <c r="Q63" s="4"/>
    </row>
    <row r="64" spans="2:17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1853"/>
      <c r="P64" s="4"/>
      <c r="Q64" s="4"/>
    </row>
    <row r="65" spans="2:17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1853"/>
      <c r="P65" s="4"/>
      <c r="Q65" s="4"/>
    </row>
    <row r="66" spans="2:17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1853"/>
      <c r="P66" s="4"/>
      <c r="Q66" s="4"/>
    </row>
    <row r="67" spans="2:17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1853"/>
      <c r="P67" s="4"/>
      <c r="Q67" s="4"/>
    </row>
    <row r="68" spans="2:17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1853"/>
      <c r="P68" s="4"/>
      <c r="Q68" s="4"/>
    </row>
    <row r="136" spans="4:15" ht="14.4" thickBot="1"/>
    <row r="137" spans="4:15">
      <c r="D137" s="103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5"/>
    </row>
    <row r="138" spans="4:15">
      <c r="D138" s="100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101"/>
    </row>
    <row r="139" spans="4:15">
      <c r="D139" s="98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9"/>
    </row>
    <row r="140" spans="4:15">
      <c r="D140" s="100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101"/>
    </row>
    <row r="141" spans="4:15">
      <c r="D141" s="98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9"/>
    </row>
    <row r="142" spans="4:15">
      <c r="D142" s="10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</row>
    <row r="143" spans="4:15">
      <c r="D143" s="98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</row>
    <row r="144" spans="4:15">
      <c r="D144" s="10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</row>
    <row r="145" spans="4:15">
      <c r="D145" s="98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</row>
    <row r="146" spans="4:15">
      <c r="D146" s="10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</row>
    <row r="147" spans="4:15">
      <c r="D147" s="98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</row>
    <row r="148" spans="4:15">
      <c r="D148" s="10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</row>
    <row r="149" spans="4:15">
      <c r="D149" s="98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</row>
    <row r="150" spans="4:15">
      <c r="D150" s="10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</row>
    <row r="151" spans="4:15">
      <c r="D151" s="98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</row>
    <row r="152" spans="4:15">
      <c r="D152" s="10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</row>
    <row r="153" spans="4:15">
      <c r="D153" s="98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</row>
    <row r="154" spans="4:15">
      <c r="D154" s="10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</row>
    <row r="155" spans="4:15">
      <c r="D155" s="98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</row>
    <row r="156" spans="4:15">
      <c r="D156" s="10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</row>
    <row r="157" spans="4:15">
      <c r="D157" s="98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</row>
    <row r="158" spans="4:15">
      <c r="D158" s="10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</row>
    <row r="159" spans="4:15">
      <c r="D159" s="98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</row>
    <row r="160" spans="4:15">
      <c r="D160" s="10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</row>
    <row r="161" spans="4:15">
      <c r="D161" s="98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</row>
    <row r="162" spans="4:15">
      <c r="D162" s="10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</row>
    <row r="163" spans="4:15">
      <c r="D163" s="98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</row>
    <row r="164" spans="4:15">
      <c r="D164" s="10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</row>
    <row r="165" spans="4:15">
      <c r="D165" s="98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</row>
    <row r="166" spans="4:15">
      <c r="D166" s="10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</row>
    <row r="167" spans="4:15">
      <c r="D167" s="98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</row>
    <row r="168" spans="4:15">
      <c r="D168" s="10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</row>
    <row r="169" spans="4:15" ht="14.4" thickBot="1">
      <c r="D169" s="108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10"/>
    </row>
  </sheetData>
  <mergeCells count="2">
    <mergeCell ref="B2:C2"/>
    <mergeCell ref="D2:P2"/>
  </mergeCells>
  <pageMargins left="0.75" right="0.75" top="1" bottom="1" header="0.5" footer="0.5"/>
  <pageSetup paperSize="9" scale="43" orientation="portrait" r:id="rId1"/>
  <headerFooter alignWithMargins="0"/>
  <colBreaks count="1" manualBreakCount="1">
    <brk id="17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27"/>
  <sheetViews>
    <sheetView zoomScale="70" zoomScaleNormal="70" workbookViewId="0">
      <pane xSplit="1" ySplit="2" topLeftCell="B198" activePane="bottomRight" state="frozen"/>
      <selection pane="topRight" activeCell="B1" sqref="B1"/>
      <selection pane="bottomLeft" activeCell="A3" sqref="A3"/>
      <selection pane="bottomRight" activeCell="I212" sqref="I212"/>
    </sheetView>
  </sheetViews>
  <sheetFormatPr defaultColWidth="9.109375" defaultRowHeight="18"/>
  <cols>
    <col min="1" max="1" width="32.5546875" style="761" customWidth="1"/>
    <col min="2" max="3" width="10.5546875" style="761" bestFit="1" customWidth="1"/>
    <col min="4" max="8" width="12.6640625" style="761" bestFit="1" customWidth="1"/>
    <col min="9" max="10" width="10.5546875" style="761" bestFit="1" customWidth="1"/>
    <col min="11" max="13" width="12.6640625" style="761" bestFit="1" customWidth="1"/>
    <col min="14" max="14" width="14.33203125" style="761" bestFit="1" customWidth="1"/>
    <col min="15" max="15" width="15.6640625" style="761" bestFit="1" customWidth="1"/>
    <col min="16" max="16384" width="9.109375" style="761"/>
  </cols>
  <sheetData>
    <row r="1" spans="1:14" ht="18.600000000000001" thickBot="1"/>
    <row r="2" spans="1:14" ht="24.9" customHeight="1" thickBot="1">
      <c r="A2" s="762"/>
      <c r="B2" s="2347" t="s">
        <v>308</v>
      </c>
      <c r="C2" s="2348"/>
      <c r="D2" s="2348"/>
      <c r="E2" s="2348"/>
      <c r="F2" s="2348"/>
      <c r="G2" s="2348"/>
      <c r="H2" s="2348"/>
      <c r="I2" s="2348"/>
      <c r="J2" s="2348"/>
      <c r="K2" s="2348"/>
      <c r="L2" s="2348"/>
      <c r="M2" s="2348"/>
      <c r="N2" s="2349"/>
    </row>
    <row r="3" spans="1:14" ht="24.9" customHeight="1" thickBot="1">
      <c r="A3" s="784" t="s">
        <v>133</v>
      </c>
      <c r="B3" s="813" t="s">
        <v>1</v>
      </c>
      <c r="C3" s="814" t="s">
        <v>2</v>
      </c>
      <c r="D3" s="814" t="s">
        <v>3</v>
      </c>
      <c r="E3" s="814" t="s">
        <v>4</v>
      </c>
      <c r="F3" s="814" t="s">
        <v>5</v>
      </c>
      <c r="G3" s="814" t="s">
        <v>6</v>
      </c>
      <c r="H3" s="814" t="s">
        <v>7</v>
      </c>
      <c r="I3" s="814" t="s">
        <v>8</v>
      </c>
      <c r="J3" s="814" t="s">
        <v>9</v>
      </c>
      <c r="K3" s="814" t="s">
        <v>10</v>
      </c>
      <c r="L3" s="814" t="s">
        <v>11</v>
      </c>
      <c r="M3" s="815" t="s">
        <v>12</v>
      </c>
      <c r="N3" s="816" t="s">
        <v>13</v>
      </c>
    </row>
    <row r="4" spans="1:14">
      <c r="A4" s="764" t="s">
        <v>247</v>
      </c>
      <c r="B4" s="765"/>
      <c r="C4" s="766"/>
      <c r="D4" s="766"/>
      <c r="E4" s="766">
        <v>1</v>
      </c>
      <c r="F4" s="766"/>
      <c r="G4" s="766"/>
      <c r="H4" s="766">
        <v>1</v>
      </c>
      <c r="I4" s="766"/>
      <c r="J4" s="766"/>
      <c r="K4" s="766"/>
      <c r="L4" s="766"/>
      <c r="M4" s="767"/>
      <c r="N4" s="768">
        <f>SUM(B4:M4)</f>
        <v>2</v>
      </c>
    </row>
    <row r="5" spans="1:14">
      <c r="A5" s="769" t="s">
        <v>239</v>
      </c>
      <c r="B5" s="770"/>
      <c r="C5" s="771"/>
      <c r="D5" s="771"/>
      <c r="E5" s="771">
        <v>100000</v>
      </c>
      <c r="F5" s="771"/>
      <c r="G5" s="771"/>
      <c r="H5" s="771">
        <v>100000</v>
      </c>
      <c r="I5" s="771"/>
      <c r="J5" s="771"/>
      <c r="K5" s="771"/>
      <c r="L5" s="771"/>
      <c r="M5" s="772"/>
      <c r="N5" s="773">
        <f>SUM(B5:M5)</f>
        <v>200000</v>
      </c>
    </row>
    <row r="6" spans="1:14">
      <c r="A6" s="774" t="s">
        <v>263</v>
      </c>
      <c r="B6" s="775"/>
      <c r="C6" s="776"/>
      <c r="D6" s="776"/>
      <c r="E6" s="776">
        <v>125000</v>
      </c>
      <c r="F6" s="776"/>
      <c r="G6" s="776"/>
      <c r="H6" s="776">
        <v>125000</v>
      </c>
      <c r="I6" s="776"/>
      <c r="J6" s="776"/>
      <c r="K6" s="776"/>
      <c r="L6" s="776"/>
      <c r="M6" s="777"/>
      <c r="N6" s="778">
        <f>SUM(B6:M6)</f>
        <v>250000</v>
      </c>
    </row>
    <row r="7" spans="1:14" ht="18.600000000000001" thickBot="1">
      <c r="A7" s="779" t="s">
        <v>264</v>
      </c>
      <c r="B7" s="780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2"/>
      <c r="N7" s="783">
        <f>SUM(B7:M7)</f>
        <v>0</v>
      </c>
    </row>
    <row r="8" spans="1:14" ht="18.600000000000001" thickBot="1"/>
    <row r="9" spans="1:14" ht="24.9" customHeight="1" thickBot="1">
      <c r="A9" s="762"/>
      <c r="B9" s="2347" t="s">
        <v>308</v>
      </c>
      <c r="C9" s="2348"/>
      <c r="D9" s="2348"/>
      <c r="E9" s="2348"/>
      <c r="F9" s="2348"/>
      <c r="G9" s="2348"/>
      <c r="H9" s="2348"/>
      <c r="I9" s="2348"/>
      <c r="J9" s="2348"/>
      <c r="K9" s="2348"/>
      <c r="L9" s="2348"/>
      <c r="M9" s="2348"/>
      <c r="N9" s="2349"/>
    </row>
    <row r="10" spans="1:14" ht="24.9" customHeight="1" thickBot="1">
      <c r="A10" s="784" t="s">
        <v>90</v>
      </c>
      <c r="B10" s="813" t="s">
        <v>1</v>
      </c>
      <c r="C10" s="814" t="s">
        <v>2</v>
      </c>
      <c r="D10" s="814" t="s">
        <v>3</v>
      </c>
      <c r="E10" s="814" t="s">
        <v>4</v>
      </c>
      <c r="F10" s="814" t="s">
        <v>5</v>
      </c>
      <c r="G10" s="814" t="s">
        <v>6</v>
      </c>
      <c r="H10" s="814" t="s">
        <v>7</v>
      </c>
      <c r="I10" s="814" t="s">
        <v>8</v>
      </c>
      <c r="J10" s="814" t="s">
        <v>9</v>
      </c>
      <c r="K10" s="814" t="s">
        <v>10</v>
      </c>
      <c r="L10" s="814" t="s">
        <v>11</v>
      </c>
      <c r="M10" s="815" t="s">
        <v>12</v>
      </c>
      <c r="N10" s="816" t="s">
        <v>13</v>
      </c>
    </row>
    <row r="11" spans="1:14">
      <c r="A11" s="785" t="s">
        <v>247</v>
      </c>
      <c r="B11" s="765"/>
      <c r="C11" s="766"/>
      <c r="D11" s="766"/>
      <c r="E11" s="766"/>
      <c r="F11" s="766">
        <v>1</v>
      </c>
      <c r="G11" s="766"/>
      <c r="H11" s="766"/>
      <c r="I11" s="766"/>
      <c r="J11" s="766"/>
      <c r="K11" s="766">
        <v>1</v>
      </c>
      <c r="L11" s="766"/>
      <c r="M11" s="767"/>
      <c r="N11" s="786">
        <f>SUM(B11:M11)</f>
        <v>2</v>
      </c>
    </row>
    <row r="12" spans="1:14">
      <c r="A12" s="787" t="s">
        <v>239</v>
      </c>
      <c r="B12" s="770"/>
      <c r="C12" s="771"/>
      <c r="D12" s="771"/>
      <c r="E12" s="771"/>
      <c r="F12" s="771">
        <v>1150000</v>
      </c>
      <c r="G12" s="771"/>
      <c r="H12" s="771"/>
      <c r="I12" s="771"/>
      <c r="J12" s="771"/>
      <c r="K12" s="771">
        <v>1150000</v>
      </c>
      <c r="L12" s="771"/>
      <c r="M12" s="772"/>
      <c r="N12" s="772">
        <f>SUM(B12:M12)</f>
        <v>2300000</v>
      </c>
    </row>
    <row r="13" spans="1:14">
      <c r="A13" s="788" t="s">
        <v>263</v>
      </c>
      <c r="B13" s="775"/>
      <c r="C13" s="776"/>
      <c r="D13" s="776"/>
      <c r="E13" s="776"/>
      <c r="F13" s="776">
        <v>350000</v>
      </c>
      <c r="G13" s="776"/>
      <c r="H13" s="776"/>
      <c r="I13" s="776"/>
      <c r="J13" s="776"/>
      <c r="K13" s="776">
        <v>350000</v>
      </c>
      <c r="L13" s="776"/>
      <c r="M13" s="777"/>
      <c r="N13" s="789">
        <f>SUM(B13:M13)</f>
        <v>700000</v>
      </c>
    </row>
    <row r="14" spans="1:14" ht="18.600000000000001" thickBot="1">
      <c r="A14" s="790" t="s">
        <v>264</v>
      </c>
      <c r="B14" s="780"/>
      <c r="C14" s="781"/>
      <c r="D14" s="781"/>
      <c r="E14" s="781"/>
      <c r="F14" s="781">
        <v>50000</v>
      </c>
      <c r="G14" s="781"/>
      <c r="H14" s="781"/>
      <c r="I14" s="781"/>
      <c r="J14" s="781"/>
      <c r="K14" s="781">
        <v>50000</v>
      </c>
      <c r="L14" s="781"/>
      <c r="M14" s="782"/>
      <c r="N14" s="782">
        <f>SUM(B14:M14)</f>
        <v>100000</v>
      </c>
    </row>
    <row r="15" spans="1:14" ht="18.600000000000001" thickBot="1">
      <c r="A15" s="79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</row>
    <row r="16" spans="1:14" ht="31.8" thickBot="1">
      <c r="A16" s="762"/>
      <c r="B16" s="2347" t="s">
        <v>308</v>
      </c>
      <c r="C16" s="2348"/>
      <c r="D16" s="2348"/>
      <c r="E16" s="2348"/>
      <c r="F16" s="2348"/>
      <c r="G16" s="2348"/>
      <c r="H16" s="2348"/>
      <c r="I16" s="2348"/>
      <c r="J16" s="2348"/>
      <c r="K16" s="2348"/>
      <c r="L16" s="2348"/>
      <c r="M16" s="2348"/>
      <c r="N16" s="2349"/>
    </row>
    <row r="17" spans="1:14" ht="18.600000000000001" thickBot="1">
      <c r="A17" s="784" t="s">
        <v>91</v>
      </c>
      <c r="B17" s="813" t="s">
        <v>1</v>
      </c>
      <c r="C17" s="814" t="s">
        <v>2</v>
      </c>
      <c r="D17" s="814" t="s">
        <v>3</v>
      </c>
      <c r="E17" s="814" t="s">
        <v>4</v>
      </c>
      <c r="F17" s="814" t="s">
        <v>5</v>
      </c>
      <c r="G17" s="814" t="s">
        <v>6</v>
      </c>
      <c r="H17" s="814" t="s">
        <v>7</v>
      </c>
      <c r="I17" s="814" t="s">
        <v>8</v>
      </c>
      <c r="J17" s="814" t="s">
        <v>9</v>
      </c>
      <c r="K17" s="814" t="s">
        <v>10</v>
      </c>
      <c r="L17" s="814" t="s">
        <v>11</v>
      </c>
      <c r="M17" s="815" t="s">
        <v>12</v>
      </c>
      <c r="N17" s="816" t="s">
        <v>13</v>
      </c>
    </row>
    <row r="18" spans="1:14">
      <c r="A18" s="785" t="s">
        <v>247</v>
      </c>
      <c r="B18" s="765"/>
      <c r="C18" s="766"/>
      <c r="D18" s="766"/>
      <c r="E18" s="766"/>
      <c r="F18" s="766"/>
      <c r="G18" s="766">
        <v>1</v>
      </c>
      <c r="H18" s="766"/>
      <c r="I18" s="766"/>
      <c r="J18" s="766"/>
      <c r="K18" s="766"/>
      <c r="L18" s="766">
        <v>1</v>
      </c>
      <c r="M18" s="767"/>
      <c r="N18" s="786">
        <f>SUM(B18:M18)</f>
        <v>2</v>
      </c>
    </row>
    <row r="19" spans="1:14">
      <c r="A19" s="787" t="s">
        <v>239</v>
      </c>
      <c r="B19" s="770"/>
      <c r="C19" s="771"/>
      <c r="D19" s="771"/>
      <c r="E19" s="771"/>
      <c r="F19" s="771"/>
      <c r="G19" s="771">
        <v>200000</v>
      </c>
      <c r="H19" s="771"/>
      <c r="I19" s="771"/>
      <c r="J19" s="771"/>
      <c r="K19" s="771"/>
      <c r="L19" s="771">
        <v>200000</v>
      </c>
      <c r="M19" s="772"/>
      <c r="N19" s="772">
        <f>SUM(B19:M19)</f>
        <v>400000</v>
      </c>
    </row>
    <row r="20" spans="1:14">
      <c r="A20" s="788" t="s">
        <v>263</v>
      </c>
      <c r="B20" s="775"/>
      <c r="C20" s="776"/>
      <c r="D20" s="776"/>
      <c r="E20" s="776"/>
      <c r="F20" s="776"/>
      <c r="G20" s="776">
        <v>200000</v>
      </c>
      <c r="H20" s="776"/>
      <c r="I20" s="776"/>
      <c r="J20" s="776"/>
      <c r="K20" s="776"/>
      <c r="L20" s="776">
        <v>200000</v>
      </c>
      <c r="M20" s="777"/>
      <c r="N20" s="789">
        <f>SUM(B20:M20)</f>
        <v>400000</v>
      </c>
    </row>
    <row r="21" spans="1:14" ht="18.600000000000001" thickBot="1">
      <c r="A21" s="790" t="s">
        <v>264</v>
      </c>
      <c r="B21" s="780"/>
      <c r="C21" s="781"/>
      <c r="D21" s="781"/>
      <c r="E21" s="781"/>
      <c r="F21" s="781"/>
      <c r="G21" s="781">
        <v>50000</v>
      </c>
      <c r="H21" s="781"/>
      <c r="I21" s="781"/>
      <c r="J21" s="781"/>
      <c r="K21" s="781"/>
      <c r="L21" s="781">
        <v>50000</v>
      </c>
      <c r="M21" s="782"/>
      <c r="N21" s="782">
        <f>SUM(B21:M21)</f>
        <v>100000</v>
      </c>
    </row>
    <row r="22" spans="1:14" ht="18.600000000000001" thickBot="1"/>
    <row r="23" spans="1:14" ht="24.9" customHeight="1" thickBot="1">
      <c r="A23" s="762"/>
      <c r="B23" s="2347" t="s">
        <v>308</v>
      </c>
      <c r="C23" s="2348"/>
      <c r="D23" s="2348"/>
      <c r="E23" s="2348"/>
      <c r="F23" s="2348"/>
      <c r="G23" s="2348"/>
      <c r="H23" s="2348"/>
      <c r="I23" s="2348"/>
      <c r="J23" s="2348"/>
      <c r="K23" s="2348"/>
      <c r="L23" s="2348"/>
      <c r="M23" s="2348"/>
      <c r="N23" s="2349"/>
    </row>
    <row r="24" spans="1:14" ht="24.9" customHeight="1" thickBot="1">
      <c r="A24" s="784" t="s">
        <v>92</v>
      </c>
      <c r="B24" s="813" t="s">
        <v>1</v>
      </c>
      <c r="C24" s="814" t="s">
        <v>2</v>
      </c>
      <c r="D24" s="814" t="s">
        <v>3</v>
      </c>
      <c r="E24" s="814" t="s">
        <v>4</v>
      </c>
      <c r="F24" s="814" t="s">
        <v>5</v>
      </c>
      <c r="G24" s="814" t="s">
        <v>6</v>
      </c>
      <c r="H24" s="814" t="s">
        <v>7</v>
      </c>
      <c r="I24" s="814" t="s">
        <v>8</v>
      </c>
      <c r="J24" s="814" t="s">
        <v>9</v>
      </c>
      <c r="K24" s="814" t="s">
        <v>10</v>
      </c>
      <c r="L24" s="814" t="s">
        <v>11</v>
      </c>
      <c r="M24" s="815" t="s">
        <v>12</v>
      </c>
      <c r="N24" s="816" t="s">
        <v>13</v>
      </c>
    </row>
    <row r="25" spans="1:14">
      <c r="A25" s="785" t="s">
        <v>247</v>
      </c>
      <c r="B25" s="765"/>
      <c r="C25" s="766">
        <v>1</v>
      </c>
      <c r="D25" s="766"/>
      <c r="E25" s="766"/>
      <c r="F25" s="766">
        <v>1</v>
      </c>
      <c r="G25" s="766"/>
      <c r="H25" s="766"/>
      <c r="I25" s="766"/>
      <c r="J25" s="766">
        <v>1</v>
      </c>
      <c r="K25" s="766"/>
      <c r="L25" s="766"/>
      <c r="M25" s="767">
        <v>1</v>
      </c>
      <c r="N25" s="786">
        <f>SUM(B25:M25)</f>
        <v>4</v>
      </c>
    </row>
    <row r="26" spans="1:14">
      <c r="A26" s="787" t="s">
        <v>239</v>
      </c>
      <c r="B26" s="770"/>
      <c r="C26" s="771">
        <v>50000</v>
      </c>
      <c r="D26" s="771"/>
      <c r="E26" s="771"/>
      <c r="F26" s="771">
        <v>50000</v>
      </c>
      <c r="G26" s="771"/>
      <c r="H26" s="771"/>
      <c r="I26" s="771"/>
      <c r="J26" s="771">
        <v>50000</v>
      </c>
      <c r="K26" s="771"/>
      <c r="L26" s="771"/>
      <c r="M26" s="772">
        <v>50000</v>
      </c>
      <c r="N26" s="772">
        <f>SUM(B26:M26)</f>
        <v>200000</v>
      </c>
    </row>
    <row r="27" spans="1:14">
      <c r="A27" s="788" t="s">
        <v>263</v>
      </c>
      <c r="B27" s="775"/>
      <c r="C27" s="776">
        <v>150000</v>
      </c>
      <c r="D27" s="776"/>
      <c r="E27" s="776"/>
      <c r="F27" s="776">
        <v>150000</v>
      </c>
      <c r="G27" s="776"/>
      <c r="H27" s="776"/>
      <c r="I27" s="776"/>
      <c r="J27" s="776">
        <v>150000</v>
      </c>
      <c r="K27" s="776"/>
      <c r="L27" s="776"/>
      <c r="M27" s="777">
        <v>150000</v>
      </c>
      <c r="N27" s="789">
        <f>SUM(B27:M27)</f>
        <v>600000</v>
      </c>
    </row>
    <row r="28" spans="1:14" ht="18.600000000000001" thickBot="1">
      <c r="A28" s="790" t="s">
        <v>264</v>
      </c>
      <c r="B28" s="780"/>
      <c r="C28" s="781">
        <v>50000</v>
      </c>
      <c r="D28" s="781"/>
      <c r="E28" s="781"/>
      <c r="F28" s="781">
        <v>50000</v>
      </c>
      <c r="G28" s="781"/>
      <c r="H28" s="781"/>
      <c r="I28" s="781"/>
      <c r="J28" s="781">
        <v>50000</v>
      </c>
      <c r="K28" s="781"/>
      <c r="L28" s="781"/>
      <c r="M28" s="782">
        <v>50000</v>
      </c>
      <c r="N28" s="782">
        <f>SUM(B28:M28)</f>
        <v>200000</v>
      </c>
    </row>
    <row r="29" spans="1:14" ht="18.600000000000001" thickBot="1"/>
    <row r="30" spans="1:14" ht="24.9" customHeight="1" thickBot="1">
      <c r="A30" s="762"/>
      <c r="B30" s="2347" t="s">
        <v>308</v>
      </c>
      <c r="C30" s="2348"/>
      <c r="D30" s="2348"/>
      <c r="E30" s="2348"/>
      <c r="F30" s="2348"/>
      <c r="G30" s="2348"/>
      <c r="H30" s="2348"/>
      <c r="I30" s="2348"/>
      <c r="J30" s="2348"/>
      <c r="K30" s="2348"/>
      <c r="L30" s="2348"/>
      <c r="M30" s="2348"/>
      <c r="N30" s="2349"/>
    </row>
    <row r="31" spans="1:14" ht="24.9" customHeight="1" thickBot="1">
      <c r="A31" s="784" t="s">
        <v>93</v>
      </c>
      <c r="B31" s="813" t="s">
        <v>1</v>
      </c>
      <c r="C31" s="814" t="s">
        <v>2</v>
      </c>
      <c r="D31" s="814" t="s">
        <v>3</v>
      </c>
      <c r="E31" s="814" t="s">
        <v>4</v>
      </c>
      <c r="F31" s="814" t="s">
        <v>5</v>
      </c>
      <c r="G31" s="814" t="s">
        <v>6</v>
      </c>
      <c r="H31" s="814" t="s">
        <v>7</v>
      </c>
      <c r="I31" s="814" t="s">
        <v>8</v>
      </c>
      <c r="J31" s="814" t="s">
        <v>9</v>
      </c>
      <c r="K31" s="814" t="s">
        <v>10</v>
      </c>
      <c r="L31" s="814" t="s">
        <v>11</v>
      </c>
      <c r="M31" s="815" t="s">
        <v>12</v>
      </c>
      <c r="N31" s="816" t="s">
        <v>13</v>
      </c>
    </row>
    <row r="32" spans="1:14">
      <c r="A32" s="785" t="s">
        <v>247</v>
      </c>
      <c r="B32" s="765"/>
      <c r="C32" s="766"/>
      <c r="D32" s="766"/>
      <c r="E32" s="766"/>
      <c r="F32" s="766"/>
      <c r="G32" s="766">
        <v>1</v>
      </c>
      <c r="H32" s="766"/>
      <c r="I32" s="766"/>
      <c r="J32" s="766"/>
      <c r="K32" s="766"/>
      <c r="L32" s="766">
        <v>1</v>
      </c>
      <c r="M32" s="767"/>
      <c r="N32" s="786">
        <f>SUM(B32:M32)</f>
        <v>2</v>
      </c>
    </row>
    <row r="33" spans="1:14">
      <c r="A33" s="787" t="s">
        <v>239</v>
      </c>
      <c r="B33" s="770"/>
      <c r="C33" s="771"/>
      <c r="D33" s="771"/>
      <c r="E33" s="771"/>
      <c r="F33" s="771"/>
      <c r="G33" s="771">
        <v>150000</v>
      </c>
      <c r="H33" s="771"/>
      <c r="I33" s="771"/>
      <c r="J33" s="771"/>
      <c r="K33" s="771"/>
      <c r="L33" s="771">
        <v>150000</v>
      </c>
      <c r="M33" s="772"/>
      <c r="N33" s="772">
        <f>SUM(B33:M33)</f>
        <v>300000</v>
      </c>
    </row>
    <row r="34" spans="1:14">
      <c r="A34" s="788" t="s">
        <v>263</v>
      </c>
      <c r="B34" s="775"/>
      <c r="C34" s="776"/>
      <c r="D34" s="776"/>
      <c r="E34" s="776"/>
      <c r="F34" s="776"/>
      <c r="G34" s="776">
        <v>200000</v>
      </c>
      <c r="H34" s="776"/>
      <c r="I34" s="776"/>
      <c r="J34" s="776"/>
      <c r="K34" s="776"/>
      <c r="L34" s="776">
        <v>200000</v>
      </c>
      <c r="M34" s="777"/>
      <c r="N34" s="789">
        <f>SUM(B34:M34)</f>
        <v>400000</v>
      </c>
    </row>
    <row r="35" spans="1:14" ht="18.600000000000001" thickBot="1">
      <c r="A35" s="790" t="s">
        <v>264</v>
      </c>
      <c r="B35" s="780"/>
      <c r="C35" s="781"/>
      <c r="D35" s="781"/>
      <c r="E35" s="781"/>
      <c r="F35" s="781"/>
      <c r="G35" s="781">
        <v>50000</v>
      </c>
      <c r="H35" s="781"/>
      <c r="I35" s="781"/>
      <c r="J35" s="781"/>
      <c r="K35" s="781"/>
      <c r="L35" s="781">
        <v>50000</v>
      </c>
      <c r="M35" s="782"/>
      <c r="N35" s="782">
        <f>SUM(B35:M35)</f>
        <v>100000</v>
      </c>
    </row>
    <row r="36" spans="1:14" ht="18.600000000000001" thickBot="1"/>
    <row r="37" spans="1:14" ht="24.9" customHeight="1" thickBot="1">
      <c r="A37" s="762"/>
      <c r="B37" s="2347" t="s">
        <v>308</v>
      </c>
      <c r="C37" s="2348"/>
      <c r="D37" s="2348"/>
      <c r="E37" s="2348"/>
      <c r="F37" s="2348"/>
      <c r="G37" s="2348"/>
      <c r="H37" s="2348"/>
      <c r="I37" s="2348"/>
      <c r="J37" s="2348"/>
      <c r="K37" s="2348"/>
      <c r="L37" s="2348"/>
      <c r="M37" s="2348"/>
      <c r="N37" s="2349"/>
    </row>
    <row r="38" spans="1:14" ht="24.9" customHeight="1" thickBot="1">
      <c r="A38" s="784" t="s">
        <v>94</v>
      </c>
      <c r="B38" s="813" t="s">
        <v>1</v>
      </c>
      <c r="C38" s="814" t="s">
        <v>2</v>
      </c>
      <c r="D38" s="814" t="s">
        <v>3</v>
      </c>
      <c r="E38" s="814" t="s">
        <v>4</v>
      </c>
      <c r="F38" s="814" t="s">
        <v>5</v>
      </c>
      <c r="G38" s="814" t="s">
        <v>6</v>
      </c>
      <c r="H38" s="814" t="s">
        <v>7</v>
      </c>
      <c r="I38" s="814" t="s">
        <v>8</v>
      </c>
      <c r="J38" s="814" t="s">
        <v>9</v>
      </c>
      <c r="K38" s="814" t="s">
        <v>10</v>
      </c>
      <c r="L38" s="814" t="s">
        <v>11</v>
      </c>
      <c r="M38" s="815" t="s">
        <v>12</v>
      </c>
      <c r="N38" s="816" t="s">
        <v>13</v>
      </c>
    </row>
    <row r="39" spans="1:14">
      <c r="A39" s="785" t="s">
        <v>247</v>
      </c>
      <c r="B39" s="765"/>
      <c r="C39" s="766"/>
      <c r="D39" s="766"/>
      <c r="E39" s="766"/>
      <c r="F39" s="766"/>
      <c r="G39" s="766"/>
      <c r="H39" s="766">
        <v>1</v>
      </c>
      <c r="I39" s="766"/>
      <c r="J39" s="766"/>
      <c r="K39" s="766"/>
      <c r="L39" s="766"/>
      <c r="M39" s="767"/>
      <c r="N39" s="786">
        <f>SUM(B39:M39)</f>
        <v>1</v>
      </c>
    </row>
    <row r="40" spans="1:14">
      <c r="A40" s="787" t="s">
        <v>239</v>
      </c>
      <c r="B40" s="770"/>
      <c r="C40" s="771"/>
      <c r="D40" s="771"/>
      <c r="E40" s="771"/>
      <c r="F40" s="771"/>
      <c r="G40" s="771"/>
      <c r="H40" s="771">
        <v>50000</v>
      </c>
      <c r="I40" s="771"/>
      <c r="J40" s="771"/>
      <c r="K40" s="771"/>
      <c r="L40" s="771"/>
      <c r="M40" s="772"/>
      <c r="N40" s="772">
        <f>SUM(B40:M40)</f>
        <v>50000</v>
      </c>
    </row>
    <row r="41" spans="1:14">
      <c r="A41" s="788" t="s">
        <v>263</v>
      </c>
      <c r="B41" s="775"/>
      <c r="C41" s="776"/>
      <c r="D41" s="776"/>
      <c r="E41" s="776"/>
      <c r="F41" s="776"/>
      <c r="G41" s="776"/>
      <c r="H41" s="776">
        <v>300000</v>
      </c>
      <c r="I41" s="776"/>
      <c r="J41" s="776"/>
      <c r="K41" s="776"/>
      <c r="L41" s="776"/>
      <c r="M41" s="777"/>
      <c r="N41" s="789">
        <f>SUM(B41:M41)</f>
        <v>300000</v>
      </c>
    </row>
    <row r="42" spans="1:14" ht="18.600000000000001" thickBot="1">
      <c r="A42" s="790" t="s">
        <v>264</v>
      </c>
      <c r="B42" s="780"/>
      <c r="C42" s="781"/>
      <c r="D42" s="781"/>
      <c r="E42" s="781"/>
      <c r="F42" s="781"/>
      <c r="G42" s="781"/>
      <c r="H42" s="781">
        <v>20000</v>
      </c>
      <c r="I42" s="781"/>
      <c r="J42" s="781"/>
      <c r="K42" s="781"/>
      <c r="L42" s="781"/>
      <c r="M42" s="782"/>
      <c r="N42" s="782">
        <f>SUM(B42:M42)</f>
        <v>20000</v>
      </c>
    </row>
    <row r="43" spans="1:14" ht="18.600000000000001" thickBot="1"/>
    <row r="44" spans="1:14" ht="24.9" customHeight="1" thickBot="1">
      <c r="A44" s="762"/>
      <c r="B44" s="2347" t="s">
        <v>308</v>
      </c>
      <c r="C44" s="2348"/>
      <c r="D44" s="2348"/>
      <c r="E44" s="2348"/>
      <c r="F44" s="2348"/>
      <c r="G44" s="2348"/>
      <c r="H44" s="2348"/>
      <c r="I44" s="2348"/>
      <c r="J44" s="2348"/>
      <c r="K44" s="2348"/>
      <c r="L44" s="2348"/>
      <c r="M44" s="2348"/>
      <c r="N44" s="2349"/>
    </row>
    <row r="45" spans="1:14" ht="24.9" customHeight="1" thickBot="1">
      <c r="A45" s="784" t="s">
        <v>95</v>
      </c>
      <c r="B45" s="813" t="s">
        <v>1</v>
      </c>
      <c r="C45" s="814" t="s">
        <v>2</v>
      </c>
      <c r="D45" s="814" t="s">
        <v>3</v>
      </c>
      <c r="E45" s="814" t="s">
        <v>4</v>
      </c>
      <c r="F45" s="814" t="s">
        <v>5</v>
      </c>
      <c r="G45" s="814" t="s">
        <v>6</v>
      </c>
      <c r="H45" s="814" t="s">
        <v>7</v>
      </c>
      <c r="I45" s="814" t="s">
        <v>8</v>
      </c>
      <c r="J45" s="814" t="s">
        <v>9</v>
      </c>
      <c r="K45" s="814" t="s">
        <v>10</v>
      </c>
      <c r="L45" s="814" t="s">
        <v>11</v>
      </c>
      <c r="M45" s="815" t="s">
        <v>12</v>
      </c>
      <c r="N45" s="816" t="s">
        <v>13</v>
      </c>
    </row>
    <row r="46" spans="1:14">
      <c r="A46" s="785" t="s">
        <v>247</v>
      </c>
      <c r="B46" s="765"/>
      <c r="C46" s="766"/>
      <c r="D46" s="766"/>
      <c r="E46" s="766">
        <v>1</v>
      </c>
      <c r="F46" s="766"/>
      <c r="G46" s="766"/>
      <c r="H46" s="766">
        <v>1</v>
      </c>
      <c r="I46" s="766"/>
      <c r="J46" s="766"/>
      <c r="K46" s="766"/>
      <c r="L46" s="766"/>
      <c r="M46" s="767">
        <v>1</v>
      </c>
      <c r="N46" s="786">
        <f>SUM(B46:M46)</f>
        <v>3</v>
      </c>
    </row>
    <row r="47" spans="1:14">
      <c r="A47" s="787" t="s">
        <v>239</v>
      </c>
      <c r="B47" s="770"/>
      <c r="C47" s="771"/>
      <c r="D47" s="771"/>
      <c r="E47" s="771">
        <v>200000</v>
      </c>
      <c r="F47" s="771"/>
      <c r="G47" s="771"/>
      <c r="H47" s="771">
        <v>200000</v>
      </c>
      <c r="I47" s="771"/>
      <c r="J47" s="771"/>
      <c r="K47" s="771"/>
      <c r="L47" s="771"/>
      <c r="M47" s="772">
        <v>200000</v>
      </c>
      <c r="N47" s="772">
        <f>SUM(B47:M47)</f>
        <v>600000</v>
      </c>
    </row>
    <row r="48" spans="1:14">
      <c r="A48" s="788" t="s">
        <v>263</v>
      </c>
      <c r="B48" s="775"/>
      <c r="C48" s="776"/>
      <c r="D48" s="776"/>
      <c r="E48" s="776">
        <v>200000</v>
      </c>
      <c r="F48" s="776"/>
      <c r="G48" s="776"/>
      <c r="H48" s="776">
        <v>200000</v>
      </c>
      <c r="I48" s="776"/>
      <c r="J48" s="776"/>
      <c r="K48" s="776"/>
      <c r="L48" s="776"/>
      <c r="M48" s="777">
        <v>200000</v>
      </c>
      <c r="N48" s="789">
        <f>SUM(B48:M48)</f>
        <v>600000</v>
      </c>
    </row>
    <row r="49" spans="1:14" ht="18.600000000000001" thickBot="1">
      <c r="A49" s="790" t="s">
        <v>264</v>
      </c>
      <c r="B49" s="780"/>
      <c r="C49" s="781"/>
      <c r="D49" s="781"/>
      <c r="E49" s="781">
        <v>50000</v>
      </c>
      <c r="F49" s="781"/>
      <c r="G49" s="781"/>
      <c r="H49" s="781">
        <v>50000</v>
      </c>
      <c r="I49" s="781"/>
      <c r="J49" s="781"/>
      <c r="K49" s="781"/>
      <c r="L49" s="781"/>
      <c r="M49" s="782">
        <v>50000</v>
      </c>
      <c r="N49" s="782">
        <f>SUM(B49:M49)</f>
        <v>150000</v>
      </c>
    </row>
    <row r="50" spans="1:14" ht="18.600000000000001" thickBot="1"/>
    <row r="51" spans="1:14" ht="24.9" customHeight="1" thickBot="1">
      <c r="A51" s="762"/>
      <c r="B51" s="2347" t="s">
        <v>308</v>
      </c>
      <c r="C51" s="2348"/>
      <c r="D51" s="2348"/>
      <c r="E51" s="2348"/>
      <c r="F51" s="2348"/>
      <c r="G51" s="2348"/>
      <c r="H51" s="2348"/>
      <c r="I51" s="2348"/>
      <c r="J51" s="2348"/>
      <c r="K51" s="2348"/>
      <c r="L51" s="2348"/>
      <c r="M51" s="2348"/>
      <c r="N51" s="2349"/>
    </row>
    <row r="52" spans="1:14" ht="24.9" customHeight="1" thickBot="1">
      <c r="A52" s="784" t="s">
        <v>96</v>
      </c>
      <c r="B52" s="813" t="s">
        <v>1</v>
      </c>
      <c r="C52" s="814" t="s">
        <v>2</v>
      </c>
      <c r="D52" s="814" t="s">
        <v>3</v>
      </c>
      <c r="E52" s="814" t="s">
        <v>4</v>
      </c>
      <c r="F52" s="814" t="s">
        <v>5</v>
      </c>
      <c r="G52" s="814" t="s">
        <v>6</v>
      </c>
      <c r="H52" s="814" t="s">
        <v>7</v>
      </c>
      <c r="I52" s="814" t="s">
        <v>8</v>
      </c>
      <c r="J52" s="814" t="s">
        <v>9</v>
      </c>
      <c r="K52" s="814" t="s">
        <v>10</v>
      </c>
      <c r="L52" s="814" t="s">
        <v>11</v>
      </c>
      <c r="M52" s="815" t="s">
        <v>12</v>
      </c>
      <c r="N52" s="816" t="s">
        <v>13</v>
      </c>
    </row>
    <row r="53" spans="1:14">
      <c r="A53" s="785" t="s">
        <v>247</v>
      </c>
      <c r="B53" s="765"/>
      <c r="C53" s="766"/>
      <c r="D53" s="766"/>
      <c r="E53" s="766">
        <v>1</v>
      </c>
      <c r="F53" s="766"/>
      <c r="G53" s="766"/>
      <c r="H53" s="766">
        <v>1</v>
      </c>
      <c r="I53" s="766"/>
      <c r="J53" s="766"/>
      <c r="K53" s="766">
        <v>1</v>
      </c>
      <c r="L53" s="766"/>
      <c r="M53" s="767"/>
      <c r="N53" s="786">
        <f>SUM(B53:M53)</f>
        <v>3</v>
      </c>
    </row>
    <row r="54" spans="1:14">
      <c r="A54" s="787" t="s">
        <v>239</v>
      </c>
      <c r="B54" s="770"/>
      <c r="C54" s="771"/>
      <c r="D54" s="771"/>
      <c r="E54" s="771">
        <v>50000</v>
      </c>
      <c r="F54" s="771"/>
      <c r="G54" s="771"/>
      <c r="H54" s="771">
        <v>50000</v>
      </c>
      <c r="I54" s="771"/>
      <c r="J54" s="771"/>
      <c r="K54" s="771">
        <v>50000</v>
      </c>
      <c r="L54" s="771"/>
      <c r="M54" s="772"/>
      <c r="N54" s="772">
        <f>SUM(B54:M54)</f>
        <v>150000</v>
      </c>
    </row>
    <row r="55" spans="1:14">
      <c r="A55" s="788" t="s">
        <v>263</v>
      </c>
      <c r="B55" s="775"/>
      <c r="C55" s="776"/>
      <c r="D55" s="776"/>
      <c r="E55" s="776">
        <v>250000</v>
      </c>
      <c r="F55" s="776"/>
      <c r="G55" s="776"/>
      <c r="H55" s="776">
        <v>250000</v>
      </c>
      <c r="I55" s="776"/>
      <c r="J55" s="776"/>
      <c r="K55" s="776">
        <v>250000</v>
      </c>
      <c r="L55" s="776"/>
      <c r="M55" s="777"/>
      <c r="N55" s="789">
        <f>SUM(B55:M55)</f>
        <v>750000</v>
      </c>
    </row>
    <row r="56" spans="1:14" ht="18.600000000000001" thickBot="1">
      <c r="A56" s="790" t="s">
        <v>264</v>
      </c>
      <c r="B56" s="780"/>
      <c r="C56" s="781"/>
      <c r="D56" s="781"/>
      <c r="E56" s="781">
        <v>30000</v>
      </c>
      <c r="F56" s="781"/>
      <c r="G56" s="781"/>
      <c r="H56" s="781">
        <v>30000</v>
      </c>
      <c r="I56" s="781"/>
      <c r="J56" s="781"/>
      <c r="K56" s="781">
        <v>30000</v>
      </c>
      <c r="L56" s="781"/>
      <c r="M56" s="782"/>
      <c r="N56" s="782">
        <f>SUM(B56:M56)</f>
        <v>90000</v>
      </c>
    </row>
    <row r="57" spans="1:14" ht="18.600000000000001" thickBot="1"/>
    <row r="58" spans="1:14" ht="24.9" customHeight="1" thickBot="1">
      <c r="A58" s="762"/>
      <c r="B58" s="2347" t="s">
        <v>308</v>
      </c>
      <c r="C58" s="2348"/>
      <c r="D58" s="2348"/>
      <c r="E58" s="2348"/>
      <c r="F58" s="2348"/>
      <c r="G58" s="2348"/>
      <c r="H58" s="2348"/>
      <c r="I58" s="2348"/>
      <c r="J58" s="2348"/>
      <c r="K58" s="2348"/>
      <c r="L58" s="2348"/>
      <c r="M58" s="2348"/>
      <c r="N58" s="2349"/>
    </row>
    <row r="59" spans="1:14" ht="24.9" customHeight="1" thickBot="1">
      <c r="A59" s="784" t="s">
        <v>97</v>
      </c>
      <c r="B59" s="813" t="s">
        <v>1</v>
      </c>
      <c r="C59" s="814" t="s">
        <v>2</v>
      </c>
      <c r="D59" s="814" t="s">
        <v>3</v>
      </c>
      <c r="E59" s="814" t="s">
        <v>4</v>
      </c>
      <c r="F59" s="814" t="s">
        <v>5</v>
      </c>
      <c r="G59" s="814" t="s">
        <v>6</v>
      </c>
      <c r="H59" s="814" t="s">
        <v>7</v>
      </c>
      <c r="I59" s="814" t="s">
        <v>8</v>
      </c>
      <c r="J59" s="814" t="s">
        <v>9</v>
      </c>
      <c r="K59" s="814" t="s">
        <v>10</v>
      </c>
      <c r="L59" s="814" t="s">
        <v>11</v>
      </c>
      <c r="M59" s="815" t="s">
        <v>12</v>
      </c>
      <c r="N59" s="816" t="s">
        <v>13</v>
      </c>
    </row>
    <row r="60" spans="1:14">
      <c r="A60" s="785" t="s">
        <v>247</v>
      </c>
      <c r="B60" s="765"/>
      <c r="C60" s="766">
        <v>1</v>
      </c>
      <c r="D60" s="766"/>
      <c r="E60" s="766"/>
      <c r="F60" s="766"/>
      <c r="G60" s="766">
        <v>1</v>
      </c>
      <c r="H60" s="766"/>
      <c r="I60" s="766"/>
      <c r="J60" s="766"/>
      <c r="K60" s="766">
        <v>1</v>
      </c>
      <c r="L60" s="766"/>
      <c r="M60" s="767"/>
      <c r="N60" s="786">
        <f>SUM(B60:M60)</f>
        <v>3</v>
      </c>
    </row>
    <row r="61" spans="1:14">
      <c r="A61" s="787" t="s">
        <v>239</v>
      </c>
      <c r="B61" s="770"/>
      <c r="C61" s="771">
        <v>100000</v>
      </c>
      <c r="D61" s="771"/>
      <c r="E61" s="771"/>
      <c r="F61" s="771"/>
      <c r="G61" s="771">
        <v>100000</v>
      </c>
      <c r="H61" s="771"/>
      <c r="I61" s="771"/>
      <c r="J61" s="771"/>
      <c r="K61" s="771">
        <v>100000</v>
      </c>
      <c r="L61" s="771"/>
      <c r="M61" s="772"/>
      <c r="N61" s="772">
        <f>SUM(B61:M61)</f>
        <v>300000</v>
      </c>
    </row>
    <row r="62" spans="1:14">
      <c r="A62" s="788" t="s">
        <v>263</v>
      </c>
      <c r="B62" s="775"/>
      <c r="C62" s="776">
        <v>200000</v>
      </c>
      <c r="D62" s="776"/>
      <c r="E62" s="776"/>
      <c r="F62" s="776"/>
      <c r="G62" s="776">
        <v>200000</v>
      </c>
      <c r="H62" s="776"/>
      <c r="I62" s="776"/>
      <c r="J62" s="776"/>
      <c r="K62" s="776">
        <v>200000</v>
      </c>
      <c r="L62" s="776"/>
      <c r="M62" s="777"/>
      <c r="N62" s="789">
        <f>SUM(B62:M62)</f>
        <v>600000</v>
      </c>
    </row>
    <row r="63" spans="1:14" ht="18.600000000000001" thickBot="1">
      <c r="A63" s="790" t="s">
        <v>264</v>
      </c>
      <c r="B63" s="780"/>
      <c r="C63" s="781"/>
      <c r="D63" s="781"/>
      <c r="E63" s="781"/>
      <c r="F63" s="781"/>
      <c r="G63" s="781"/>
      <c r="H63" s="781"/>
      <c r="I63" s="781"/>
      <c r="J63" s="781"/>
      <c r="K63" s="781"/>
      <c r="L63" s="781"/>
      <c r="M63" s="782"/>
      <c r="N63" s="782">
        <f>SUM(B63:M63)</f>
        <v>0</v>
      </c>
    </row>
    <row r="64" spans="1:14" ht="18.600000000000001" thickBot="1"/>
    <row r="65" spans="1:14" ht="24.9" customHeight="1" thickBot="1">
      <c r="A65" s="762"/>
      <c r="B65" s="2347" t="s">
        <v>308</v>
      </c>
      <c r="C65" s="2348"/>
      <c r="D65" s="2348"/>
      <c r="E65" s="2348"/>
      <c r="F65" s="2348"/>
      <c r="G65" s="2348"/>
      <c r="H65" s="2348"/>
      <c r="I65" s="2348"/>
      <c r="J65" s="2348"/>
      <c r="K65" s="2348"/>
      <c r="L65" s="2348"/>
      <c r="M65" s="2348"/>
      <c r="N65" s="2349"/>
    </row>
    <row r="66" spans="1:14" ht="24.9" customHeight="1" thickBot="1">
      <c r="A66" s="784" t="s">
        <v>98</v>
      </c>
      <c r="B66" s="813" t="s">
        <v>1</v>
      </c>
      <c r="C66" s="814" t="s">
        <v>2</v>
      </c>
      <c r="D66" s="814" t="s">
        <v>3</v>
      </c>
      <c r="E66" s="814" t="s">
        <v>4</v>
      </c>
      <c r="F66" s="814" t="s">
        <v>5</v>
      </c>
      <c r="G66" s="814" t="s">
        <v>6</v>
      </c>
      <c r="H66" s="814" t="s">
        <v>7</v>
      </c>
      <c r="I66" s="814" t="s">
        <v>8</v>
      </c>
      <c r="J66" s="814" t="s">
        <v>9</v>
      </c>
      <c r="K66" s="814" t="s">
        <v>10</v>
      </c>
      <c r="L66" s="814" t="s">
        <v>11</v>
      </c>
      <c r="M66" s="815" t="s">
        <v>12</v>
      </c>
      <c r="N66" s="816" t="s">
        <v>13</v>
      </c>
    </row>
    <row r="67" spans="1:14">
      <c r="A67" s="785" t="s">
        <v>247</v>
      </c>
      <c r="B67" s="765"/>
      <c r="C67" s="766"/>
      <c r="D67" s="766"/>
      <c r="E67" s="766">
        <v>1</v>
      </c>
      <c r="F67" s="766"/>
      <c r="G67" s="766"/>
      <c r="H67" s="766"/>
      <c r="I67" s="766"/>
      <c r="J67" s="766"/>
      <c r="K67" s="766">
        <v>1</v>
      </c>
      <c r="L67" s="766"/>
      <c r="M67" s="767"/>
      <c r="N67" s="786">
        <f>SUM(B67:M67)</f>
        <v>2</v>
      </c>
    </row>
    <row r="68" spans="1:14">
      <c r="A68" s="787" t="s">
        <v>239</v>
      </c>
      <c r="B68" s="770"/>
      <c r="C68" s="771"/>
      <c r="D68" s="771"/>
      <c r="E68" s="771">
        <v>1200000</v>
      </c>
      <c r="F68" s="771"/>
      <c r="G68" s="771"/>
      <c r="H68" s="771"/>
      <c r="I68" s="771"/>
      <c r="J68" s="771"/>
      <c r="K68" s="771">
        <v>1200000</v>
      </c>
      <c r="L68" s="771"/>
      <c r="M68" s="772"/>
      <c r="N68" s="772">
        <f>SUM(B68:M68)</f>
        <v>2400000</v>
      </c>
    </row>
    <row r="69" spans="1:14">
      <c r="A69" s="788" t="s">
        <v>263</v>
      </c>
      <c r="B69" s="775"/>
      <c r="C69" s="776"/>
      <c r="D69" s="776"/>
      <c r="E69" s="776">
        <v>500000</v>
      </c>
      <c r="F69" s="776"/>
      <c r="G69" s="776"/>
      <c r="H69" s="776"/>
      <c r="I69" s="776"/>
      <c r="J69" s="776"/>
      <c r="K69" s="776">
        <v>500000</v>
      </c>
      <c r="L69" s="776"/>
      <c r="M69" s="777"/>
      <c r="N69" s="789">
        <f>SUM(B69:M69)</f>
        <v>1000000</v>
      </c>
    </row>
    <row r="70" spans="1:14" ht="18.600000000000001" thickBot="1">
      <c r="A70" s="790" t="s">
        <v>264</v>
      </c>
      <c r="B70" s="780"/>
      <c r="C70" s="781"/>
      <c r="D70" s="781"/>
      <c r="E70" s="781">
        <v>125000</v>
      </c>
      <c r="F70" s="781"/>
      <c r="G70" s="781"/>
      <c r="H70" s="781"/>
      <c r="I70" s="781"/>
      <c r="J70" s="781"/>
      <c r="K70" s="781">
        <v>125000</v>
      </c>
      <c r="L70" s="781"/>
      <c r="M70" s="782"/>
      <c r="N70" s="782">
        <f>SUM(B70:M70)</f>
        <v>250000</v>
      </c>
    </row>
    <row r="71" spans="1:14" ht="18.600000000000001" thickBot="1"/>
    <row r="72" spans="1:14" ht="24.9" customHeight="1" thickBot="1">
      <c r="A72" s="762"/>
      <c r="B72" s="2347" t="s">
        <v>308</v>
      </c>
      <c r="C72" s="2348"/>
      <c r="D72" s="2348"/>
      <c r="E72" s="2348"/>
      <c r="F72" s="2348"/>
      <c r="G72" s="2348"/>
      <c r="H72" s="2348"/>
      <c r="I72" s="2348"/>
      <c r="J72" s="2348"/>
      <c r="K72" s="2348"/>
      <c r="L72" s="2348"/>
      <c r="M72" s="2348"/>
      <c r="N72" s="2349"/>
    </row>
    <row r="73" spans="1:14" ht="24.9" customHeight="1" thickBot="1">
      <c r="A73" s="784" t="s">
        <v>99</v>
      </c>
      <c r="B73" s="813" t="s">
        <v>1</v>
      </c>
      <c r="C73" s="814" t="s">
        <v>2</v>
      </c>
      <c r="D73" s="814" t="s">
        <v>3</v>
      </c>
      <c r="E73" s="814" t="s">
        <v>4</v>
      </c>
      <c r="F73" s="814" t="s">
        <v>5</v>
      </c>
      <c r="G73" s="814" t="s">
        <v>6</v>
      </c>
      <c r="H73" s="814" t="s">
        <v>7</v>
      </c>
      <c r="I73" s="814" t="s">
        <v>8</v>
      </c>
      <c r="J73" s="814" t="s">
        <v>9</v>
      </c>
      <c r="K73" s="814" t="s">
        <v>10</v>
      </c>
      <c r="L73" s="814" t="s">
        <v>11</v>
      </c>
      <c r="M73" s="815" t="s">
        <v>12</v>
      </c>
      <c r="N73" s="816" t="s">
        <v>13</v>
      </c>
    </row>
    <row r="74" spans="1:14">
      <c r="A74" s="785" t="s">
        <v>247</v>
      </c>
      <c r="B74" s="765"/>
      <c r="C74" s="766"/>
      <c r="D74" s="766">
        <v>1</v>
      </c>
      <c r="E74" s="766"/>
      <c r="F74" s="766"/>
      <c r="G74" s="766"/>
      <c r="H74" s="766">
        <v>1</v>
      </c>
      <c r="I74" s="766"/>
      <c r="J74" s="766"/>
      <c r="K74" s="766">
        <v>1</v>
      </c>
      <c r="L74" s="766"/>
      <c r="M74" s="767">
        <v>1</v>
      </c>
      <c r="N74" s="786">
        <f>SUM(B74:M74)</f>
        <v>4</v>
      </c>
    </row>
    <row r="75" spans="1:14">
      <c r="A75" s="787" t="s">
        <v>239</v>
      </c>
      <c r="B75" s="770"/>
      <c r="C75" s="771"/>
      <c r="D75" s="771">
        <v>750000</v>
      </c>
      <c r="E75" s="771"/>
      <c r="F75" s="771"/>
      <c r="G75" s="771"/>
      <c r="H75" s="771">
        <v>750000</v>
      </c>
      <c r="I75" s="771"/>
      <c r="J75" s="771"/>
      <c r="K75" s="771">
        <v>750000</v>
      </c>
      <c r="L75" s="771"/>
      <c r="M75" s="772">
        <v>750000</v>
      </c>
      <c r="N75" s="772">
        <f>SUM(B75:M75)</f>
        <v>3000000</v>
      </c>
    </row>
    <row r="76" spans="1:14">
      <c r="A76" s="788" t="s">
        <v>263</v>
      </c>
      <c r="B76" s="775"/>
      <c r="C76" s="776"/>
      <c r="D76" s="776">
        <v>200000</v>
      </c>
      <c r="E76" s="776"/>
      <c r="F76" s="776"/>
      <c r="G76" s="776"/>
      <c r="H76" s="776">
        <v>200000</v>
      </c>
      <c r="I76" s="776"/>
      <c r="J76" s="776"/>
      <c r="K76" s="776">
        <v>200000</v>
      </c>
      <c r="L76" s="776"/>
      <c r="M76" s="777">
        <v>200000</v>
      </c>
      <c r="N76" s="789">
        <f>SUM(B76:M76)</f>
        <v>800000</v>
      </c>
    </row>
    <row r="77" spans="1:14" ht="18.600000000000001" thickBot="1">
      <c r="A77" s="790" t="s">
        <v>264</v>
      </c>
      <c r="B77" s="780"/>
      <c r="C77" s="781"/>
      <c r="D77" s="781">
        <v>50000</v>
      </c>
      <c r="E77" s="781"/>
      <c r="F77" s="781"/>
      <c r="G77" s="781"/>
      <c r="H77" s="781">
        <v>50000</v>
      </c>
      <c r="I77" s="781"/>
      <c r="J77" s="781"/>
      <c r="K77" s="781">
        <v>50000</v>
      </c>
      <c r="L77" s="781"/>
      <c r="M77" s="782">
        <v>50000</v>
      </c>
      <c r="N77" s="782">
        <f>SUM(B77:M77)</f>
        <v>200000</v>
      </c>
    </row>
    <row r="78" spans="1:14" ht="18.600000000000001" thickBot="1"/>
    <row r="79" spans="1:14" ht="24.9" customHeight="1" thickBot="1">
      <c r="A79" s="762"/>
      <c r="B79" s="2347" t="s">
        <v>308</v>
      </c>
      <c r="C79" s="2348"/>
      <c r="D79" s="2348"/>
      <c r="E79" s="2348"/>
      <c r="F79" s="2348"/>
      <c r="G79" s="2348"/>
      <c r="H79" s="2348"/>
      <c r="I79" s="2348"/>
      <c r="J79" s="2348"/>
      <c r="K79" s="2348"/>
      <c r="L79" s="2348"/>
      <c r="M79" s="2348"/>
      <c r="N79" s="2349"/>
    </row>
    <row r="80" spans="1:14" ht="24.9" customHeight="1" thickBot="1">
      <c r="A80" s="784" t="s">
        <v>100</v>
      </c>
      <c r="B80" s="813" t="s">
        <v>1</v>
      </c>
      <c r="C80" s="814" t="s">
        <v>2</v>
      </c>
      <c r="D80" s="814" t="s">
        <v>3</v>
      </c>
      <c r="E80" s="814" t="s">
        <v>4</v>
      </c>
      <c r="F80" s="814" t="s">
        <v>5</v>
      </c>
      <c r="G80" s="814" t="s">
        <v>6</v>
      </c>
      <c r="H80" s="814" t="s">
        <v>7</v>
      </c>
      <c r="I80" s="814" t="s">
        <v>8</v>
      </c>
      <c r="J80" s="814" t="s">
        <v>9</v>
      </c>
      <c r="K80" s="814" t="s">
        <v>10</v>
      </c>
      <c r="L80" s="814" t="s">
        <v>11</v>
      </c>
      <c r="M80" s="815" t="s">
        <v>12</v>
      </c>
      <c r="N80" s="816" t="s">
        <v>13</v>
      </c>
    </row>
    <row r="81" spans="1:14">
      <c r="A81" s="785" t="s">
        <v>247</v>
      </c>
      <c r="B81" s="765"/>
      <c r="C81" s="766"/>
      <c r="D81" s="766"/>
      <c r="E81" s="766"/>
      <c r="F81" s="766">
        <v>1</v>
      </c>
      <c r="G81" s="766"/>
      <c r="H81" s="766"/>
      <c r="I81" s="766"/>
      <c r="J81" s="766">
        <v>1</v>
      </c>
      <c r="K81" s="766"/>
      <c r="L81" s="766"/>
      <c r="M81" s="767"/>
      <c r="N81" s="786">
        <f>SUM(B81:M81)</f>
        <v>2</v>
      </c>
    </row>
    <row r="82" spans="1:14">
      <c r="A82" s="787" t="s">
        <v>239</v>
      </c>
      <c r="B82" s="770"/>
      <c r="C82" s="771"/>
      <c r="D82" s="771"/>
      <c r="E82" s="771"/>
      <c r="F82" s="771">
        <v>100000</v>
      </c>
      <c r="G82" s="771"/>
      <c r="H82" s="771"/>
      <c r="I82" s="771"/>
      <c r="J82" s="771">
        <v>100000</v>
      </c>
      <c r="K82" s="771"/>
      <c r="L82" s="771"/>
      <c r="M82" s="772"/>
      <c r="N82" s="772">
        <f>SUM(B82:M82)</f>
        <v>200000</v>
      </c>
    </row>
    <row r="83" spans="1:14">
      <c r="A83" s="788" t="s">
        <v>263</v>
      </c>
      <c r="B83" s="775"/>
      <c r="C83" s="776"/>
      <c r="D83" s="776"/>
      <c r="E83" s="776"/>
      <c r="F83" s="776">
        <v>100000</v>
      </c>
      <c r="G83" s="776"/>
      <c r="H83" s="776"/>
      <c r="I83" s="776"/>
      <c r="J83" s="776">
        <v>100000</v>
      </c>
      <c r="K83" s="776"/>
      <c r="L83" s="776"/>
      <c r="M83" s="777"/>
      <c r="N83" s="789">
        <f>SUM(B83:M83)</f>
        <v>200000</v>
      </c>
    </row>
    <row r="84" spans="1:14" ht="18.600000000000001" thickBot="1">
      <c r="A84" s="790" t="s">
        <v>264</v>
      </c>
      <c r="B84" s="780"/>
      <c r="C84" s="781"/>
      <c r="D84" s="781"/>
      <c r="E84" s="781"/>
      <c r="F84" s="781">
        <v>10000</v>
      </c>
      <c r="G84" s="781"/>
      <c r="H84" s="781"/>
      <c r="I84" s="781"/>
      <c r="J84" s="781">
        <v>10000</v>
      </c>
      <c r="K84" s="781"/>
      <c r="L84" s="781"/>
      <c r="M84" s="782"/>
      <c r="N84" s="782">
        <f>SUM(B84:M84)</f>
        <v>20000</v>
      </c>
    </row>
    <row r="85" spans="1:14" ht="18.600000000000001" thickBot="1"/>
    <row r="86" spans="1:14" ht="24.9" customHeight="1" thickBot="1">
      <c r="A86" s="762"/>
      <c r="B86" s="2347" t="s">
        <v>308</v>
      </c>
      <c r="C86" s="2348"/>
      <c r="D86" s="2348"/>
      <c r="E86" s="2348"/>
      <c r="F86" s="2348"/>
      <c r="G86" s="2348"/>
      <c r="H86" s="2348"/>
      <c r="I86" s="2348"/>
      <c r="J86" s="2348"/>
      <c r="K86" s="2348"/>
      <c r="L86" s="2348"/>
      <c r="M86" s="2348"/>
      <c r="N86" s="2349"/>
    </row>
    <row r="87" spans="1:14" ht="24.9" customHeight="1" thickBot="1">
      <c r="A87" s="784" t="s">
        <v>101</v>
      </c>
      <c r="B87" s="813" t="s">
        <v>1</v>
      </c>
      <c r="C87" s="814" t="s">
        <v>2</v>
      </c>
      <c r="D87" s="814" t="s">
        <v>3</v>
      </c>
      <c r="E87" s="814" t="s">
        <v>4</v>
      </c>
      <c r="F87" s="814" t="s">
        <v>5</v>
      </c>
      <c r="G87" s="814" t="s">
        <v>6</v>
      </c>
      <c r="H87" s="814" t="s">
        <v>7</v>
      </c>
      <c r="I87" s="814" t="s">
        <v>8</v>
      </c>
      <c r="J87" s="814" t="s">
        <v>9</v>
      </c>
      <c r="K87" s="814" t="s">
        <v>10</v>
      </c>
      <c r="L87" s="814" t="s">
        <v>11</v>
      </c>
      <c r="M87" s="815" t="s">
        <v>12</v>
      </c>
      <c r="N87" s="816" t="s">
        <v>13</v>
      </c>
    </row>
    <row r="88" spans="1:14">
      <c r="A88" s="785" t="s">
        <v>247</v>
      </c>
      <c r="B88" s="765"/>
      <c r="C88" s="766"/>
      <c r="D88" s="766">
        <v>1</v>
      </c>
      <c r="E88" s="766"/>
      <c r="F88" s="766"/>
      <c r="G88" s="766"/>
      <c r="H88" s="766">
        <v>1</v>
      </c>
      <c r="I88" s="766"/>
      <c r="J88" s="766"/>
      <c r="K88" s="766"/>
      <c r="L88" s="766">
        <v>1</v>
      </c>
      <c r="M88" s="767"/>
      <c r="N88" s="786">
        <f>SUM(B88:M88)</f>
        <v>3</v>
      </c>
    </row>
    <row r="89" spans="1:14">
      <c r="A89" s="787" t="s">
        <v>239</v>
      </c>
      <c r="B89" s="770"/>
      <c r="C89" s="771"/>
      <c r="D89" s="771">
        <v>100000</v>
      </c>
      <c r="E89" s="771"/>
      <c r="F89" s="771"/>
      <c r="G89" s="771"/>
      <c r="H89" s="771">
        <v>100000</v>
      </c>
      <c r="I89" s="771"/>
      <c r="J89" s="771"/>
      <c r="K89" s="771"/>
      <c r="L89" s="771">
        <v>100000</v>
      </c>
      <c r="M89" s="772"/>
      <c r="N89" s="772">
        <f>SUM(B89:M89)</f>
        <v>300000</v>
      </c>
    </row>
    <row r="90" spans="1:14">
      <c r="A90" s="788" t="s">
        <v>263</v>
      </c>
      <c r="B90" s="775"/>
      <c r="C90" s="776"/>
      <c r="D90" s="776">
        <v>100000</v>
      </c>
      <c r="E90" s="776"/>
      <c r="F90" s="776"/>
      <c r="G90" s="776"/>
      <c r="H90" s="776">
        <v>100000</v>
      </c>
      <c r="I90" s="776"/>
      <c r="J90" s="776"/>
      <c r="K90" s="776"/>
      <c r="L90" s="776">
        <v>100000</v>
      </c>
      <c r="M90" s="777"/>
      <c r="N90" s="789">
        <f>SUM(B90:M90)</f>
        <v>300000</v>
      </c>
    </row>
    <row r="91" spans="1:14" ht="18.600000000000001" thickBot="1">
      <c r="A91" s="790" t="s">
        <v>264</v>
      </c>
      <c r="B91" s="780"/>
      <c r="C91" s="781"/>
      <c r="D91" s="781">
        <v>10000</v>
      </c>
      <c r="E91" s="781"/>
      <c r="F91" s="781"/>
      <c r="G91" s="781"/>
      <c r="H91" s="781">
        <v>10000</v>
      </c>
      <c r="I91" s="781"/>
      <c r="J91" s="781"/>
      <c r="K91" s="781"/>
      <c r="L91" s="781">
        <v>10000</v>
      </c>
      <c r="M91" s="782"/>
      <c r="N91" s="782">
        <f>SUM(B91:M91)</f>
        <v>30000</v>
      </c>
    </row>
    <row r="92" spans="1:14" ht="18.600000000000001" thickBot="1"/>
    <row r="93" spans="1:14" ht="24.9" customHeight="1" thickBot="1">
      <c r="A93" s="762"/>
      <c r="B93" s="2347" t="s">
        <v>308</v>
      </c>
      <c r="C93" s="2348"/>
      <c r="D93" s="2348"/>
      <c r="E93" s="2348"/>
      <c r="F93" s="2348"/>
      <c r="G93" s="2348"/>
      <c r="H93" s="2348"/>
      <c r="I93" s="2348"/>
      <c r="J93" s="2348"/>
      <c r="K93" s="2348"/>
      <c r="L93" s="2348"/>
      <c r="M93" s="2348"/>
      <c r="N93" s="2349"/>
    </row>
    <row r="94" spans="1:14" ht="24.9" customHeight="1" thickBot="1">
      <c r="A94" s="784" t="s">
        <v>102</v>
      </c>
      <c r="B94" s="813" t="s">
        <v>1</v>
      </c>
      <c r="C94" s="814" t="s">
        <v>2</v>
      </c>
      <c r="D94" s="814" t="s">
        <v>3</v>
      </c>
      <c r="E94" s="814" t="s">
        <v>4</v>
      </c>
      <c r="F94" s="814" t="s">
        <v>5</v>
      </c>
      <c r="G94" s="814" t="s">
        <v>6</v>
      </c>
      <c r="H94" s="814" t="s">
        <v>7</v>
      </c>
      <c r="I94" s="814" t="s">
        <v>8</v>
      </c>
      <c r="J94" s="814" t="s">
        <v>9</v>
      </c>
      <c r="K94" s="814" t="s">
        <v>10</v>
      </c>
      <c r="L94" s="814" t="s">
        <v>11</v>
      </c>
      <c r="M94" s="815" t="s">
        <v>12</v>
      </c>
      <c r="N94" s="816" t="s">
        <v>13</v>
      </c>
    </row>
    <row r="95" spans="1:14">
      <c r="A95" s="785" t="s">
        <v>247</v>
      </c>
      <c r="B95" s="765"/>
      <c r="C95" s="766"/>
      <c r="D95" s="766"/>
      <c r="E95" s="766"/>
      <c r="F95" s="766"/>
      <c r="G95" s="766">
        <v>1</v>
      </c>
      <c r="H95" s="766"/>
      <c r="I95" s="766">
        <v>1</v>
      </c>
      <c r="J95" s="766"/>
      <c r="K95" s="766"/>
      <c r="L95" s="766"/>
      <c r="M95" s="767"/>
      <c r="N95" s="786">
        <f>SUM(B95:M95)</f>
        <v>2</v>
      </c>
    </row>
    <row r="96" spans="1:14">
      <c r="A96" s="787" t="s">
        <v>239</v>
      </c>
      <c r="B96" s="770"/>
      <c r="C96" s="771"/>
      <c r="D96" s="771"/>
      <c r="E96" s="771"/>
      <c r="F96" s="771"/>
      <c r="G96" s="771">
        <v>100000</v>
      </c>
      <c r="H96" s="771"/>
      <c r="I96" s="771">
        <v>100000</v>
      </c>
      <c r="J96" s="771"/>
      <c r="K96" s="771"/>
      <c r="L96" s="771"/>
      <c r="M96" s="772"/>
      <c r="N96" s="772">
        <f>SUM(B96:M96)</f>
        <v>200000</v>
      </c>
    </row>
    <row r="97" spans="1:14">
      <c r="A97" s="788" t="s">
        <v>263</v>
      </c>
      <c r="B97" s="775"/>
      <c r="C97" s="776"/>
      <c r="D97" s="776"/>
      <c r="E97" s="776"/>
      <c r="F97" s="776"/>
      <c r="G97" s="776">
        <v>100000</v>
      </c>
      <c r="H97" s="776"/>
      <c r="I97" s="776">
        <v>100000</v>
      </c>
      <c r="J97" s="776"/>
      <c r="K97" s="776"/>
      <c r="L97" s="776"/>
      <c r="M97" s="777"/>
      <c r="N97" s="789">
        <f>SUM(B97:M97)</f>
        <v>200000</v>
      </c>
    </row>
    <row r="98" spans="1:14" ht="18.600000000000001" thickBot="1">
      <c r="A98" s="790" t="s">
        <v>264</v>
      </c>
      <c r="B98" s="780"/>
      <c r="C98" s="781"/>
      <c r="D98" s="781"/>
      <c r="E98" s="781"/>
      <c r="F98" s="781"/>
      <c r="G98" s="781">
        <v>30000</v>
      </c>
      <c r="H98" s="781"/>
      <c r="I98" s="781">
        <v>30000</v>
      </c>
      <c r="J98" s="781"/>
      <c r="K98" s="781"/>
      <c r="L98" s="781"/>
      <c r="M98" s="782"/>
      <c r="N98" s="782">
        <f>SUM(B98:M98)</f>
        <v>60000</v>
      </c>
    </row>
    <row r="99" spans="1:14" ht="18.600000000000001" thickBot="1"/>
    <row r="100" spans="1:14" ht="24.9" customHeight="1" thickBot="1">
      <c r="A100" s="762"/>
      <c r="B100" s="2347" t="s">
        <v>308</v>
      </c>
      <c r="C100" s="2348"/>
      <c r="D100" s="2348"/>
      <c r="E100" s="2348"/>
      <c r="F100" s="2348"/>
      <c r="G100" s="2348"/>
      <c r="H100" s="2348"/>
      <c r="I100" s="2348"/>
      <c r="J100" s="2348"/>
      <c r="K100" s="2348"/>
      <c r="L100" s="2348"/>
      <c r="M100" s="2348"/>
      <c r="N100" s="2349"/>
    </row>
    <row r="101" spans="1:14" ht="24.9" customHeight="1" thickBot="1">
      <c r="A101" s="784" t="s">
        <v>103</v>
      </c>
      <c r="B101" s="813" t="s">
        <v>1</v>
      </c>
      <c r="C101" s="814" t="s">
        <v>2</v>
      </c>
      <c r="D101" s="814" t="s">
        <v>3</v>
      </c>
      <c r="E101" s="814" t="s">
        <v>4</v>
      </c>
      <c r="F101" s="814" t="s">
        <v>5</v>
      </c>
      <c r="G101" s="814" t="s">
        <v>6</v>
      </c>
      <c r="H101" s="814" t="s">
        <v>7</v>
      </c>
      <c r="I101" s="814" t="s">
        <v>8</v>
      </c>
      <c r="J101" s="814" t="s">
        <v>9</v>
      </c>
      <c r="K101" s="814" t="s">
        <v>10</v>
      </c>
      <c r="L101" s="814" t="s">
        <v>11</v>
      </c>
      <c r="M101" s="815" t="s">
        <v>12</v>
      </c>
      <c r="N101" s="816" t="s">
        <v>13</v>
      </c>
    </row>
    <row r="102" spans="1:14">
      <c r="A102" s="785" t="s">
        <v>247</v>
      </c>
      <c r="B102" s="765"/>
      <c r="C102" s="766"/>
      <c r="D102" s="766"/>
      <c r="E102" s="766"/>
      <c r="F102" s="766">
        <v>1</v>
      </c>
      <c r="G102" s="766"/>
      <c r="H102" s="766"/>
      <c r="I102" s="766"/>
      <c r="J102" s="766"/>
      <c r="K102" s="766"/>
      <c r="L102" s="766"/>
      <c r="M102" s="767"/>
      <c r="N102" s="786">
        <f>SUM(B102:M102)</f>
        <v>1</v>
      </c>
    </row>
    <row r="103" spans="1:14">
      <c r="A103" s="787" t="s">
        <v>239</v>
      </c>
      <c r="B103" s="770"/>
      <c r="C103" s="771"/>
      <c r="D103" s="771"/>
      <c r="E103" s="771"/>
      <c r="F103" s="771">
        <v>100000</v>
      </c>
      <c r="G103" s="771"/>
      <c r="H103" s="771"/>
      <c r="I103" s="771"/>
      <c r="J103" s="771"/>
      <c r="K103" s="771"/>
      <c r="L103" s="771"/>
      <c r="M103" s="772"/>
      <c r="N103" s="772">
        <f>SUM(B103:M103)</f>
        <v>100000</v>
      </c>
    </row>
    <row r="104" spans="1:14">
      <c r="A104" s="788" t="s">
        <v>263</v>
      </c>
      <c r="B104" s="775"/>
      <c r="C104" s="776"/>
      <c r="D104" s="776"/>
      <c r="E104" s="776"/>
      <c r="F104" s="776">
        <v>100000</v>
      </c>
      <c r="G104" s="776"/>
      <c r="H104" s="776"/>
      <c r="I104" s="776"/>
      <c r="J104" s="776"/>
      <c r="K104" s="776"/>
      <c r="L104" s="776"/>
      <c r="M104" s="777"/>
      <c r="N104" s="789">
        <f>SUM(B104:M104)</f>
        <v>100000</v>
      </c>
    </row>
    <row r="105" spans="1:14" ht="18.600000000000001" thickBot="1">
      <c r="A105" s="790" t="s">
        <v>264</v>
      </c>
      <c r="B105" s="780"/>
      <c r="C105" s="781"/>
      <c r="D105" s="781"/>
      <c r="E105" s="781"/>
      <c r="F105" s="781">
        <v>30000</v>
      </c>
      <c r="G105" s="781"/>
      <c r="H105" s="781"/>
      <c r="I105" s="781"/>
      <c r="J105" s="781"/>
      <c r="K105" s="781"/>
      <c r="L105" s="781"/>
      <c r="M105" s="782"/>
      <c r="N105" s="782">
        <f>SUM(B105:M105)</f>
        <v>30000</v>
      </c>
    </row>
    <row r="106" spans="1:14" s="733" customFormat="1" ht="18.600000000000001" thickBot="1">
      <c r="B106" s="793"/>
      <c r="C106" s="793"/>
      <c r="D106" s="793"/>
      <c r="E106" s="793"/>
      <c r="F106" s="793"/>
      <c r="G106" s="793"/>
      <c r="H106" s="793"/>
      <c r="I106" s="793"/>
      <c r="J106" s="793"/>
      <c r="K106" s="793"/>
      <c r="L106" s="793"/>
      <c r="M106" s="793"/>
      <c r="N106" s="794"/>
    </row>
    <row r="107" spans="1:14" s="733" customFormat="1" ht="31.8" thickBot="1">
      <c r="A107" s="762"/>
      <c r="B107" s="2347" t="s">
        <v>308</v>
      </c>
      <c r="C107" s="2348"/>
      <c r="D107" s="2348"/>
      <c r="E107" s="2348"/>
      <c r="F107" s="2348"/>
      <c r="G107" s="2348"/>
      <c r="H107" s="2348"/>
      <c r="I107" s="2348"/>
      <c r="J107" s="2348"/>
      <c r="K107" s="2348"/>
      <c r="L107" s="2348"/>
      <c r="M107" s="2348"/>
      <c r="N107" s="2349"/>
    </row>
    <row r="108" spans="1:14" s="733" customFormat="1" ht="18.600000000000001" thickBot="1">
      <c r="A108" s="784" t="s">
        <v>104</v>
      </c>
      <c r="B108" s="813" t="s">
        <v>1</v>
      </c>
      <c r="C108" s="814" t="s">
        <v>2</v>
      </c>
      <c r="D108" s="814" t="s">
        <v>3</v>
      </c>
      <c r="E108" s="814" t="s">
        <v>4</v>
      </c>
      <c r="F108" s="814" t="s">
        <v>5</v>
      </c>
      <c r="G108" s="814" t="s">
        <v>6</v>
      </c>
      <c r="H108" s="814" t="s">
        <v>7</v>
      </c>
      <c r="I108" s="814" t="s">
        <v>8</v>
      </c>
      <c r="J108" s="814" t="s">
        <v>9</v>
      </c>
      <c r="K108" s="814" t="s">
        <v>10</v>
      </c>
      <c r="L108" s="814" t="s">
        <v>11</v>
      </c>
      <c r="M108" s="815" t="s">
        <v>12</v>
      </c>
      <c r="N108" s="816" t="s">
        <v>13</v>
      </c>
    </row>
    <row r="109" spans="1:14" s="733" customFormat="1">
      <c r="A109" s="785" t="s">
        <v>247</v>
      </c>
      <c r="B109" s="765"/>
      <c r="C109" s="766"/>
      <c r="D109" s="766">
        <v>1</v>
      </c>
      <c r="E109" s="766"/>
      <c r="F109" s="766">
        <v>1</v>
      </c>
      <c r="G109" s="766"/>
      <c r="H109" s="766"/>
      <c r="I109" s="766">
        <v>1</v>
      </c>
      <c r="J109" s="766"/>
      <c r="K109" s="766"/>
      <c r="L109" s="766"/>
      <c r="M109" s="767"/>
      <c r="N109" s="786">
        <f>SUM(B109:M109)</f>
        <v>3</v>
      </c>
    </row>
    <row r="110" spans="1:14" s="733" customFormat="1">
      <c r="A110" s="787" t="s">
        <v>239</v>
      </c>
      <c r="B110" s="770"/>
      <c r="C110" s="771"/>
      <c r="D110" s="771">
        <v>100000</v>
      </c>
      <c r="E110" s="771"/>
      <c r="F110" s="771">
        <v>100000</v>
      </c>
      <c r="G110" s="771"/>
      <c r="H110" s="771"/>
      <c r="I110" s="771">
        <v>100000</v>
      </c>
      <c r="J110" s="771"/>
      <c r="K110" s="771"/>
      <c r="L110" s="771"/>
      <c r="M110" s="772"/>
      <c r="N110" s="772">
        <f>SUM(B110:M110)</f>
        <v>300000</v>
      </c>
    </row>
    <row r="111" spans="1:14" s="733" customFormat="1">
      <c r="A111" s="788" t="s">
        <v>263</v>
      </c>
      <c r="B111" s="775"/>
      <c r="C111" s="776"/>
      <c r="D111" s="776">
        <v>100000</v>
      </c>
      <c r="E111" s="776"/>
      <c r="F111" s="776">
        <v>100000</v>
      </c>
      <c r="G111" s="776"/>
      <c r="H111" s="776"/>
      <c r="I111" s="776">
        <v>100000</v>
      </c>
      <c r="J111" s="776"/>
      <c r="K111" s="776"/>
      <c r="L111" s="776"/>
      <c r="M111" s="777"/>
      <c r="N111" s="789">
        <f>SUM(B111:M111)</f>
        <v>300000</v>
      </c>
    </row>
    <row r="112" spans="1:14" s="733" customFormat="1" ht="18.600000000000001" thickBot="1">
      <c r="A112" s="790" t="s">
        <v>264</v>
      </c>
      <c r="B112" s="780"/>
      <c r="C112" s="781"/>
      <c r="D112" s="781">
        <v>50000</v>
      </c>
      <c r="E112" s="781"/>
      <c r="F112" s="781">
        <v>50000</v>
      </c>
      <c r="G112" s="781"/>
      <c r="H112" s="781"/>
      <c r="I112" s="781">
        <v>50000</v>
      </c>
      <c r="J112" s="781"/>
      <c r="K112" s="781"/>
      <c r="L112" s="781"/>
      <c r="M112" s="782"/>
      <c r="N112" s="782">
        <f>SUM(B112:M112)</f>
        <v>150000</v>
      </c>
    </row>
    <row r="113" spans="1:15" s="733" customFormat="1" ht="18.600000000000001" thickBot="1">
      <c r="B113" s="793"/>
      <c r="C113" s="793"/>
      <c r="D113" s="793"/>
      <c r="E113" s="793"/>
      <c r="F113" s="793"/>
      <c r="G113" s="793"/>
      <c r="H113" s="793"/>
      <c r="I113" s="793"/>
      <c r="J113" s="793"/>
      <c r="K113" s="793"/>
      <c r="L113" s="793"/>
      <c r="M113" s="793"/>
    </row>
    <row r="114" spans="1:15" ht="24.9" customHeight="1" thickBot="1">
      <c r="A114" s="762"/>
      <c r="B114" s="2350" t="s">
        <v>309</v>
      </c>
      <c r="C114" s="2351"/>
      <c r="D114" s="2351"/>
      <c r="E114" s="2351"/>
      <c r="F114" s="2351"/>
      <c r="G114" s="2351"/>
      <c r="H114" s="2351"/>
      <c r="I114" s="2351"/>
      <c r="J114" s="2351"/>
      <c r="K114" s="2351"/>
      <c r="L114" s="2351"/>
      <c r="M114" s="2351"/>
      <c r="N114" s="2349"/>
    </row>
    <row r="115" spans="1:15" ht="24.9" customHeight="1" thickBot="1">
      <c r="A115" s="763" t="s">
        <v>250</v>
      </c>
      <c r="B115" s="824" t="s">
        <v>1</v>
      </c>
      <c r="C115" s="825" t="s">
        <v>2</v>
      </c>
      <c r="D115" s="825" t="s">
        <v>3</v>
      </c>
      <c r="E115" s="825" t="s">
        <v>4</v>
      </c>
      <c r="F115" s="825" t="s">
        <v>5</v>
      </c>
      <c r="G115" s="825" t="s">
        <v>6</v>
      </c>
      <c r="H115" s="825" t="s">
        <v>7</v>
      </c>
      <c r="I115" s="825" t="s">
        <v>8</v>
      </c>
      <c r="J115" s="825" t="s">
        <v>9</v>
      </c>
      <c r="K115" s="825" t="s">
        <v>10</v>
      </c>
      <c r="L115" s="825" t="s">
        <v>11</v>
      </c>
      <c r="M115" s="826" t="s">
        <v>12</v>
      </c>
      <c r="N115" s="816" t="s">
        <v>13</v>
      </c>
    </row>
    <row r="116" spans="1:15">
      <c r="A116" s="832" t="s">
        <v>265</v>
      </c>
      <c r="B116" s="822">
        <f>B4+B11+B18+B25+B32+B39+B46+B53+B60+B67+B74+B81+B88+B95+B102+B109</f>
        <v>0</v>
      </c>
      <c r="C116" s="822">
        <f>C4+C11+C18+C25+C32+C39+C46+C53+C60+C67+C74+C81+C88+C95+C102+C109</f>
        <v>2</v>
      </c>
      <c r="D116" s="822">
        <f>D4+D11+D18+D25+D32+D39+D46+D53+D60+D67+D74+D81+D88+D95+D102+D109</f>
        <v>3</v>
      </c>
      <c r="E116" s="822">
        <f t="shared" ref="E116:M116" si="0">E4+E11+E18+E25+E32+E39+E46+E53+E60+E67+E74+E81+E88+E95+E102+E109</f>
        <v>4</v>
      </c>
      <c r="F116" s="822">
        <f t="shared" si="0"/>
        <v>5</v>
      </c>
      <c r="G116" s="822">
        <f t="shared" si="0"/>
        <v>4</v>
      </c>
      <c r="H116" s="822">
        <f t="shared" si="0"/>
        <v>6</v>
      </c>
      <c r="I116" s="822">
        <f t="shared" si="0"/>
        <v>2</v>
      </c>
      <c r="J116" s="822">
        <f t="shared" si="0"/>
        <v>2</v>
      </c>
      <c r="K116" s="822">
        <f t="shared" si="0"/>
        <v>5</v>
      </c>
      <c r="L116" s="822">
        <f t="shared" si="0"/>
        <v>3</v>
      </c>
      <c r="M116" s="823">
        <f t="shared" si="0"/>
        <v>3</v>
      </c>
      <c r="N116" s="797">
        <f>SUM(B116:M116)</f>
        <v>39</v>
      </c>
    </row>
    <row r="117" spans="1:15">
      <c r="A117" s="833" t="s">
        <v>266</v>
      </c>
      <c r="B117" s="798">
        <f>B5+B12+B19+B26+B33+B40+B47+B54+B61+B68+B75+B82+B89+B96+B103+B110</f>
        <v>0</v>
      </c>
      <c r="C117" s="798">
        <f>C5+C12+C19+C26+C33+C40+C47+C54+C61+C68+C75+C82+C89+C96+C103+C110</f>
        <v>150000</v>
      </c>
      <c r="D117" s="798">
        <f t="shared" ref="D117:M117" si="1">D5+D12+D19+D26+D33+D40+D47+D54+D61+D68+D75+D82+D89+D96+D103+D110</f>
        <v>950000</v>
      </c>
      <c r="E117" s="798">
        <f t="shared" si="1"/>
        <v>1550000</v>
      </c>
      <c r="F117" s="798">
        <f t="shared" si="1"/>
        <v>1500000</v>
      </c>
      <c r="G117" s="798">
        <f t="shared" si="1"/>
        <v>550000</v>
      </c>
      <c r="H117" s="798">
        <f t="shared" si="1"/>
        <v>1250000</v>
      </c>
      <c r="I117" s="798">
        <f t="shared" si="1"/>
        <v>200000</v>
      </c>
      <c r="J117" s="798">
        <f t="shared" si="1"/>
        <v>150000</v>
      </c>
      <c r="K117" s="798">
        <f t="shared" si="1"/>
        <v>3250000</v>
      </c>
      <c r="L117" s="798">
        <f t="shared" si="1"/>
        <v>450000</v>
      </c>
      <c r="M117" s="799">
        <f t="shared" si="1"/>
        <v>1000000</v>
      </c>
      <c r="N117" s="800">
        <f>SUM(B117:M117)</f>
        <v>11000000</v>
      </c>
      <c r="O117" s="760"/>
    </row>
    <row r="118" spans="1:15">
      <c r="A118" s="834" t="s">
        <v>267</v>
      </c>
      <c r="B118" s="795">
        <f t="shared" ref="B118:M119" si="2">B6+B13+B20+B27+B34+B41+B48+B55+B62+B69+B76+B83+B90+B97+B104+B111</f>
        <v>0</v>
      </c>
      <c r="C118" s="795">
        <f t="shared" si="2"/>
        <v>350000</v>
      </c>
      <c r="D118" s="795">
        <f t="shared" si="2"/>
        <v>400000</v>
      </c>
      <c r="E118" s="795">
        <f t="shared" si="2"/>
        <v>1075000</v>
      </c>
      <c r="F118" s="795">
        <f t="shared" si="2"/>
        <v>800000</v>
      </c>
      <c r="G118" s="795">
        <f t="shared" si="2"/>
        <v>700000</v>
      </c>
      <c r="H118" s="795">
        <f t="shared" si="2"/>
        <v>1175000</v>
      </c>
      <c r="I118" s="795">
        <f t="shared" si="2"/>
        <v>200000</v>
      </c>
      <c r="J118" s="795">
        <f t="shared" si="2"/>
        <v>250000</v>
      </c>
      <c r="K118" s="795">
        <f t="shared" si="2"/>
        <v>1500000</v>
      </c>
      <c r="L118" s="795">
        <f t="shared" si="2"/>
        <v>500000</v>
      </c>
      <c r="M118" s="796">
        <f t="shared" si="2"/>
        <v>550000</v>
      </c>
      <c r="N118" s="797">
        <f>SUM(B118:M118)</f>
        <v>7500000</v>
      </c>
      <c r="O118" s="760"/>
    </row>
    <row r="119" spans="1:15">
      <c r="A119" s="833" t="s">
        <v>268</v>
      </c>
      <c r="B119" s="798">
        <f t="shared" si="2"/>
        <v>0</v>
      </c>
      <c r="C119" s="798">
        <f>C7+C14+C21+C28+C35+C42+C49+C56+C63+C70+C77+C84+C91+C98+C105+C112</f>
        <v>50000</v>
      </c>
      <c r="D119" s="798">
        <f t="shared" si="2"/>
        <v>110000</v>
      </c>
      <c r="E119" s="798">
        <f t="shared" si="2"/>
        <v>205000</v>
      </c>
      <c r="F119" s="798">
        <f t="shared" si="2"/>
        <v>190000</v>
      </c>
      <c r="G119" s="798">
        <f t="shared" si="2"/>
        <v>130000</v>
      </c>
      <c r="H119" s="798">
        <f t="shared" si="2"/>
        <v>160000</v>
      </c>
      <c r="I119" s="798">
        <f t="shared" si="2"/>
        <v>80000</v>
      </c>
      <c r="J119" s="798">
        <f t="shared" si="2"/>
        <v>60000</v>
      </c>
      <c r="K119" s="798">
        <f t="shared" si="2"/>
        <v>255000</v>
      </c>
      <c r="L119" s="798">
        <f t="shared" si="2"/>
        <v>110000</v>
      </c>
      <c r="M119" s="799">
        <f t="shared" si="2"/>
        <v>150000</v>
      </c>
      <c r="N119" s="800">
        <f>SUM(B119:M119)</f>
        <v>1500000</v>
      </c>
      <c r="O119" s="760"/>
    </row>
    <row r="120" spans="1:15" s="803" customFormat="1" ht="18.600000000000001" thickBot="1">
      <c r="A120" s="835" t="s">
        <v>269</v>
      </c>
      <c r="B120" s="836"/>
      <c r="C120" s="836">
        <f>SUM(C117:C119)</f>
        <v>550000</v>
      </c>
      <c r="D120" s="836">
        <f>SUM(D117:D119)</f>
        <v>1460000</v>
      </c>
      <c r="E120" s="836">
        <f>SUM(E117:E119)</f>
        <v>2830000</v>
      </c>
      <c r="F120" s="836">
        <f>SUM(F117:F119)</f>
        <v>2490000</v>
      </c>
      <c r="G120" s="836">
        <f>SUM(G117:G119)</f>
        <v>1380000</v>
      </c>
      <c r="H120" s="836">
        <f t="shared" ref="H120:N120" si="3">SUM(H117:H119)</f>
        <v>2585000</v>
      </c>
      <c r="I120" s="836">
        <f t="shared" si="3"/>
        <v>480000</v>
      </c>
      <c r="J120" s="836">
        <f t="shared" si="3"/>
        <v>460000</v>
      </c>
      <c r="K120" s="836">
        <f t="shared" si="3"/>
        <v>5005000</v>
      </c>
      <c r="L120" s="836">
        <f t="shared" si="3"/>
        <v>1060000</v>
      </c>
      <c r="M120" s="837">
        <f t="shared" si="3"/>
        <v>1700000</v>
      </c>
      <c r="N120" s="801">
        <f t="shared" si="3"/>
        <v>20000000</v>
      </c>
      <c r="O120" s="802"/>
    </row>
    <row r="121" spans="1:15" s="733" customFormat="1">
      <c r="B121" s="793"/>
      <c r="C121" s="793"/>
      <c r="D121" s="793"/>
      <c r="E121" s="793"/>
      <c r="F121" s="793"/>
      <c r="G121" s="793"/>
      <c r="H121" s="793"/>
      <c r="I121" s="793"/>
      <c r="J121" s="793"/>
      <c r="K121" s="793"/>
      <c r="L121" s="793"/>
      <c r="M121" s="793"/>
    </row>
    <row r="122" spans="1:15" ht="18.600000000000001" thickBot="1"/>
    <row r="123" spans="1:15" ht="24.9" customHeight="1" thickBot="1">
      <c r="A123" s="762"/>
      <c r="B123" s="2350" t="s">
        <v>310</v>
      </c>
      <c r="C123" s="2351"/>
      <c r="D123" s="2351"/>
      <c r="E123" s="2351"/>
      <c r="F123" s="2351"/>
      <c r="G123" s="2351"/>
      <c r="H123" s="2351"/>
      <c r="I123" s="2351"/>
      <c r="J123" s="2351"/>
      <c r="K123" s="2351"/>
      <c r="L123" s="2351"/>
      <c r="M123" s="2351"/>
      <c r="N123" s="2349"/>
    </row>
    <row r="124" spans="1:15" ht="24.9" customHeight="1" thickBot="1">
      <c r="A124" s="784" t="s">
        <v>250</v>
      </c>
      <c r="B124" s="824" t="s">
        <v>1</v>
      </c>
      <c r="C124" s="825" t="s">
        <v>2</v>
      </c>
      <c r="D124" s="825" t="s">
        <v>3</v>
      </c>
      <c r="E124" s="825" t="s">
        <v>4</v>
      </c>
      <c r="F124" s="825" t="s">
        <v>5</v>
      </c>
      <c r="G124" s="825" t="s">
        <v>6</v>
      </c>
      <c r="H124" s="825" t="s">
        <v>7</v>
      </c>
      <c r="I124" s="825" t="s">
        <v>8</v>
      </c>
      <c r="J124" s="825" t="s">
        <v>9</v>
      </c>
      <c r="K124" s="825" t="s">
        <v>10</v>
      </c>
      <c r="L124" s="825" t="s">
        <v>11</v>
      </c>
      <c r="M124" s="827" t="s">
        <v>12</v>
      </c>
      <c r="N124" s="821" t="s">
        <v>13</v>
      </c>
    </row>
    <row r="125" spans="1:15">
      <c r="A125" s="769" t="s">
        <v>89</v>
      </c>
      <c r="B125" s="817">
        <f t="shared" ref="B125:M125" si="4">B4</f>
        <v>0</v>
      </c>
      <c r="C125" s="818">
        <f t="shared" si="4"/>
        <v>0</v>
      </c>
      <c r="D125" s="818">
        <f t="shared" si="4"/>
        <v>0</v>
      </c>
      <c r="E125" s="818">
        <f t="shared" si="4"/>
        <v>1</v>
      </c>
      <c r="F125" s="818">
        <f t="shared" si="4"/>
        <v>0</v>
      </c>
      <c r="G125" s="818">
        <f t="shared" si="4"/>
        <v>0</v>
      </c>
      <c r="H125" s="818">
        <f t="shared" si="4"/>
        <v>1</v>
      </c>
      <c r="I125" s="818">
        <f t="shared" si="4"/>
        <v>0</v>
      </c>
      <c r="J125" s="818">
        <f t="shared" si="4"/>
        <v>0</v>
      </c>
      <c r="K125" s="818">
        <f t="shared" si="4"/>
        <v>0</v>
      </c>
      <c r="L125" s="818">
        <f t="shared" si="4"/>
        <v>0</v>
      </c>
      <c r="M125" s="819">
        <f t="shared" si="4"/>
        <v>0</v>
      </c>
      <c r="N125" s="820">
        <f>SUM(B125:M125)</f>
        <v>2</v>
      </c>
      <c r="O125" s="760"/>
    </row>
    <row r="126" spans="1:15">
      <c r="A126" s="769" t="s">
        <v>90</v>
      </c>
      <c r="B126" s="770">
        <f t="shared" ref="B126:M126" si="5">B11</f>
        <v>0</v>
      </c>
      <c r="C126" s="771">
        <f t="shared" si="5"/>
        <v>0</v>
      </c>
      <c r="D126" s="771">
        <f t="shared" si="5"/>
        <v>0</v>
      </c>
      <c r="E126" s="771">
        <f t="shared" si="5"/>
        <v>0</v>
      </c>
      <c r="F126" s="771">
        <f t="shared" si="5"/>
        <v>1</v>
      </c>
      <c r="G126" s="771">
        <f t="shared" si="5"/>
        <v>0</v>
      </c>
      <c r="H126" s="771">
        <f t="shared" si="5"/>
        <v>0</v>
      </c>
      <c r="I126" s="771">
        <f t="shared" si="5"/>
        <v>0</v>
      </c>
      <c r="J126" s="771">
        <f t="shared" si="5"/>
        <v>0</v>
      </c>
      <c r="K126" s="771">
        <f t="shared" si="5"/>
        <v>1</v>
      </c>
      <c r="L126" s="771">
        <f t="shared" si="5"/>
        <v>0</v>
      </c>
      <c r="M126" s="772">
        <f t="shared" si="5"/>
        <v>0</v>
      </c>
      <c r="N126" s="773">
        <f t="shared" ref="N126:N140" si="6">SUM(B126:M126)</f>
        <v>2</v>
      </c>
      <c r="O126" s="760"/>
    </row>
    <row r="127" spans="1:15">
      <c r="A127" s="769" t="s">
        <v>91</v>
      </c>
      <c r="B127" s="770">
        <f t="shared" ref="B127:M127" si="7">B18</f>
        <v>0</v>
      </c>
      <c r="C127" s="771">
        <f t="shared" si="7"/>
        <v>0</v>
      </c>
      <c r="D127" s="771">
        <f t="shared" si="7"/>
        <v>0</v>
      </c>
      <c r="E127" s="771">
        <f t="shared" si="7"/>
        <v>0</v>
      </c>
      <c r="F127" s="771">
        <f t="shared" si="7"/>
        <v>0</v>
      </c>
      <c r="G127" s="771">
        <f t="shared" si="7"/>
        <v>1</v>
      </c>
      <c r="H127" s="771">
        <f t="shared" si="7"/>
        <v>0</v>
      </c>
      <c r="I127" s="771">
        <f t="shared" si="7"/>
        <v>0</v>
      </c>
      <c r="J127" s="771">
        <f t="shared" si="7"/>
        <v>0</v>
      </c>
      <c r="K127" s="771">
        <f t="shared" si="7"/>
        <v>0</v>
      </c>
      <c r="L127" s="771">
        <f t="shared" si="7"/>
        <v>1</v>
      </c>
      <c r="M127" s="772">
        <f t="shared" si="7"/>
        <v>0</v>
      </c>
      <c r="N127" s="773">
        <f t="shared" si="6"/>
        <v>2</v>
      </c>
      <c r="O127" s="760"/>
    </row>
    <row r="128" spans="1:15">
      <c r="A128" s="769" t="s">
        <v>92</v>
      </c>
      <c r="B128" s="770">
        <f t="shared" ref="B128:M128" si="8">B25</f>
        <v>0</v>
      </c>
      <c r="C128" s="771">
        <f t="shared" si="8"/>
        <v>1</v>
      </c>
      <c r="D128" s="771">
        <f t="shared" si="8"/>
        <v>0</v>
      </c>
      <c r="E128" s="771">
        <f t="shared" si="8"/>
        <v>0</v>
      </c>
      <c r="F128" s="771">
        <f t="shared" si="8"/>
        <v>1</v>
      </c>
      <c r="G128" s="771">
        <f t="shared" si="8"/>
        <v>0</v>
      </c>
      <c r="H128" s="771">
        <f t="shared" si="8"/>
        <v>0</v>
      </c>
      <c r="I128" s="771">
        <f t="shared" si="8"/>
        <v>0</v>
      </c>
      <c r="J128" s="771">
        <f t="shared" si="8"/>
        <v>1</v>
      </c>
      <c r="K128" s="771">
        <f t="shared" si="8"/>
        <v>0</v>
      </c>
      <c r="L128" s="771">
        <f t="shared" si="8"/>
        <v>0</v>
      </c>
      <c r="M128" s="772">
        <f t="shared" si="8"/>
        <v>1</v>
      </c>
      <c r="N128" s="773">
        <f t="shared" si="6"/>
        <v>4</v>
      </c>
      <c r="O128" s="760"/>
    </row>
    <row r="129" spans="1:15">
      <c r="A129" s="769" t="s">
        <v>93</v>
      </c>
      <c r="B129" s="770">
        <f t="shared" ref="B129:M129" si="9">B32</f>
        <v>0</v>
      </c>
      <c r="C129" s="771">
        <f t="shared" si="9"/>
        <v>0</v>
      </c>
      <c r="D129" s="771">
        <f t="shared" si="9"/>
        <v>0</v>
      </c>
      <c r="E129" s="771">
        <f t="shared" si="9"/>
        <v>0</v>
      </c>
      <c r="F129" s="771">
        <f t="shared" si="9"/>
        <v>0</v>
      </c>
      <c r="G129" s="771">
        <f t="shared" si="9"/>
        <v>1</v>
      </c>
      <c r="H129" s="771">
        <f t="shared" si="9"/>
        <v>0</v>
      </c>
      <c r="I129" s="771">
        <f t="shared" si="9"/>
        <v>0</v>
      </c>
      <c r="J129" s="771">
        <f t="shared" si="9"/>
        <v>0</v>
      </c>
      <c r="K129" s="771">
        <f t="shared" si="9"/>
        <v>0</v>
      </c>
      <c r="L129" s="771">
        <f t="shared" si="9"/>
        <v>1</v>
      </c>
      <c r="M129" s="772">
        <f t="shared" si="9"/>
        <v>0</v>
      </c>
      <c r="N129" s="773">
        <f t="shared" si="6"/>
        <v>2</v>
      </c>
      <c r="O129" s="760"/>
    </row>
    <row r="130" spans="1:15">
      <c r="A130" s="769" t="s">
        <v>94</v>
      </c>
      <c r="B130" s="770">
        <f t="shared" ref="B130:M130" si="10">B39</f>
        <v>0</v>
      </c>
      <c r="C130" s="771">
        <f t="shared" si="10"/>
        <v>0</v>
      </c>
      <c r="D130" s="771">
        <f t="shared" si="10"/>
        <v>0</v>
      </c>
      <c r="E130" s="771">
        <f t="shared" si="10"/>
        <v>0</v>
      </c>
      <c r="F130" s="771">
        <f t="shared" si="10"/>
        <v>0</v>
      </c>
      <c r="G130" s="771">
        <f t="shared" si="10"/>
        <v>0</v>
      </c>
      <c r="H130" s="771">
        <f t="shared" si="10"/>
        <v>1</v>
      </c>
      <c r="I130" s="771">
        <f t="shared" si="10"/>
        <v>0</v>
      </c>
      <c r="J130" s="771">
        <f t="shared" si="10"/>
        <v>0</v>
      </c>
      <c r="K130" s="771">
        <f t="shared" si="10"/>
        <v>0</v>
      </c>
      <c r="L130" s="771">
        <f t="shared" si="10"/>
        <v>0</v>
      </c>
      <c r="M130" s="772">
        <f t="shared" si="10"/>
        <v>0</v>
      </c>
      <c r="N130" s="773">
        <f t="shared" si="6"/>
        <v>1</v>
      </c>
      <c r="O130" s="760"/>
    </row>
    <row r="131" spans="1:15">
      <c r="A131" s="769" t="s">
        <v>95</v>
      </c>
      <c r="B131" s="770">
        <f t="shared" ref="B131:M131" si="11">B46</f>
        <v>0</v>
      </c>
      <c r="C131" s="771">
        <f t="shared" si="11"/>
        <v>0</v>
      </c>
      <c r="D131" s="771">
        <f t="shared" si="11"/>
        <v>0</v>
      </c>
      <c r="E131" s="771">
        <f t="shared" si="11"/>
        <v>1</v>
      </c>
      <c r="F131" s="771">
        <f t="shared" si="11"/>
        <v>0</v>
      </c>
      <c r="G131" s="771">
        <f t="shared" si="11"/>
        <v>0</v>
      </c>
      <c r="H131" s="771">
        <f t="shared" si="11"/>
        <v>1</v>
      </c>
      <c r="I131" s="771">
        <f t="shared" si="11"/>
        <v>0</v>
      </c>
      <c r="J131" s="771">
        <f t="shared" si="11"/>
        <v>0</v>
      </c>
      <c r="K131" s="771">
        <f t="shared" si="11"/>
        <v>0</v>
      </c>
      <c r="L131" s="771">
        <f t="shared" si="11"/>
        <v>0</v>
      </c>
      <c r="M131" s="772">
        <f t="shared" si="11"/>
        <v>1</v>
      </c>
      <c r="N131" s="773">
        <f t="shared" si="6"/>
        <v>3</v>
      </c>
      <c r="O131" s="760"/>
    </row>
    <row r="132" spans="1:15">
      <c r="A132" s="769" t="s">
        <v>96</v>
      </c>
      <c r="B132" s="770">
        <f t="shared" ref="B132:M132" si="12">B53</f>
        <v>0</v>
      </c>
      <c r="C132" s="771">
        <f t="shared" si="12"/>
        <v>0</v>
      </c>
      <c r="D132" s="771">
        <f t="shared" si="12"/>
        <v>0</v>
      </c>
      <c r="E132" s="771">
        <f t="shared" si="12"/>
        <v>1</v>
      </c>
      <c r="F132" s="771">
        <f t="shared" si="12"/>
        <v>0</v>
      </c>
      <c r="G132" s="771">
        <f t="shared" si="12"/>
        <v>0</v>
      </c>
      <c r="H132" s="771">
        <f t="shared" si="12"/>
        <v>1</v>
      </c>
      <c r="I132" s="771">
        <f t="shared" si="12"/>
        <v>0</v>
      </c>
      <c r="J132" s="771">
        <f t="shared" si="12"/>
        <v>0</v>
      </c>
      <c r="K132" s="771">
        <f t="shared" si="12"/>
        <v>1</v>
      </c>
      <c r="L132" s="771">
        <f t="shared" si="12"/>
        <v>0</v>
      </c>
      <c r="M132" s="772">
        <f t="shared" si="12"/>
        <v>0</v>
      </c>
      <c r="N132" s="773">
        <f t="shared" si="6"/>
        <v>3</v>
      </c>
      <c r="O132" s="760"/>
    </row>
    <row r="133" spans="1:15">
      <c r="A133" s="769" t="s">
        <v>97</v>
      </c>
      <c r="B133" s="770">
        <f t="shared" ref="B133:M133" si="13">B60</f>
        <v>0</v>
      </c>
      <c r="C133" s="771">
        <f t="shared" si="13"/>
        <v>1</v>
      </c>
      <c r="D133" s="771">
        <f t="shared" si="13"/>
        <v>0</v>
      </c>
      <c r="E133" s="771">
        <f t="shared" si="13"/>
        <v>0</v>
      </c>
      <c r="F133" s="771">
        <f t="shared" si="13"/>
        <v>0</v>
      </c>
      <c r="G133" s="771">
        <f t="shared" si="13"/>
        <v>1</v>
      </c>
      <c r="H133" s="771">
        <f t="shared" si="13"/>
        <v>0</v>
      </c>
      <c r="I133" s="771">
        <f t="shared" si="13"/>
        <v>0</v>
      </c>
      <c r="J133" s="771">
        <f t="shared" si="13"/>
        <v>0</v>
      </c>
      <c r="K133" s="771">
        <f t="shared" si="13"/>
        <v>1</v>
      </c>
      <c r="L133" s="771">
        <f t="shared" si="13"/>
        <v>0</v>
      </c>
      <c r="M133" s="772">
        <f t="shared" si="13"/>
        <v>0</v>
      </c>
      <c r="N133" s="773">
        <f t="shared" si="6"/>
        <v>3</v>
      </c>
      <c r="O133" s="760"/>
    </row>
    <row r="134" spans="1:15">
      <c r="A134" s="769" t="s">
        <v>98</v>
      </c>
      <c r="B134" s="770">
        <f t="shared" ref="B134:M134" si="14">B67</f>
        <v>0</v>
      </c>
      <c r="C134" s="771">
        <f t="shared" si="14"/>
        <v>0</v>
      </c>
      <c r="D134" s="771">
        <f t="shared" si="14"/>
        <v>0</v>
      </c>
      <c r="E134" s="771">
        <f t="shared" si="14"/>
        <v>1</v>
      </c>
      <c r="F134" s="771">
        <f t="shared" si="14"/>
        <v>0</v>
      </c>
      <c r="G134" s="771">
        <f t="shared" si="14"/>
        <v>0</v>
      </c>
      <c r="H134" s="771">
        <f t="shared" si="14"/>
        <v>0</v>
      </c>
      <c r="I134" s="771">
        <f t="shared" si="14"/>
        <v>0</v>
      </c>
      <c r="J134" s="771">
        <f t="shared" si="14"/>
        <v>0</v>
      </c>
      <c r="K134" s="771">
        <f t="shared" si="14"/>
        <v>1</v>
      </c>
      <c r="L134" s="771">
        <f t="shared" si="14"/>
        <v>0</v>
      </c>
      <c r="M134" s="772">
        <f t="shared" si="14"/>
        <v>0</v>
      </c>
      <c r="N134" s="773">
        <f t="shared" si="6"/>
        <v>2</v>
      </c>
      <c r="O134" s="760"/>
    </row>
    <row r="135" spans="1:15">
      <c r="A135" s="769" t="s">
        <v>99</v>
      </c>
      <c r="B135" s="770">
        <f t="shared" ref="B135:M135" si="15">B74</f>
        <v>0</v>
      </c>
      <c r="C135" s="771">
        <f t="shared" si="15"/>
        <v>0</v>
      </c>
      <c r="D135" s="771">
        <f t="shared" si="15"/>
        <v>1</v>
      </c>
      <c r="E135" s="771">
        <f t="shared" si="15"/>
        <v>0</v>
      </c>
      <c r="F135" s="771">
        <f t="shared" si="15"/>
        <v>0</v>
      </c>
      <c r="G135" s="771">
        <f t="shared" si="15"/>
        <v>0</v>
      </c>
      <c r="H135" s="771">
        <f t="shared" si="15"/>
        <v>1</v>
      </c>
      <c r="I135" s="771">
        <f t="shared" si="15"/>
        <v>0</v>
      </c>
      <c r="J135" s="771">
        <f t="shared" si="15"/>
        <v>0</v>
      </c>
      <c r="K135" s="771">
        <f t="shared" si="15"/>
        <v>1</v>
      </c>
      <c r="L135" s="771">
        <f t="shared" si="15"/>
        <v>0</v>
      </c>
      <c r="M135" s="772">
        <f t="shared" si="15"/>
        <v>1</v>
      </c>
      <c r="N135" s="773">
        <f t="shared" si="6"/>
        <v>4</v>
      </c>
      <c r="O135" s="760"/>
    </row>
    <row r="136" spans="1:15">
      <c r="A136" s="769" t="s">
        <v>100</v>
      </c>
      <c r="B136" s="770">
        <f t="shared" ref="B136:M136" si="16">B81</f>
        <v>0</v>
      </c>
      <c r="C136" s="771">
        <f t="shared" si="16"/>
        <v>0</v>
      </c>
      <c r="D136" s="771">
        <f t="shared" si="16"/>
        <v>0</v>
      </c>
      <c r="E136" s="771">
        <f t="shared" si="16"/>
        <v>0</v>
      </c>
      <c r="F136" s="771">
        <f t="shared" si="16"/>
        <v>1</v>
      </c>
      <c r="G136" s="771">
        <f t="shared" si="16"/>
        <v>0</v>
      </c>
      <c r="H136" s="771">
        <f t="shared" si="16"/>
        <v>0</v>
      </c>
      <c r="I136" s="771">
        <f t="shared" si="16"/>
        <v>0</v>
      </c>
      <c r="J136" s="771">
        <f t="shared" si="16"/>
        <v>1</v>
      </c>
      <c r="K136" s="771">
        <f t="shared" si="16"/>
        <v>0</v>
      </c>
      <c r="L136" s="771">
        <f t="shared" si="16"/>
        <v>0</v>
      </c>
      <c r="M136" s="772">
        <f t="shared" si="16"/>
        <v>0</v>
      </c>
      <c r="N136" s="773">
        <f t="shared" si="6"/>
        <v>2</v>
      </c>
      <c r="O136" s="760"/>
    </row>
    <row r="137" spans="1:15">
      <c r="A137" s="769" t="s">
        <v>101</v>
      </c>
      <c r="B137" s="770">
        <f t="shared" ref="B137:M137" si="17">B88</f>
        <v>0</v>
      </c>
      <c r="C137" s="771">
        <f t="shared" si="17"/>
        <v>0</v>
      </c>
      <c r="D137" s="771">
        <f t="shared" si="17"/>
        <v>1</v>
      </c>
      <c r="E137" s="771">
        <f t="shared" si="17"/>
        <v>0</v>
      </c>
      <c r="F137" s="771">
        <f t="shared" si="17"/>
        <v>0</v>
      </c>
      <c r="G137" s="771">
        <f t="shared" si="17"/>
        <v>0</v>
      </c>
      <c r="H137" s="771">
        <f t="shared" si="17"/>
        <v>1</v>
      </c>
      <c r="I137" s="771">
        <f t="shared" si="17"/>
        <v>0</v>
      </c>
      <c r="J137" s="771">
        <f t="shared" si="17"/>
        <v>0</v>
      </c>
      <c r="K137" s="771">
        <f t="shared" si="17"/>
        <v>0</v>
      </c>
      <c r="L137" s="771">
        <f t="shared" si="17"/>
        <v>1</v>
      </c>
      <c r="M137" s="772">
        <f t="shared" si="17"/>
        <v>0</v>
      </c>
      <c r="N137" s="773">
        <f t="shared" si="6"/>
        <v>3</v>
      </c>
      <c r="O137" s="760"/>
    </row>
    <row r="138" spans="1:15">
      <c r="A138" s="769" t="s">
        <v>102</v>
      </c>
      <c r="B138" s="770">
        <f t="shared" ref="B138:M138" si="18">B95</f>
        <v>0</v>
      </c>
      <c r="C138" s="771">
        <f t="shared" si="18"/>
        <v>0</v>
      </c>
      <c r="D138" s="771">
        <f t="shared" si="18"/>
        <v>0</v>
      </c>
      <c r="E138" s="771">
        <f t="shared" si="18"/>
        <v>0</v>
      </c>
      <c r="F138" s="771">
        <f t="shared" si="18"/>
        <v>0</v>
      </c>
      <c r="G138" s="771">
        <f t="shared" si="18"/>
        <v>1</v>
      </c>
      <c r="H138" s="771">
        <f t="shared" si="18"/>
        <v>0</v>
      </c>
      <c r="I138" s="771">
        <f t="shared" si="18"/>
        <v>1</v>
      </c>
      <c r="J138" s="771">
        <f t="shared" si="18"/>
        <v>0</v>
      </c>
      <c r="K138" s="771">
        <f t="shared" si="18"/>
        <v>0</v>
      </c>
      <c r="L138" s="771">
        <f t="shared" si="18"/>
        <v>0</v>
      </c>
      <c r="M138" s="772">
        <f t="shared" si="18"/>
        <v>0</v>
      </c>
      <c r="N138" s="773">
        <f t="shared" si="6"/>
        <v>2</v>
      </c>
      <c r="O138" s="760"/>
    </row>
    <row r="139" spans="1:15">
      <c r="A139" s="769" t="s">
        <v>103</v>
      </c>
      <c r="B139" s="770">
        <f t="shared" ref="B139:M139" si="19">B102</f>
        <v>0</v>
      </c>
      <c r="C139" s="771">
        <f t="shared" si="19"/>
        <v>0</v>
      </c>
      <c r="D139" s="771">
        <f t="shared" si="19"/>
        <v>0</v>
      </c>
      <c r="E139" s="771">
        <f t="shared" si="19"/>
        <v>0</v>
      </c>
      <c r="F139" s="771">
        <f t="shared" si="19"/>
        <v>1</v>
      </c>
      <c r="G139" s="771">
        <f t="shared" si="19"/>
        <v>0</v>
      </c>
      <c r="H139" s="771">
        <f t="shared" si="19"/>
        <v>0</v>
      </c>
      <c r="I139" s="771">
        <f t="shared" si="19"/>
        <v>0</v>
      </c>
      <c r="J139" s="771">
        <f t="shared" si="19"/>
        <v>0</v>
      </c>
      <c r="K139" s="771">
        <f t="shared" si="19"/>
        <v>0</v>
      </c>
      <c r="L139" s="771">
        <f t="shared" si="19"/>
        <v>0</v>
      </c>
      <c r="M139" s="772">
        <f t="shared" si="19"/>
        <v>0</v>
      </c>
      <c r="N139" s="773">
        <f t="shared" si="6"/>
        <v>1</v>
      </c>
      <c r="O139" s="760"/>
    </row>
    <row r="140" spans="1:15" ht="18.600000000000001" thickBot="1">
      <c r="A140" s="804" t="s">
        <v>104</v>
      </c>
      <c r="B140" s="805">
        <f t="shared" ref="B140:M140" si="20">B109</f>
        <v>0</v>
      </c>
      <c r="C140" s="806">
        <f t="shared" si="20"/>
        <v>0</v>
      </c>
      <c r="D140" s="806">
        <f t="shared" si="20"/>
        <v>1</v>
      </c>
      <c r="E140" s="806">
        <f t="shared" si="20"/>
        <v>0</v>
      </c>
      <c r="F140" s="806">
        <f t="shared" si="20"/>
        <v>1</v>
      </c>
      <c r="G140" s="806">
        <f t="shared" si="20"/>
        <v>0</v>
      </c>
      <c r="H140" s="806">
        <f t="shared" si="20"/>
        <v>0</v>
      </c>
      <c r="I140" s="806">
        <f t="shared" si="20"/>
        <v>1</v>
      </c>
      <c r="J140" s="806">
        <f t="shared" si="20"/>
        <v>0</v>
      </c>
      <c r="K140" s="806">
        <f t="shared" si="20"/>
        <v>0</v>
      </c>
      <c r="L140" s="806">
        <f t="shared" si="20"/>
        <v>0</v>
      </c>
      <c r="M140" s="807">
        <f t="shared" si="20"/>
        <v>0</v>
      </c>
      <c r="N140" s="808">
        <f t="shared" si="6"/>
        <v>3</v>
      </c>
      <c r="O140" s="760"/>
    </row>
    <row r="141" spans="1:15" ht="18.600000000000001" thickBot="1">
      <c r="A141" s="755" t="s">
        <v>37</v>
      </c>
      <c r="B141" s="756">
        <f>SUM(B125:B140)</f>
        <v>0</v>
      </c>
      <c r="C141" s="757">
        <f t="shared" ref="C141:N141" si="21">SUM(C125:C140)</f>
        <v>2</v>
      </c>
      <c r="D141" s="757">
        <f t="shared" si="21"/>
        <v>3</v>
      </c>
      <c r="E141" s="757">
        <f t="shared" si="21"/>
        <v>4</v>
      </c>
      <c r="F141" s="757">
        <f t="shared" si="21"/>
        <v>5</v>
      </c>
      <c r="G141" s="757">
        <f t="shared" si="21"/>
        <v>4</v>
      </c>
      <c r="H141" s="757">
        <f t="shared" si="21"/>
        <v>6</v>
      </c>
      <c r="I141" s="757">
        <f t="shared" si="21"/>
        <v>2</v>
      </c>
      <c r="J141" s="757">
        <f t="shared" si="21"/>
        <v>2</v>
      </c>
      <c r="K141" s="757">
        <f t="shared" si="21"/>
        <v>5</v>
      </c>
      <c r="L141" s="757">
        <f t="shared" si="21"/>
        <v>3</v>
      </c>
      <c r="M141" s="758">
        <f t="shared" si="21"/>
        <v>3</v>
      </c>
      <c r="N141" s="759">
        <f t="shared" si="21"/>
        <v>39</v>
      </c>
      <c r="O141" s="760"/>
    </row>
    <row r="142" spans="1:15" ht="18.600000000000001" thickBot="1"/>
    <row r="143" spans="1:15" ht="24.9" customHeight="1" thickBot="1">
      <c r="A143" s="762"/>
      <c r="B143" s="2350" t="s">
        <v>311</v>
      </c>
      <c r="C143" s="2351"/>
      <c r="D143" s="2351"/>
      <c r="E143" s="2351"/>
      <c r="F143" s="2351"/>
      <c r="G143" s="2351"/>
      <c r="H143" s="2351"/>
      <c r="I143" s="2351"/>
      <c r="J143" s="2351"/>
      <c r="K143" s="2351"/>
      <c r="L143" s="2351"/>
      <c r="M143" s="2351"/>
      <c r="N143" s="2349"/>
    </row>
    <row r="144" spans="1:15" ht="24.9" customHeight="1" thickBot="1">
      <c r="A144" s="784" t="s">
        <v>250</v>
      </c>
      <c r="B144" s="824" t="s">
        <v>1</v>
      </c>
      <c r="C144" s="825" t="s">
        <v>2</v>
      </c>
      <c r="D144" s="825" t="s">
        <v>3</v>
      </c>
      <c r="E144" s="825" t="s">
        <v>4</v>
      </c>
      <c r="F144" s="825" t="s">
        <v>5</v>
      </c>
      <c r="G144" s="825" t="s">
        <v>6</v>
      </c>
      <c r="H144" s="825" t="s">
        <v>7</v>
      </c>
      <c r="I144" s="825" t="s">
        <v>8</v>
      </c>
      <c r="J144" s="825" t="s">
        <v>9</v>
      </c>
      <c r="K144" s="825" t="s">
        <v>10</v>
      </c>
      <c r="L144" s="825" t="s">
        <v>11</v>
      </c>
      <c r="M144" s="827" t="s">
        <v>12</v>
      </c>
      <c r="N144" s="821" t="s">
        <v>13</v>
      </c>
    </row>
    <row r="145" spans="1:15">
      <c r="A145" s="769" t="s">
        <v>89</v>
      </c>
      <c r="B145" s="817">
        <f>+B5</f>
        <v>0</v>
      </c>
      <c r="C145" s="817">
        <f t="shared" ref="C145:M145" si="22">+C5</f>
        <v>0</v>
      </c>
      <c r="D145" s="817">
        <f t="shared" si="22"/>
        <v>0</v>
      </c>
      <c r="E145" s="817">
        <f t="shared" si="22"/>
        <v>100000</v>
      </c>
      <c r="F145" s="817">
        <f t="shared" si="22"/>
        <v>0</v>
      </c>
      <c r="G145" s="817">
        <f t="shared" si="22"/>
        <v>0</v>
      </c>
      <c r="H145" s="817">
        <f t="shared" si="22"/>
        <v>100000</v>
      </c>
      <c r="I145" s="817">
        <f t="shared" si="22"/>
        <v>0</v>
      </c>
      <c r="J145" s="817">
        <f t="shared" si="22"/>
        <v>0</v>
      </c>
      <c r="K145" s="817">
        <f t="shared" si="22"/>
        <v>0</v>
      </c>
      <c r="L145" s="817">
        <f t="shared" si="22"/>
        <v>0</v>
      </c>
      <c r="M145" s="817">
        <f t="shared" si="22"/>
        <v>0</v>
      </c>
      <c r="N145" s="820">
        <f>SUM(B145:M145)</f>
        <v>200000</v>
      </c>
      <c r="O145" s="760"/>
    </row>
    <row r="146" spans="1:15">
      <c r="A146" s="769" t="s">
        <v>90</v>
      </c>
      <c r="B146" s="770">
        <f>+B12</f>
        <v>0</v>
      </c>
      <c r="C146" s="770">
        <f t="shared" ref="C146:M146" si="23">+C12</f>
        <v>0</v>
      </c>
      <c r="D146" s="770">
        <f t="shared" si="23"/>
        <v>0</v>
      </c>
      <c r="E146" s="770">
        <f t="shared" si="23"/>
        <v>0</v>
      </c>
      <c r="F146" s="770">
        <f t="shared" si="23"/>
        <v>1150000</v>
      </c>
      <c r="G146" s="770">
        <f t="shared" si="23"/>
        <v>0</v>
      </c>
      <c r="H146" s="770">
        <f t="shared" si="23"/>
        <v>0</v>
      </c>
      <c r="I146" s="770">
        <f t="shared" si="23"/>
        <v>0</v>
      </c>
      <c r="J146" s="770">
        <f t="shared" si="23"/>
        <v>0</v>
      </c>
      <c r="K146" s="770">
        <f t="shared" si="23"/>
        <v>1150000</v>
      </c>
      <c r="L146" s="770">
        <f t="shared" si="23"/>
        <v>0</v>
      </c>
      <c r="M146" s="770">
        <f t="shared" si="23"/>
        <v>0</v>
      </c>
      <c r="N146" s="773">
        <f t="shared" ref="N146:N160" si="24">SUM(B146:M146)</f>
        <v>2300000</v>
      </c>
      <c r="O146" s="760"/>
    </row>
    <row r="147" spans="1:15">
      <c r="A147" s="769" t="s">
        <v>91</v>
      </c>
      <c r="B147" s="770">
        <f>+B19</f>
        <v>0</v>
      </c>
      <c r="C147" s="770">
        <f t="shared" ref="C147:M147" si="25">+C19</f>
        <v>0</v>
      </c>
      <c r="D147" s="770">
        <f t="shared" si="25"/>
        <v>0</v>
      </c>
      <c r="E147" s="770">
        <f t="shared" si="25"/>
        <v>0</v>
      </c>
      <c r="F147" s="770">
        <f t="shared" si="25"/>
        <v>0</v>
      </c>
      <c r="G147" s="770">
        <f t="shared" si="25"/>
        <v>200000</v>
      </c>
      <c r="H147" s="770">
        <f t="shared" si="25"/>
        <v>0</v>
      </c>
      <c r="I147" s="770">
        <f t="shared" si="25"/>
        <v>0</v>
      </c>
      <c r="J147" s="770">
        <f t="shared" si="25"/>
        <v>0</v>
      </c>
      <c r="K147" s="770">
        <f t="shared" si="25"/>
        <v>0</v>
      </c>
      <c r="L147" s="770">
        <f t="shared" si="25"/>
        <v>200000</v>
      </c>
      <c r="M147" s="770">
        <f t="shared" si="25"/>
        <v>0</v>
      </c>
      <c r="N147" s="773">
        <f t="shared" si="24"/>
        <v>400000</v>
      </c>
      <c r="O147" s="760"/>
    </row>
    <row r="148" spans="1:15">
      <c r="A148" s="769" t="s">
        <v>92</v>
      </c>
      <c r="B148" s="770">
        <f>+B26</f>
        <v>0</v>
      </c>
      <c r="C148" s="770">
        <f t="shared" ref="C148:M148" si="26">+C26</f>
        <v>50000</v>
      </c>
      <c r="D148" s="770">
        <f t="shared" si="26"/>
        <v>0</v>
      </c>
      <c r="E148" s="770">
        <f t="shared" si="26"/>
        <v>0</v>
      </c>
      <c r="F148" s="770">
        <f t="shared" si="26"/>
        <v>50000</v>
      </c>
      <c r="G148" s="770">
        <f t="shared" si="26"/>
        <v>0</v>
      </c>
      <c r="H148" s="770">
        <f t="shared" si="26"/>
        <v>0</v>
      </c>
      <c r="I148" s="770">
        <f t="shared" si="26"/>
        <v>0</v>
      </c>
      <c r="J148" s="770">
        <f t="shared" si="26"/>
        <v>50000</v>
      </c>
      <c r="K148" s="770">
        <f t="shared" si="26"/>
        <v>0</v>
      </c>
      <c r="L148" s="770">
        <f t="shared" si="26"/>
        <v>0</v>
      </c>
      <c r="M148" s="770">
        <f t="shared" si="26"/>
        <v>50000</v>
      </c>
      <c r="N148" s="773">
        <f t="shared" si="24"/>
        <v>200000</v>
      </c>
      <c r="O148" s="760"/>
    </row>
    <row r="149" spans="1:15">
      <c r="A149" s="769" t="s">
        <v>93</v>
      </c>
      <c r="B149" s="817">
        <f>+B33</f>
        <v>0</v>
      </c>
      <c r="C149" s="817">
        <f t="shared" ref="C149:M149" si="27">+C33</f>
        <v>0</v>
      </c>
      <c r="D149" s="817">
        <f t="shared" si="27"/>
        <v>0</v>
      </c>
      <c r="E149" s="817">
        <f t="shared" si="27"/>
        <v>0</v>
      </c>
      <c r="F149" s="817">
        <f t="shared" si="27"/>
        <v>0</v>
      </c>
      <c r="G149" s="817">
        <f t="shared" si="27"/>
        <v>150000</v>
      </c>
      <c r="H149" s="817">
        <f t="shared" si="27"/>
        <v>0</v>
      </c>
      <c r="I149" s="817">
        <f t="shared" si="27"/>
        <v>0</v>
      </c>
      <c r="J149" s="817">
        <f t="shared" si="27"/>
        <v>0</v>
      </c>
      <c r="K149" s="817">
        <f t="shared" si="27"/>
        <v>0</v>
      </c>
      <c r="L149" s="817">
        <f t="shared" si="27"/>
        <v>150000</v>
      </c>
      <c r="M149" s="817">
        <f t="shared" si="27"/>
        <v>0</v>
      </c>
      <c r="N149" s="773">
        <f t="shared" si="24"/>
        <v>300000</v>
      </c>
      <c r="O149" s="760"/>
    </row>
    <row r="150" spans="1:15">
      <c r="A150" s="769" t="s">
        <v>94</v>
      </c>
      <c r="B150" s="770">
        <f>+B40</f>
        <v>0</v>
      </c>
      <c r="C150" s="770">
        <f t="shared" ref="C150:M150" si="28">+C40</f>
        <v>0</v>
      </c>
      <c r="D150" s="770">
        <f t="shared" si="28"/>
        <v>0</v>
      </c>
      <c r="E150" s="770">
        <f t="shared" si="28"/>
        <v>0</v>
      </c>
      <c r="F150" s="770">
        <f t="shared" si="28"/>
        <v>0</v>
      </c>
      <c r="G150" s="770">
        <f t="shared" si="28"/>
        <v>0</v>
      </c>
      <c r="H150" s="770">
        <f t="shared" si="28"/>
        <v>50000</v>
      </c>
      <c r="I150" s="770">
        <f t="shared" si="28"/>
        <v>0</v>
      </c>
      <c r="J150" s="770">
        <f t="shared" si="28"/>
        <v>0</v>
      </c>
      <c r="K150" s="770">
        <f t="shared" si="28"/>
        <v>0</v>
      </c>
      <c r="L150" s="770">
        <f t="shared" si="28"/>
        <v>0</v>
      </c>
      <c r="M150" s="770">
        <f t="shared" si="28"/>
        <v>0</v>
      </c>
      <c r="N150" s="773">
        <f t="shared" si="24"/>
        <v>50000</v>
      </c>
      <c r="O150" s="760"/>
    </row>
    <row r="151" spans="1:15">
      <c r="A151" s="769" t="s">
        <v>95</v>
      </c>
      <c r="B151" s="770">
        <f>+B47</f>
        <v>0</v>
      </c>
      <c r="C151" s="770">
        <f t="shared" ref="C151:M151" si="29">+C47</f>
        <v>0</v>
      </c>
      <c r="D151" s="770">
        <f t="shared" si="29"/>
        <v>0</v>
      </c>
      <c r="E151" s="770">
        <f t="shared" si="29"/>
        <v>200000</v>
      </c>
      <c r="F151" s="770">
        <f t="shared" si="29"/>
        <v>0</v>
      </c>
      <c r="G151" s="770">
        <f t="shared" si="29"/>
        <v>0</v>
      </c>
      <c r="H151" s="770">
        <f t="shared" si="29"/>
        <v>200000</v>
      </c>
      <c r="I151" s="770">
        <f t="shared" si="29"/>
        <v>0</v>
      </c>
      <c r="J151" s="770">
        <f t="shared" si="29"/>
        <v>0</v>
      </c>
      <c r="K151" s="770">
        <f t="shared" si="29"/>
        <v>0</v>
      </c>
      <c r="L151" s="770">
        <f t="shared" si="29"/>
        <v>0</v>
      </c>
      <c r="M151" s="770">
        <f t="shared" si="29"/>
        <v>200000</v>
      </c>
      <c r="N151" s="773">
        <f t="shared" si="24"/>
        <v>600000</v>
      </c>
      <c r="O151" s="760"/>
    </row>
    <row r="152" spans="1:15">
      <c r="A152" s="769" t="s">
        <v>96</v>
      </c>
      <c r="B152" s="770">
        <f>+B54</f>
        <v>0</v>
      </c>
      <c r="C152" s="770">
        <f t="shared" ref="C152:M152" si="30">+C54</f>
        <v>0</v>
      </c>
      <c r="D152" s="770">
        <f t="shared" si="30"/>
        <v>0</v>
      </c>
      <c r="E152" s="770">
        <f t="shared" si="30"/>
        <v>50000</v>
      </c>
      <c r="F152" s="770">
        <f t="shared" si="30"/>
        <v>0</v>
      </c>
      <c r="G152" s="770">
        <f t="shared" si="30"/>
        <v>0</v>
      </c>
      <c r="H152" s="770">
        <f t="shared" si="30"/>
        <v>50000</v>
      </c>
      <c r="I152" s="770">
        <f t="shared" si="30"/>
        <v>0</v>
      </c>
      <c r="J152" s="770">
        <f t="shared" si="30"/>
        <v>0</v>
      </c>
      <c r="K152" s="770">
        <f t="shared" si="30"/>
        <v>50000</v>
      </c>
      <c r="L152" s="770">
        <f t="shared" si="30"/>
        <v>0</v>
      </c>
      <c r="M152" s="770">
        <f t="shared" si="30"/>
        <v>0</v>
      </c>
      <c r="N152" s="773">
        <f t="shared" si="24"/>
        <v>150000</v>
      </c>
      <c r="O152" s="760"/>
    </row>
    <row r="153" spans="1:15">
      <c r="A153" s="769" t="s">
        <v>97</v>
      </c>
      <c r="B153" s="817">
        <f>+B61</f>
        <v>0</v>
      </c>
      <c r="C153" s="817">
        <f t="shared" ref="C153:M153" si="31">+C61</f>
        <v>100000</v>
      </c>
      <c r="D153" s="817">
        <f t="shared" si="31"/>
        <v>0</v>
      </c>
      <c r="E153" s="817">
        <f t="shared" si="31"/>
        <v>0</v>
      </c>
      <c r="F153" s="817">
        <f t="shared" si="31"/>
        <v>0</v>
      </c>
      <c r="G153" s="817">
        <f t="shared" si="31"/>
        <v>100000</v>
      </c>
      <c r="H153" s="817">
        <f t="shared" si="31"/>
        <v>0</v>
      </c>
      <c r="I153" s="817">
        <f t="shared" si="31"/>
        <v>0</v>
      </c>
      <c r="J153" s="817">
        <f t="shared" si="31"/>
        <v>0</v>
      </c>
      <c r="K153" s="817">
        <f t="shared" si="31"/>
        <v>100000</v>
      </c>
      <c r="L153" s="817">
        <f t="shared" si="31"/>
        <v>0</v>
      </c>
      <c r="M153" s="817">
        <f t="shared" si="31"/>
        <v>0</v>
      </c>
      <c r="N153" s="773">
        <f t="shared" si="24"/>
        <v>300000</v>
      </c>
      <c r="O153" s="760"/>
    </row>
    <row r="154" spans="1:15">
      <c r="A154" s="769" t="s">
        <v>98</v>
      </c>
      <c r="B154" s="770">
        <f>+B68</f>
        <v>0</v>
      </c>
      <c r="C154" s="770">
        <f t="shared" ref="C154:M154" si="32">+C68</f>
        <v>0</v>
      </c>
      <c r="D154" s="770">
        <f t="shared" si="32"/>
        <v>0</v>
      </c>
      <c r="E154" s="770">
        <f t="shared" si="32"/>
        <v>1200000</v>
      </c>
      <c r="F154" s="770">
        <f t="shared" si="32"/>
        <v>0</v>
      </c>
      <c r="G154" s="770">
        <f t="shared" si="32"/>
        <v>0</v>
      </c>
      <c r="H154" s="770">
        <f t="shared" si="32"/>
        <v>0</v>
      </c>
      <c r="I154" s="770">
        <f t="shared" si="32"/>
        <v>0</v>
      </c>
      <c r="J154" s="770">
        <f t="shared" si="32"/>
        <v>0</v>
      </c>
      <c r="K154" s="770">
        <f t="shared" si="32"/>
        <v>1200000</v>
      </c>
      <c r="L154" s="770">
        <f t="shared" si="32"/>
        <v>0</v>
      </c>
      <c r="M154" s="770">
        <f t="shared" si="32"/>
        <v>0</v>
      </c>
      <c r="N154" s="773">
        <f t="shared" si="24"/>
        <v>2400000</v>
      </c>
      <c r="O154" s="760"/>
    </row>
    <row r="155" spans="1:15">
      <c r="A155" s="769" t="s">
        <v>99</v>
      </c>
      <c r="B155" s="770">
        <f>+B75</f>
        <v>0</v>
      </c>
      <c r="C155" s="770">
        <f t="shared" ref="C155:M155" si="33">+C75</f>
        <v>0</v>
      </c>
      <c r="D155" s="770">
        <f t="shared" si="33"/>
        <v>750000</v>
      </c>
      <c r="E155" s="770">
        <f t="shared" si="33"/>
        <v>0</v>
      </c>
      <c r="F155" s="770">
        <f t="shared" si="33"/>
        <v>0</v>
      </c>
      <c r="G155" s="770">
        <f t="shared" si="33"/>
        <v>0</v>
      </c>
      <c r="H155" s="770">
        <f t="shared" si="33"/>
        <v>750000</v>
      </c>
      <c r="I155" s="770">
        <f t="shared" si="33"/>
        <v>0</v>
      </c>
      <c r="J155" s="770">
        <f t="shared" si="33"/>
        <v>0</v>
      </c>
      <c r="K155" s="770">
        <f t="shared" si="33"/>
        <v>750000</v>
      </c>
      <c r="L155" s="770">
        <f t="shared" si="33"/>
        <v>0</v>
      </c>
      <c r="M155" s="770">
        <f t="shared" si="33"/>
        <v>750000</v>
      </c>
      <c r="N155" s="773">
        <f t="shared" si="24"/>
        <v>3000000</v>
      </c>
      <c r="O155" s="760"/>
    </row>
    <row r="156" spans="1:15">
      <c r="A156" s="769" t="s">
        <v>100</v>
      </c>
      <c r="B156" s="770">
        <f>+B82</f>
        <v>0</v>
      </c>
      <c r="C156" s="770">
        <f t="shared" ref="C156:M156" si="34">+C82</f>
        <v>0</v>
      </c>
      <c r="D156" s="770">
        <f t="shared" si="34"/>
        <v>0</v>
      </c>
      <c r="E156" s="770">
        <f t="shared" si="34"/>
        <v>0</v>
      </c>
      <c r="F156" s="770">
        <f t="shared" si="34"/>
        <v>100000</v>
      </c>
      <c r="G156" s="770">
        <f t="shared" si="34"/>
        <v>0</v>
      </c>
      <c r="H156" s="770">
        <f t="shared" si="34"/>
        <v>0</v>
      </c>
      <c r="I156" s="770">
        <f t="shared" si="34"/>
        <v>0</v>
      </c>
      <c r="J156" s="770">
        <f t="shared" si="34"/>
        <v>100000</v>
      </c>
      <c r="K156" s="770">
        <f t="shared" si="34"/>
        <v>0</v>
      </c>
      <c r="L156" s="770">
        <f t="shared" si="34"/>
        <v>0</v>
      </c>
      <c r="M156" s="770">
        <f t="shared" si="34"/>
        <v>0</v>
      </c>
      <c r="N156" s="773">
        <f t="shared" si="24"/>
        <v>200000</v>
      </c>
      <c r="O156" s="760"/>
    </row>
    <row r="157" spans="1:15">
      <c r="A157" s="769" t="s">
        <v>101</v>
      </c>
      <c r="B157" s="817">
        <f>+B89</f>
        <v>0</v>
      </c>
      <c r="C157" s="817">
        <f t="shared" ref="C157:M157" si="35">+C89</f>
        <v>0</v>
      </c>
      <c r="D157" s="817">
        <f t="shared" si="35"/>
        <v>100000</v>
      </c>
      <c r="E157" s="817">
        <f t="shared" si="35"/>
        <v>0</v>
      </c>
      <c r="F157" s="817">
        <f t="shared" si="35"/>
        <v>0</v>
      </c>
      <c r="G157" s="817">
        <f t="shared" si="35"/>
        <v>0</v>
      </c>
      <c r="H157" s="817">
        <f t="shared" si="35"/>
        <v>100000</v>
      </c>
      <c r="I157" s="817">
        <f t="shared" si="35"/>
        <v>0</v>
      </c>
      <c r="J157" s="817">
        <f t="shared" si="35"/>
        <v>0</v>
      </c>
      <c r="K157" s="817">
        <f t="shared" si="35"/>
        <v>0</v>
      </c>
      <c r="L157" s="817">
        <f t="shared" si="35"/>
        <v>100000</v>
      </c>
      <c r="M157" s="817">
        <f t="shared" si="35"/>
        <v>0</v>
      </c>
      <c r="N157" s="773">
        <f t="shared" si="24"/>
        <v>300000</v>
      </c>
      <c r="O157" s="760"/>
    </row>
    <row r="158" spans="1:15">
      <c r="A158" s="769" t="s">
        <v>102</v>
      </c>
      <c r="B158" s="770">
        <f>+B96</f>
        <v>0</v>
      </c>
      <c r="C158" s="770">
        <f t="shared" ref="C158:M158" si="36">+C96</f>
        <v>0</v>
      </c>
      <c r="D158" s="770">
        <f t="shared" si="36"/>
        <v>0</v>
      </c>
      <c r="E158" s="770">
        <f t="shared" si="36"/>
        <v>0</v>
      </c>
      <c r="F158" s="770">
        <f t="shared" si="36"/>
        <v>0</v>
      </c>
      <c r="G158" s="770">
        <f t="shared" si="36"/>
        <v>100000</v>
      </c>
      <c r="H158" s="770">
        <f t="shared" si="36"/>
        <v>0</v>
      </c>
      <c r="I158" s="770">
        <f t="shared" si="36"/>
        <v>100000</v>
      </c>
      <c r="J158" s="770">
        <f t="shared" si="36"/>
        <v>0</v>
      </c>
      <c r="K158" s="770">
        <f t="shared" si="36"/>
        <v>0</v>
      </c>
      <c r="L158" s="770">
        <f t="shared" si="36"/>
        <v>0</v>
      </c>
      <c r="M158" s="770">
        <f t="shared" si="36"/>
        <v>0</v>
      </c>
      <c r="N158" s="773">
        <f t="shared" si="24"/>
        <v>200000</v>
      </c>
      <c r="O158" s="760"/>
    </row>
    <row r="159" spans="1:15">
      <c r="A159" s="769" t="s">
        <v>103</v>
      </c>
      <c r="B159" s="770">
        <f>+B103</f>
        <v>0</v>
      </c>
      <c r="C159" s="770">
        <f t="shared" ref="C159:M159" si="37">+C103</f>
        <v>0</v>
      </c>
      <c r="D159" s="770">
        <f t="shared" si="37"/>
        <v>0</v>
      </c>
      <c r="E159" s="770">
        <f t="shared" si="37"/>
        <v>0</v>
      </c>
      <c r="F159" s="770">
        <f t="shared" si="37"/>
        <v>100000</v>
      </c>
      <c r="G159" s="770">
        <f t="shared" si="37"/>
        <v>0</v>
      </c>
      <c r="H159" s="770">
        <f t="shared" si="37"/>
        <v>0</v>
      </c>
      <c r="I159" s="770">
        <f t="shared" si="37"/>
        <v>0</v>
      </c>
      <c r="J159" s="770">
        <f t="shared" si="37"/>
        <v>0</v>
      </c>
      <c r="K159" s="770">
        <f t="shared" si="37"/>
        <v>0</v>
      </c>
      <c r="L159" s="770">
        <f t="shared" si="37"/>
        <v>0</v>
      </c>
      <c r="M159" s="770">
        <f t="shared" si="37"/>
        <v>0</v>
      </c>
      <c r="N159" s="773">
        <f t="shared" si="24"/>
        <v>100000</v>
      </c>
      <c r="O159" s="760"/>
    </row>
    <row r="160" spans="1:15" ht="18.600000000000001" thickBot="1">
      <c r="A160" s="804" t="s">
        <v>104</v>
      </c>
      <c r="B160" s="770">
        <f>+B110</f>
        <v>0</v>
      </c>
      <c r="C160" s="770">
        <f t="shared" ref="C160:M160" si="38">+C110</f>
        <v>0</v>
      </c>
      <c r="D160" s="770">
        <f t="shared" si="38"/>
        <v>100000</v>
      </c>
      <c r="E160" s="770">
        <f t="shared" si="38"/>
        <v>0</v>
      </c>
      <c r="F160" s="770">
        <f t="shared" si="38"/>
        <v>100000</v>
      </c>
      <c r="G160" s="770">
        <f t="shared" si="38"/>
        <v>0</v>
      </c>
      <c r="H160" s="770">
        <f t="shared" si="38"/>
        <v>0</v>
      </c>
      <c r="I160" s="770">
        <f t="shared" si="38"/>
        <v>100000</v>
      </c>
      <c r="J160" s="770">
        <f t="shared" si="38"/>
        <v>0</v>
      </c>
      <c r="K160" s="770">
        <f t="shared" si="38"/>
        <v>0</v>
      </c>
      <c r="L160" s="770">
        <f t="shared" si="38"/>
        <v>0</v>
      </c>
      <c r="M160" s="770">
        <f t="shared" si="38"/>
        <v>0</v>
      </c>
      <c r="N160" s="808">
        <f t="shared" si="24"/>
        <v>300000</v>
      </c>
      <c r="O160" s="760"/>
    </row>
    <row r="161" spans="1:15" ht="18.600000000000001" thickBot="1">
      <c r="A161" s="755" t="s">
        <v>37</v>
      </c>
      <c r="B161" s="756">
        <f>SUM(B145:B160)</f>
        <v>0</v>
      </c>
      <c r="C161" s="757">
        <f t="shared" ref="C161:M161" si="39">SUM(C145:C160)</f>
        <v>150000</v>
      </c>
      <c r="D161" s="757">
        <f t="shared" si="39"/>
        <v>950000</v>
      </c>
      <c r="E161" s="757">
        <f t="shared" si="39"/>
        <v>1550000</v>
      </c>
      <c r="F161" s="757">
        <f>SUM(F145:F160)</f>
        <v>1500000</v>
      </c>
      <c r="G161" s="757">
        <f t="shared" si="39"/>
        <v>550000</v>
      </c>
      <c r="H161" s="757">
        <f t="shared" si="39"/>
        <v>1250000</v>
      </c>
      <c r="I161" s="757">
        <f t="shared" si="39"/>
        <v>200000</v>
      </c>
      <c r="J161" s="757">
        <f t="shared" si="39"/>
        <v>150000</v>
      </c>
      <c r="K161" s="757">
        <f t="shared" si="39"/>
        <v>3250000</v>
      </c>
      <c r="L161" s="757">
        <f t="shared" si="39"/>
        <v>450000</v>
      </c>
      <c r="M161" s="758">
        <f t="shared" si="39"/>
        <v>1000000</v>
      </c>
      <c r="N161" s="759">
        <f>SUM(N145:N160)</f>
        <v>11000000</v>
      </c>
      <c r="O161" s="760"/>
    </row>
    <row r="162" spans="1:15" ht="18.600000000000001" thickBot="1"/>
    <row r="163" spans="1:15" ht="24.9" customHeight="1" thickBot="1">
      <c r="A163" s="762"/>
      <c r="B163" s="2350" t="s">
        <v>312</v>
      </c>
      <c r="C163" s="2351"/>
      <c r="D163" s="2351"/>
      <c r="E163" s="2351"/>
      <c r="F163" s="2351"/>
      <c r="G163" s="2351"/>
      <c r="H163" s="2351"/>
      <c r="I163" s="2351"/>
      <c r="J163" s="2351"/>
      <c r="K163" s="2351"/>
      <c r="L163" s="2351"/>
      <c r="M163" s="2351"/>
      <c r="N163" s="2349"/>
    </row>
    <row r="164" spans="1:15" ht="24.9" customHeight="1" thickBot="1">
      <c r="A164" s="784" t="s">
        <v>250</v>
      </c>
      <c r="B164" s="824" t="s">
        <v>1</v>
      </c>
      <c r="C164" s="825" t="s">
        <v>2</v>
      </c>
      <c r="D164" s="825" t="s">
        <v>3</v>
      </c>
      <c r="E164" s="825" t="s">
        <v>4</v>
      </c>
      <c r="F164" s="825" t="s">
        <v>5</v>
      </c>
      <c r="G164" s="825" t="s">
        <v>6</v>
      </c>
      <c r="H164" s="825" t="s">
        <v>7</v>
      </c>
      <c r="I164" s="825" t="s">
        <v>8</v>
      </c>
      <c r="J164" s="825" t="s">
        <v>9</v>
      </c>
      <c r="K164" s="825" t="s">
        <v>10</v>
      </c>
      <c r="L164" s="825" t="s">
        <v>11</v>
      </c>
      <c r="M164" s="827" t="s">
        <v>12</v>
      </c>
      <c r="N164" s="821" t="s">
        <v>13</v>
      </c>
    </row>
    <row r="165" spans="1:15">
      <c r="A165" s="769" t="s">
        <v>89</v>
      </c>
      <c r="B165" s="817">
        <f>+B6</f>
        <v>0</v>
      </c>
      <c r="C165" s="817">
        <f t="shared" ref="C165:M165" si="40">+C6</f>
        <v>0</v>
      </c>
      <c r="D165" s="817">
        <f t="shared" si="40"/>
        <v>0</v>
      </c>
      <c r="E165" s="817">
        <f t="shared" si="40"/>
        <v>125000</v>
      </c>
      <c r="F165" s="817">
        <f t="shared" si="40"/>
        <v>0</v>
      </c>
      <c r="G165" s="817">
        <f t="shared" si="40"/>
        <v>0</v>
      </c>
      <c r="H165" s="817">
        <f t="shared" si="40"/>
        <v>125000</v>
      </c>
      <c r="I165" s="817">
        <f t="shared" si="40"/>
        <v>0</v>
      </c>
      <c r="J165" s="817">
        <f t="shared" si="40"/>
        <v>0</v>
      </c>
      <c r="K165" s="817">
        <f t="shared" si="40"/>
        <v>0</v>
      </c>
      <c r="L165" s="817">
        <f t="shared" si="40"/>
        <v>0</v>
      </c>
      <c r="M165" s="817">
        <f t="shared" si="40"/>
        <v>0</v>
      </c>
      <c r="N165" s="820">
        <f>SUM(B165:M165)</f>
        <v>250000</v>
      </c>
      <c r="O165" s="760"/>
    </row>
    <row r="166" spans="1:15">
      <c r="A166" s="769" t="s">
        <v>90</v>
      </c>
      <c r="B166" s="770">
        <f t="shared" ref="B166:M166" si="41">+B13</f>
        <v>0</v>
      </c>
      <c r="C166" s="770">
        <f t="shared" si="41"/>
        <v>0</v>
      </c>
      <c r="D166" s="770">
        <f t="shared" si="41"/>
        <v>0</v>
      </c>
      <c r="E166" s="770">
        <f t="shared" si="41"/>
        <v>0</v>
      </c>
      <c r="F166" s="770">
        <f t="shared" si="41"/>
        <v>350000</v>
      </c>
      <c r="G166" s="770">
        <f t="shared" si="41"/>
        <v>0</v>
      </c>
      <c r="H166" s="770">
        <f t="shared" si="41"/>
        <v>0</v>
      </c>
      <c r="I166" s="770">
        <f t="shared" si="41"/>
        <v>0</v>
      </c>
      <c r="J166" s="770">
        <f t="shared" si="41"/>
        <v>0</v>
      </c>
      <c r="K166" s="770">
        <f t="shared" si="41"/>
        <v>350000</v>
      </c>
      <c r="L166" s="770">
        <f t="shared" si="41"/>
        <v>0</v>
      </c>
      <c r="M166" s="770">
        <f t="shared" si="41"/>
        <v>0</v>
      </c>
      <c r="N166" s="773">
        <f t="shared" ref="N166:N180" si="42">SUM(B166:M166)</f>
        <v>700000</v>
      </c>
      <c r="O166" s="760"/>
    </row>
    <row r="167" spans="1:15">
      <c r="A167" s="769" t="s">
        <v>91</v>
      </c>
      <c r="B167" s="770">
        <f t="shared" ref="B167:M167" si="43">+B20</f>
        <v>0</v>
      </c>
      <c r="C167" s="770">
        <f t="shared" si="43"/>
        <v>0</v>
      </c>
      <c r="D167" s="770">
        <f t="shared" si="43"/>
        <v>0</v>
      </c>
      <c r="E167" s="770">
        <f t="shared" si="43"/>
        <v>0</v>
      </c>
      <c r="F167" s="770">
        <f t="shared" si="43"/>
        <v>0</v>
      </c>
      <c r="G167" s="770">
        <f t="shared" si="43"/>
        <v>200000</v>
      </c>
      <c r="H167" s="770">
        <f t="shared" si="43"/>
        <v>0</v>
      </c>
      <c r="I167" s="770">
        <f t="shared" si="43"/>
        <v>0</v>
      </c>
      <c r="J167" s="770">
        <f t="shared" si="43"/>
        <v>0</v>
      </c>
      <c r="K167" s="770">
        <f t="shared" si="43"/>
        <v>0</v>
      </c>
      <c r="L167" s="770">
        <f t="shared" si="43"/>
        <v>200000</v>
      </c>
      <c r="M167" s="770">
        <f t="shared" si="43"/>
        <v>0</v>
      </c>
      <c r="N167" s="773">
        <f t="shared" si="42"/>
        <v>400000</v>
      </c>
      <c r="O167" s="760"/>
    </row>
    <row r="168" spans="1:15">
      <c r="A168" s="769" t="s">
        <v>92</v>
      </c>
      <c r="B168" s="770">
        <f t="shared" ref="B168:M168" si="44">+B27</f>
        <v>0</v>
      </c>
      <c r="C168" s="770">
        <f t="shared" si="44"/>
        <v>150000</v>
      </c>
      <c r="D168" s="770">
        <f t="shared" si="44"/>
        <v>0</v>
      </c>
      <c r="E168" s="770">
        <f t="shared" si="44"/>
        <v>0</v>
      </c>
      <c r="F168" s="770">
        <f t="shared" si="44"/>
        <v>150000</v>
      </c>
      <c r="G168" s="770">
        <f t="shared" si="44"/>
        <v>0</v>
      </c>
      <c r="H168" s="770">
        <f t="shared" si="44"/>
        <v>0</v>
      </c>
      <c r="I168" s="770">
        <f t="shared" si="44"/>
        <v>0</v>
      </c>
      <c r="J168" s="770">
        <f t="shared" si="44"/>
        <v>150000</v>
      </c>
      <c r="K168" s="770">
        <f t="shared" si="44"/>
        <v>0</v>
      </c>
      <c r="L168" s="770">
        <f t="shared" si="44"/>
        <v>0</v>
      </c>
      <c r="M168" s="770">
        <f t="shared" si="44"/>
        <v>150000</v>
      </c>
      <c r="N168" s="773">
        <f t="shared" si="42"/>
        <v>600000</v>
      </c>
      <c r="O168" s="760"/>
    </row>
    <row r="169" spans="1:15">
      <c r="A169" s="769" t="s">
        <v>93</v>
      </c>
      <c r="B169" s="817">
        <f t="shared" ref="B169:M169" si="45">+B34</f>
        <v>0</v>
      </c>
      <c r="C169" s="817">
        <f t="shared" si="45"/>
        <v>0</v>
      </c>
      <c r="D169" s="817">
        <f t="shared" si="45"/>
        <v>0</v>
      </c>
      <c r="E169" s="817">
        <f t="shared" si="45"/>
        <v>0</v>
      </c>
      <c r="F169" s="817">
        <f t="shared" si="45"/>
        <v>0</v>
      </c>
      <c r="G169" s="817">
        <f t="shared" si="45"/>
        <v>200000</v>
      </c>
      <c r="H169" s="817">
        <f t="shared" si="45"/>
        <v>0</v>
      </c>
      <c r="I169" s="817">
        <f t="shared" si="45"/>
        <v>0</v>
      </c>
      <c r="J169" s="817">
        <f t="shared" si="45"/>
        <v>0</v>
      </c>
      <c r="K169" s="817">
        <f t="shared" si="45"/>
        <v>0</v>
      </c>
      <c r="L169" s="817">
        <f t="shared" si="45"/>
        <v>200000</v>
      </c>
      <c r="M169" s="817">
        <f t="shared" si="45"/>
        <v>0</v>
      </c>
      <c r="N169" s="773">
        <f t="shared" si="42"/>
        <v>400000</v>
      </c>
      <c r="O169" s="760"/>
    </row>
    <row r="170" spans="1:15">
      <c r="A170" s="769" t="s">
        <v>94</v>
      </c>
      <c r="B170" s="770">
        <f t="shared" ref="B170:M170" si="46">+B41</f>
        <v>0</v>
      </c>
      <c r="C170" s="770">
        <f t="shared" si="46"/>
        <v>0</v>
      </c>
      <c r="D170" s="770">
        <f t="shared" si="46"/>
        <v>0</v>
      </c>
      <c r="E170" s="770">
        <f t="shared" si="46"/>
        <v>0</v>
      </c>
      <c r="F170" s="770">
        <f t="shared" si="46"/>
        <v>0</v>
      </c>
      <c r="G170" s="770">
        <f t="shared" si="46"/>
        <v>0</v>
      </c>
      <c r="H170" s="770">
        <f t="shared" si="46"/>
        <v>300000</v>
      </c>
      <c r="I170" s="770">
        <f t="shared" si="46"/>
        <v>0</v>
      </c>
      <c r="J170" s="770">
        <f t="shared" si="46"/>
        <v>0</v>
      </c>
      <c r="K170" s="770">
        <f t="shared" si="46"/>
        <v>0</v>
      </c>
      <c r="L170" s="770">
        <f t="shared" si="46"/>
        <v>0</v>
      </c>
      <c r="M170" s="770">
        <f t="shared" si="46"/>
        <v>0</v>
      </c>
      <c r="N170" s="773">
        <f t="shared" si="42"/>
        <v>300000</v>
      </c>
      <c r="O170" s="760"/>
    </row>
    <row r="171" spans="1:15">
      <c r="A171" s="769" t="s">
        <v>95</v>
      </c>
      <c r="B171" s="770">
        <f t="shared" ref="B171:M171" si="47">+B48</f>
        <v>0</v>
      </c>
      <c r="C171" s="770">
        <f t="shared" si="47"/>
        <v>0</v>
      </c>
      <c r="D171" s="770">
        <f t="shared" si="47"/>
        <v>0</v>
      </c>
      <c r="E171" s="770">
        <f t="shared" si="47"/>
        <v>200000</v>
      </c>
      <c r="F171" s="770">
        <f t="shared" si="47"/>
        <v>0</v>
      </c>
      <c r="G171" s="770">
        <f t="shared" si="47"/>
        <v>0</v>
      </c>
      <c r="H171" s="770">
        <f t="shared" si="47"/>
        <v>200000</v>
      </c>
      <c r="I171" s="770">
        <f t="shared" si="47"/>
        <v>0</v>
      </c>
      <c r="J171" s="770">
        <f t="shared" si="47"/>
        <v>0</v>
      </c>
      <c r="K171" s="770">
        <f t="shared" si="47"/>
        <v>0</v>
      </c>
      <c r="L171" s="770">
        <f t="shared" si="47"/>
        <v>0</v>
      </c>
      <c r="M171" s="770">
        <f t="shared" si="47"/>
        <v>200000</v>
      </c>
      <c r="N171" s="773">
        <f t="shared" si="42"/>
        <v>600000</v>
      </c>
      <c r="O171" s="760"/>
    </row>
    <row r="172" spans="1:15">
      <c r="A172" s="769" t="s">
        <v>96</v>
      </c>
      <c r="B172" s="770">
        <f t="shared" ref="B172:M172" si="48">+B55</f>
        <v>0</v>
      </c>
      <c r="C172" s="770">
        <f t="shared" si="48"/>
        <v>0</v>
      </c>
      <c r="D172" s="770">
        <f t="shared" si="48"/>
        <v>0</v>
      </c>
      <c r="E172" s="770">
        <f t="shared" si="48"/>
        <v>250000</v>
      </c>
      <c r="F172" s="770">
        <f t="shared" si="48"/>
        <v>0</v>
      </c>
      <c r="G172" s="770">
        <f t="shared" si="48"/>
        <v>0</v>
      </c>
      <c r="H172" s="770">
        <f t="shared" si="48"/>
        <v>250000</v>
      </c>
      <c r="I172" s="770">
        <f t="shared" si="48"/>
        <v>0</v>
      </c>
      <c r="J172" s="770">
        <f t="shared" si="48"/>
        <v>0</v>
      </c>
      <c r="K172" s="770">
        <f t="shared" si="48"/>
        <v>250000</v>
      </c>
      <c r="L172" s="770">
        <f t="shared" si="48"/>
        <v>0</v>
      </c>
      <c r="M172" s="770">
        <f t="shared" si="48"/>
        <v>0</v>
      </c>
      <c r="N172" s="773">
        <f t="shared" si="42"/>
        <v>750000</v>
      </c>
      <c r="O172" s="760"/>
    </row>
    <row r="173" spans="1:15">
      <c r="A173" s="769" t="s">
        <v>97</v>
      </c>
      <c r="B173" s="817">
        <f t="shared" ref="B173:M173" si="49">+B62</f>
        <v>0</v>
      </c>
      <c r="C173" s="817">
        <f t="shared" si="49"/>
        <v>200000</v>
      </c>
      <c r="D173" s="817">
        <f t="shared" si="49"/>
        <v>0</v>
      </c>
      <c r="E173" s="817">
        <f t="shared" si="49"/>
        <v>0</v>
      </c>
      <c r="F173" s="817">
        <f t="shared" si="49"/>
        <v>0</v>
      </c>
      <c r="G173" s="817">
        <f t="shared" si="49"/>
        <v>200000</v>
      </c>
      <c r="H173" s="817">
        <f t="shared" si="49"/>
        <v>0</v>
      </c>
      <c r="I173" s="817">
        <f t="shared" si="49"/>
        <v>0</v>
      </c>
      <c r="J173" s="817">
        <f t="shared" si="49"/>
        <v>0</v>
      </c>
      <c r="K173" s="817">
        <f t="shared" si="49"/>
        <v>200000</v>
      </c>
      <c r="L173" s="817">
        <f t="shared" si="49"/>
        <v>0</v>
      </c>
      <c r="M173" s="817">
        <f t="shared" si="49"/>
        <v>0</v>
      </c>
      <c r="N173" s="773">
        <f t="shared" si="42"/>
        <v>600000</v>
      </c>
      <c r="O173" s="760"/>
    </row>
    <row r="174" spans="1:15">
      <c r="A174" s="769" t="s">
        <v>98</v>
      </c>
      <c r="B174" s="770">
        <f t="shared" ref="B174:M174" si="50">+B69</f>
        <v>0</v>
      </c>
      <c r="C174" s="770">
        <f t="shared" si="50"/>
        <v>0</v>
      </c>
      <c r="D174" s="770">
        <f t="shared" si="50"/>
        <v>0</v>
      </c>
      <c r="E174" s="770">
        <f t="shared" si="50"/>
        <v>500000</v>
      </c>
      <c r="F174" s="770">
        <f t="shared" si="50"/>
        <v>0</v>
      </c>
      <c r="G174" s="770">
        <f t="shared" si="50"/>
        <v>0</v>
      </c>
      <c r="H174" s="770">
        <f t="shared" si="50"/>
        <v>0</v>
      </c>
      <c r="I174" s="770">
        <f t="shared" si="50"/>
        <v>0</v>
      </c>
      <c r="J174" s="770">
        <f t="shared" si="50"/>
        <v>0</v>
      </c>
      <c r="K174" s="770">
        <f t="shared" si="50"/>
        <v>500000</v>
      </c>
      <c r="L174" s="770">
        <f t="shared" si="50"/>
        <v>0</v>
      </c>
      <c r="M174" s="770">
        <f t="shared" si="50"/>
        <v>0</v>
      </c>
      <c r="N174" s="773">
        <f t="shared" si="42"/>
        <v>1000000</v>
      </c>
      <c r="O174" s="760"/>
    </row>
    <row r="175" spans="1:15">
      <c r="A175" s="769" t="s">
        <v>99</v>
      </c>
      <c r="B175" s="770">
        <f t="shared" ref="B175:M175" si="51">+B76</f>
        <v>0</v>
      </c>
      <c r="C175" s="770">
        <f t="shared" si="51"/>
        <v>0</v>
      </c>
      <c r="D175" s="770">
        <f t="shared" si="51"/>
        <v>200000</v>
      </c>
      <c r="E175" s="770">
        <f t="shared" si="51"/>
        <v>0</v>
      </c>
      <c r="F175" s="770">
        <f t="shared" si="51"/>
        <v>0</v>
      </c>
      <c r="G175" s="770">
        <f t="shared" si="51"/>
        <v>0</v>
      </c>
      <c r="H175" s="770">
        <f t="shared" si="51"/>
        <v>200000</v>
      </c>
      <c r="I175" s="770">
        <f t="shared" si="51"/>
        <v>0</v>
      </c>
      <c r="J175" s="770">
        <f t="shared" si="51"/>
        <v>0</v>
      </c>
      <c r="K175" s="770">
        <f t="shared" si="51"/>
        <v>200000</v>
      </c>
      <c r="L175" s="770">
        <f t="shared" si="51"/>
        <v>0</v>
      </c>
      <c r="M175" s="770">
        <f t="shared" si="51"/>
        <v>200000</v>
      </c>
      <c r="N175" s="773">
        <f t="shared" si="42"/>
        <v>800000</v>
      </c>
      <c r="O175" s="760"/>
    </row>
    <row r="176" spans="1:15">
      <c r="A176" s="769" t="s">
        <v>100</v>
      </c>
      <c r="B176" s="770">
        <f t="shared" ref="B176:M176" si="52">+B83</f>
        <v>0</v>
      </c>
      <c r="C176" s="770">
        <f t="shared" si="52"/>
        <v>0</v>
      </c>
      <c r="D176" s="770">
        <f t="shared" si="52"/>
        <v>0</v>
      </c>
      <c r="E176" s="770">
        <f t="shared" si="52"/>
        <v>0</v>
      </c>
      <c r="F176" s="770">
        <f t="shared" si="52"/>
        <v>100000</v>
      </c>
      <c r="G176" s="770">
        <f t="shared" si="52"/>
        <v>0</v>
      </c>
      <c r="H176" s="770">
        <f t="shared" si="52"/>
        <v>0</v>
      </c>
      <c r="I176" s="770">
        <f t="shared" si="52"/>
        <v>0</v>
      </c>
      <c r="J176" s="770">
        <f t="shared" si="52"/>
        <v>100000</v>
      </c>
      <c r="K176" s="770">
        <f t="shared" si="52"/>
        <v>0</v>
      </c>
      <c r="L176" s="770">
        <f t="shared" si="52"/>
        <v>0</v>
      </c>
      <c r="M176" s="770">
        <f t="shared" si="52"/>
        <v>0</v>
      </c>
      <c r="N176" s="773">
        <f t="shared" si="42"/>
        <v>200000</v>
      </c>
      <c r="O176" s="760"/>
    </row>
    <row r="177" spans="1:15">
      <c r="A177" s="769" t="s">
        <v>101</v>
      </c>
      <c r="B177" s="817">
        <f t="shared" ref="B177:M177" si="53">+B90</f>
        <v>0</v>
      </c>
      <c r="C177" s="817">
        <f t="shared" si="53"/>
        <v>0</v>
      </c>
      <c r="D177" s="817">
        <f t="shared" si="53"/>
        <v>100000</v>
      </c>
      <c r="E177" s="817">
        <f t="shared" si="53"/>
        <v>0</v>
      </c>
      <c r="F177" s="817">
        <f t="shared" si="53"/>
        <v>0</v>
      </c>
      <c r="G177" s="817">
        <f t="shared" si="53"/>
        <v>0</v>
      </c>
      <c r="H177" s="817">
        <f t="shared" si="53"/>
        <v>100000</v>
      </c>
      <c r="I177" s="817">
        <f t="shared" si="53"/>
        <v>0</v>
      </c>
      <c r="J177" s="817">
        <f t="shared" si="53"/>
        <v>0</v>
      </c>
      <c r="K177" s="817">
        <f t="shared" si="53"/>
        <v>0</v>
      </c>
      <c r="L177" s="817">
        <f t="shared" si="53"/>
        <v>100000</v>
      </c>
      <c r="M177" s="817">
        <f t="shared" si="53"/>
        <v>0</v>
      </c>
      <c r="N177" s="773">
        <f t="shared" si="42"/>
        <v>300000</v>
      </c>
      <c r="O177" s="760"/>
    </row>
    <row r="178" spans="1:15">
      <c r="A178" s="769" t="s">
        <v>102</v>
      </c>
      <c r="B178" s="770">
        <f t="shared" ref="B178:M178" si="54">+B97</f>
        <v>0</v>
      </c>
      <c r="C178" s="770">
        <f t="shared" si="54"/>
        <v>0</v>
      </c>
      <c r="D178" s="770">
        <f t="shared" si="54"/>
        <v>0</v>
      </c>
      <c r="E178" s="770">
        <f t="shared" si="54"/>
        <v>0</v>
      </c>
      <c r="F178" s="770">
        <f t="shared" si="54"/>
        <v>0</v>
      </c>
      <c r="G178" s="770">
        <f t="shared" si="54"/>
        <v>100000</v>
      </c>
      <c r="H178" s="770">
        <f t="shared" si="54"/>
        <v>0</v>
      </c>
      <c r="I178" s="770">
        <f t="shared" si="54"/>
        <v>100000</v>
      </c>
      <c r="J178" s="770">
        <f t="shared" si="54"/>
        <v>0</v>
      </c>
      <c r="K178" s="770">
        <f t="shared" si="54"/>
        <v>0</v>
      </c>
      <c r="L178" s="770">
        <f t="shared" si="54"/>
        <v>0</v>
      </c>
      <c r="M178" s="770">
        <f t="shared" si="54"/>
        <v>0</v>
      </c>
      <c r="N178" s="773">
        <f t="shared" si="42"/>
        <v>200000</v>
      </c>
      <c r="O178" s="760"/>
    </row>
    <row r="179" spans="1:15">
      <c r="A179" s="769" t="s">
        <v>103</v>
      </c>
      <c r="B179" s="770">
        <f t="shared" ref="B179:M179" si="55">+B104</f>
        <v>0</v>
      </c>
      <c r="C179" s="770">
        <f t="shared" si="55"/>
        <v>0</v>
      </c>
      <c r="D179" s="770">
        <f t="shared" si="55"/>
        <v>0</v>
      </c>
      <c r="E179" s="770">
        <f t="shared" si="55"/>
        <v>0</v>
      </c>
      <c r="F179" s="770">
        <f t="shared" si="55"/>
        <v>100000</v>
      </c>
      <c r="G179" s="770">
        <f t="shared" si="55"/>
        <v>0</v>
      </c>
      <c r="H179" s="770">
        <f t="shared" si="55"/>
        <v>0</v>
      </c>
      <c r="I179" s="770">
        <f t="shared" si="55"/>
        <v>0</v>
      </c>
      <c r="J179" s="770">
        <f t="shared" si="55"/>
        <v>0</v>
      </c>
      <c r="K179" s="770">
        <f t="shared" si="55"/>
        <v>0</v>
      </c>
      <c r="L179" s="770">
        <f t="shared" si="55"/>
        <v>0</v>
      </c>
      <c r="M179" s="770">
        <f t="shared" si="55"/>
        <v>0</v>
      </c>
      <c r="N179" s="773">
        <f t="shared" si="42"/>
        <v>100000</v>
      </c>
      <c r="O179" s="760"/>
    </row>
    <row r="180" spans="1:15" ht="18.600000000000001" thickBot="1">
      <c r="A180" s="804" t="s">
        <v>104</v>
      </c>
      <c r="B180" s="770">
        <f>+B111</f>
        <v>0</v>
      </c>
      <c r="C180" s="770">
        <f t="shared" ref="C180:M180" si="56">+C111</f>
        <v>0</v>
      </c>
      <c r="D180" s="770">
        <f t="shared" si="56"/>
        <v>100000</v>
      </c>
      <c r="E180" s="770">
        <f t="shared" si="56"/>
        <v>0</v>
      </c>
      <c r="F180" s="770">
        <f t="shared" si="56"/>
        <v>100000</v>
      </c>
      <c r="G180" s="770">
        <f t="shared" si="56"/>
        <v>0</v>
      </c>
      <c r="H180" s="770">
        <f t="shared" si="56"/>
        <v>0</v>
      </c>
      <c r="I180" s="770">
        <f t="shared" si="56"/>
        <v>100000</v>
      </c>
      <c r="J180" s="770">
        <f t="shared" si="56"/>
        <v>0</v>
      </c>
      <c r="K180" s="770">
        <f t="shared" si="56"/>
        <v>0</v>
      </c>
      <c r="L180" s="770">
        <f t="shared" si="56"/>
        <v>0</v>
      </c>
      <c r="M180" s="770">
        <f t="shared" si="56"/>
        <v>0</v>
      </c>
      <c r="N180" s="808">
        <f t="shared" si="42"/>
        <v>300000</v>
      </c>
      <c r="O180" s="760"/>
    </row>
    <row r="181" spans="1:15" ht="18.600000000000001" thickBot="1">
      <c r="A181" s="755" t="s">
        <v>37</v>
      </c>
      <c r="B181" s="756">
        <f>SUM(B165:B180)</f>
        <v>0</v>
      </c>
      <c r="C181" s="757">
        <f t="shared" ref="C181:E181" si="57">SUM(C165:C180)</f>
        <v>350000</v>
      </c>
      <c r="D181" s="757">
        <f t="shared" si="57"/>
        <v>400000</v>
      </c>
      <c r="E181" s="757">
        <f t="shared" si="57"/>
        <v>1075000</v>
      </c>
      <c r="F181" s="757">
        <f>SUM(F165:F180)</f>
        <v>800000</v>
      </c>
      <c r="G181" s="757">
        <f t="shared" ref="G181:M181" si="58">SUM(G165:G180)</f>
        <v>700000</v>
      </c>
      <c r="H181" s="757">
        <f t="shared" si="58"/>
        <v>1175000</v>
      </c>
      <c r="I181" s="757">
        <f t="shared" si="58"/>
        <v>200000</v>
      </c>
      <c r="J181" s="757">
        <f t="shared" si="58"/>
        <v>250000</v>
      </c>
      <c r="K181" s="757">
        <f t="shared" si="58"/>
        <v>1500000</v>
      </c>
      <c r="L181" s="757">
        <f t="shared" si="58"/>
        <v>500000</v>
      </c>
      <c r="M181" s="758">
        <f t="shared" si="58"/>
        <v>550000</v>
      </c>
      <c r="N181" s="759">
        <f>SUM(N165:N180)</f>
        <v>7500000</v>
      </c>
      <c r="O181" s="760"/>
    </row>
    <row r="182" spans="1:15" ht="18.600000000000001" thickBot="1"/>
    <row r="183" spans="1:15" ht="24.9" customHeight="1" thickBot="1">
      <c r="A183" s="762"/>
      <c r="B183" s="2350" t="s">
        <v>313</v>
      </c>
      <c r="C183" s="2351"/>
      <c r="D183" s="2351"/>
      <c r="E183" s="2351"/>
      <c r="F183" s="2351"/>
      <c r="G183" s="2351"/>
      <c r="H183" s="2351"/>
      <c r="I183" s="2351"/>
      <c r="J183" s="2351"/>
      <c r="K183" s="2351"/>
      <c r="L183" s="2351"/>
      <c r="M183" s="2351"/>
      <c r="N183" s="2349"/>
    </row>
    <row r="184" spans="1:15" ht="24.9" customHeight="1" thickBot="1">
      <c r="A184" s="784" t="s">
        <v>250</v>
      </c>
      <c r="B184" s="824" t="s">
        <v>1</v>
      </c>
      <c r="C184" s="825" t="s">
        <v>2</v>
      </c>
      <c r="D184" s="825" t="s">
        <v>3</v>
      </c>
      <c r="E184" s="825" t="s">
        <v>4</v>
      </c>
      <c r="F184" s="825" t="s">
        <v>5</v>
      </c>
      <c r="G184" s="825" t="s">
        <v>6</v>
      </c>
      <c r="H184" s="825" t="s">
        <v>7</v>
      </c>
      <c r="I184" s="825" t="s">
        <v>8</v>
      </c>
      <c r="J184" s="825" t="s">
        <v>9</v>
      </c>
      <c r="K184" s="825" t="s">
        <v>10</v>
      </c>
      <c r="L184" s="825" t="s">
        <v>11</v>
      </c>
      <c r="M184" s="827" t="s">
        <v>12</v>
      </c>
      <c r="N184" s="821" t="s">
        <v>13</v>
      </c>
    </row>
    <row r="185" spans="1:15">
      <c r="A185" s="769" t="s">
        <v>89</v>
      </c>
      <c r="B185" s="817">
        <f>+B7</f>
        <v>0</v>
      </c>
      <c r="C185" s="817">
        <f>+C7</f>
        <v>0</v>
      </c>
      <c r="D185" s="817">
        <f t="shared" ref="D185:M185" si="59">+D7</f>
        <v>0</v>
      </c>
      <c r="E185" s="817">
        <f t="shared" si="59"/>
        <v>0</v>
      </c>
      <c r="F185" s="817">
        <f t="shared" si="59"/>
        <v>0</v>
      </c>
      <c r="G185" s="817">
        <f t="shared" si="59"/>
        <v>0</v>
      </c>
      <c r="H185" s="817">
        <f t="shared" si="59"/>
        <v>0</v>
      </c>
      <c r="I185" s="817">
        <f t="shared" si="59"/>
        <v>0</v>
      </c>
      <c r="J185" s="817">
        <f t="shared" si="59"/>
        <v>0</v>
      </c>
      <c r="K185" s="817">
        <f t="shared" si="59"/>
        <v>0</v>
      </c>
      <c r="L185" s="817">
        <f t="shared" si="59"/>
        <v>0</v>
      </c>
      <c r="M185" s="817">
        <f t="shared" si="59"/>
        <v>0</v>
      </c>
      <c r="N185" s="820">
        <f>SUM(B185:M185)</f>
        <v>0</v>
      </c>
      <c r="O185" s="760"/>
    </row>
    <row r="186" spans="1:15">
      <c r="A186" s="769" t="s">
        <v>90</v>
      </c>
      <c r="B186" s="770">
        <f>+B14</f>
        <v>0</v>
      </c>
      <c r="C186" s="770">
        <f t="shared" ref="C186:M186" si="60">+C14</f>
        <v>0</v>
      </c>
      <c r="D186" s="770">
        <f t="shared" si="60"/>
        <v>0</v>
      </c>
      <c r="E186" s="770">
        <f t="shared" si="60"/>
        <v>0</v>
      </c>
      <c r="F186" s="770">
        <f t="shared" si="60"/>
        <v>50000</v>
      </c>
      <c r="G186" s="770">
        <f t="shared" si="60"/>
        <v>0</v>
      </c>
      <c r="H186" s="770">
        <f t="shared" si="60"/>
        <v>0</v>
      </c>
      <c r="I186" s="770">
        <f t="shared" si="60"/>
        <v>0</v>
      </c>
      <c r="J186" s="770">
        <f t="shared" si="60"/>
        <v>0</v>
      </c>
      <c r="K186" s="770">
        <f t="shared" si="60"/>
        <v>50000</v>
      </c>
      <c r="L186" s="770">
        <f t="shared" si="60"/>
        <v>0</v>
      </c>
      <c r="M186" s="770">
        <f t="shared" si="60"/>
        <v>0</v>
      </c>
      <c r="N186" s="773">
        <f t="shared" ref="N186:N200" si="61">SUM(B186:M186)</f>
        <v>100000</v>
      </c>
      <c r="O186" s="760"/>
    </row>
    <row r="187" spans="1:15">
      <c r="A187" s="769" t="s">
        <v>91</v>
      </c>
      <c r="B187" s="770">
        <f>+B21</f>
        <v>0</v>
      </c>
      <c r="C187" s="770">
        <f t="shared" ref="C187:M187" si="62">+C21</f>
        <v>0</v>
      </c>
      <c r="D187" s="770">
        <f t="shared" si="62"/>
        <v>0</v>
      </c>
      <c r="E187" s="770">
        <f t="shared" si="62"/>
        <v>0</v>
      </c>
      <c r="F187" s="770">
        <f t="shared" si="62"/>
        <v>0</v>
      </c>
      <c r="G187" s="770">
        <f t="shared" si="62"/>
        <v>50000</v>
      </c>
      <c r="H187" s="770">
        <f t="shared" si="62"/>
        <v>0</v>
      </c>
      <c r="I187" s="770">
        <f t="shared" si="62"/>
        <v>0</v>
      </c>
      <c r="J187" s="770">
        <f t="shared" si="62"/>
        <v>0</v>
      </c>
      <c r="K187" s="770">
        <f t="shared" si="62"/>
        <v>0</v>
      </c>
      <c r="L187" s="770">
        <f t="shared" si="62"/>
        <v>50000</v>
      </c>
      <c r="M187" s="770">
        <f t="shared" si="62"/>
        <v>0</v>
      </c>
      <c r="N187" s="773">
        <f t="shared" si="61"/>
        <v>100000</v>
      </c>
      <c r="O187" s="760"/>
    </row>
    <row r="188" spans="1:15">
      <c r="A188" s="769" t="s">
        <v>92</v>
      </c>
      <c r="B188" s="770">
        <f>+B28</f>
        <v>0</v>
      </c>
      <c r="C188" s="770">
        <f t="shared" ref="C188:M188" si="63">+C28</f>
        <v>50000</v>
      </c>
      <c r="D188" s="770">
        <f t="shared" si="63"/>
        <v>0</v>
      </c>
      <c r="E188" s="770">
        <f t="shared" si="63"/>
        <v>0</v>
      </c>
      <c r="F188" s="770">
        <f t="shared" si="63"/>
        <v>50000</v>
      </c>
      <c r="G188" s="770">
        <f t="shared" si="63"/>
        <v>0</v>
      </c>
      <c r="H188" s="770">
        <f t="shared" si="63"/>
        <v>0</v>
      </c>
      <c r="I188" s="770">
        <f t="shared" si="63"/>
        <v>0</v>
      </c>
      <c r="J188" s="770">
        <f t="shared" si="63"/>
        <v>50000</v>
      </c>
      <c r="K188" s="770">
        <f t="shared" si="63"/>
        <v>0</v>
      </c>
      <c r="L188" s="770">
        <f t="shared" si="63"/>
        <v>0</v>
      </c>
      <c r="M188" s="770">
        <f t="shared" si="63"/>
        <v>50000</v>
      </c>
      <c r="N188" s="773">
        <f t="shared" si="61"/>
        <v>200000</v>
      </c>
      <c r="O188" s="760"/>
    </row>
    <row r="189" spans="1:15">
      <c r="A189" s="769" t="s">
        <v>93</v>
      </c>
      <c r="B189" s="817">
        <f>+B35</f>
        <v>0</v>
      </c>
      <c r="C189" s="817">
        <f t="shared" ref="C189:M189" si="64">+C35</f>
        <v>0</v>
      </c>
      <c r="D189" s="817">
        <f t="shared" si="64"/>
        <v>0</v>
      </c>
      <c r="E189" s="817">
        <f t="shared" si="64"/>
        <v>0</v>
      </c>
      <c r="F189" s="817">
        <f t="shared" si="64"/>
        <v>0</v>
      </c>
      <c r="G189" s="817">
        <f t="shared" si="64"/>
        <v>50000</v>
      </c>
      <c r="H189" s="817">
        <f t="shared" si="64"/>
        <v>0</v>
      </c>
      <c r="I189" s="817">
        <f t="shared" si="64"/>
        <v>0</v>
      </c>
      <c r="J189" s="817">
        <f t="shared" si="64"/>
        <v>0</v>
      </c>
      <c r="K189" s="817">
        <f t="shared" si="64"/>
        <v>0</v>
      </c>
      <c r="L189" s="817">
        <f t="shared" si="64"/>
        <v>50000</v>
      </c>
      <c r="M189" s="817">
        <f t="shared" si="64"/>
        <v>0</v>
      </c>
      <c r="N189" s="773">
        <f t="shared" si="61"/>
        <v>100000</v>
      </c>
      <c r="O189" s="760"/>
    </row>
    <row r="190" spans="1:15">
      <c r="A190" s="769" t="s">
        <v>94</v>
      </c>
      <c r="B190" s="770">
        <f>+B42</f>
        <v>0</v>
      </c>
      <c r="C190" s="770">
        <f t="shared" ref="C190:M190" si="65">+C42</f>
        <v>0</v>
      </c>
      <c r="D190" s="770">
        <f t="shared" si="65"/>
        <v>0</v>
      </c>
      <c r="E190" s="770">
        <f t="shared" si="65"/>
        <v>0</v>
      </c>
      <c r="F190" s="770">
        <f t="shared" si="65"/>
        <v>0</v>
      </c>
      <c r="G190" s="770">
        <f t="shared" si="65"/>
        <v>0</v>
      </c>
      <c r="H190" s="770">
        <f t="shared" si="65"/>
        <v>20000</v>
      </c>
      <c r="I190" s="770">
        <f t="shared" si="65"/>
        <v>0</v>
      </c>
      <c r="J190" s="770">
        <f t="shared" si="65"/>
        <v>0</v>
      </c>
      <c r="K190" s="770">
        <f t="shared" si="65"/>
        <v>0</v>
      </c>
      <c r="L190" s="770">
        <f t="shared" si="65"/>
        <v>0</v>
      </c>
      <c r="M190" s="770">
        <f t="shared" si="65"/>
        <v>0</v>
      </c>
      <c r="N190" s="773">
        <f t="shared" si="61"/>
        <v>20000</v>
      </c>
      <c r="O190" s="760"/>
    </row>
    <row r="191" spans="1:15">
      <c r="A191" s="769" t="s">
        <v>95</v>
      </c>
      <c r="B191" s="770">
        <f>+B49</f>
        <v>0</v>
      </c>
      <c r="C191" s="770">
        <f t="shared" ref="C191:M191" si="66">+C49</f>
        <v>0</v>
      </c>
      <c r="D191" s="770">
        <f t="shared" si="66"/>
        <v>0</v>
      </c>
      <c r="E191" s="770">
        <f t="shared" si="66"/>
        <v>50000</v>
      </c>
      <c r="F191" s="770">
        <f t="shared" si="66"/>
        <v>0</v>
      </c>
      <c r="G191" s="770">
        <f t="shared" si="66"/>
        <v>0</v>
      </c>
      <c r="H191" s="770">
        <f t="shared" si="66"/>
        <v>50000</v>
      </c>
      <c r="I191" s="770">
        <f t="shared" si="66"/>
        <v>0</v>
      </c>
      <c r="J191" s="770">
        <f t="shared" si="66"/>
        <v>0</v>
      </c>
      <c r="K191" s="770">
        <f t="shared" si="66"/>
        <v>0</v>
      </c>
      <c r="L191" s="770">
        <f t="shared" si="66"/>
        <v>0</v>
      </c>
      <c r="M191" s="770">
        <f t="shared" si="66"/>
        <v>50000</v>
      </c>
      <c r="N191" s="773">
        <f t="shared" si="61"/>
        <v>150000</v>
      </c>
      <c r="O191" s="760"/>
    </row>
    <row r="192" spans="1:15">
      <c r="A192" s="769" t="s">
        <v>96</v>
      </c>
      <c r="B192" s="770">
        <f>+B56</f>
        <v>0</v>
      </c>
      <c r="C192" s="770">
        <f t="shared" ref="C192:M192" si="67">+C56</f>
        <v>0</v>
      </c>
      <c r="D192" s="770">
        <f t="shared" si="67"/>
        <v>0</v>
      </c>
      <c r="E192" s="770">
        <f t="shared" si="67"/>
        <v>30000</v>
      </c>
      <c r="F192" s="770">
        <f t="shared" si="67"/>
        <v>0</v>
      </c>
      <c r="G192" s="770">
        <f t="shared" si="67"/>
        <v>0</v>
      </c>
      <c r="H192" s="770">
        <f t="shared" si="67"/>
        <v>30000</v>
      </c>
      <c r="I192" s="770">
        <f t="shared" si="67"/>
        <v>0</v>
      </c>
      <c r="J192" s="770">
        <f t="shared" si="67"/>
        <v>0</v>
      </c>
      <c r="K192" s="770">
        <f t="shared" si="67"/>
        <v>30000</v>
      </c>
      <c r="L192" s="770">
        <f t="shared" si="67"/>
        <v>0</v>
      </c>
      <c r="M192" s="770">
        <f t="shared" si="67"/>
        <v>0</v>
      </c>
      <c r="N192" s="773">
        <f t="shared" si="61"/>
        <v>90000</v>
      </c>
      <c r="O192" s="760"/>
    </row>
    <row r="193" spans="1:15">
      <c r="A193" s="769" t="s">
        <v>97</v>
      </c>
      <c r="B193" s="817">
        <f>+B63</f>
        <v>0</v>
      </c>
      <c r="C193" s="817">
        <f t="shared" ref="C193:M193" si="68">+C63</f>
        <v>0</v>
      </c>
      <c r="D193" s="817">
        <f t="shared" si="68"/>
        <v>0</v>
      </c>
      <c r="E193" s="817">
        <f t="shared" si="68"/>
        <v>0</v>
      </c>
      <c r="F193" s="817">
        <f t="shared" si="68"/>
        <v>0</v>
      </c>
      <c r="G193" s="817">
        <f t="shared" si="68"/>
        <v>0</v>
      </c>
      <c r="H193" s="817">
        <f t="shared" si="68"/>
        <v>0</v>
      </c>
      <c r="I193" s="817">
        <f t="shared" si="68"/>
        <v>0</v>
      </c>
      <c r="J193" s="817">
        <f t="shared" si="68"/>
        <v>0</v>
      </c>
      <c r="K193" s="817">
        <f t="shared" si="68"/>
        <v>0</v>
      </c>
      <c r="L193" s="817">
        <f t="shared" si="68"/>
        <v>0</v>
      </c>
      <c r="M193" s="817">
        <f t="shared" si="68"/>
        <v>0</v>
      </c>
      <c r="N193" s="773">
        <f t="shared" si="61"/>
        <v>0</v>
      </c>
      <c r="O193" s="760"/>
    </row>
    <row r="194" spans="1:15">
      <c r="A194" s="769" t="s">
        <v>98</v>
      </c>
      <c r="B194" s="770">
        <f>+B70</f>
        <v>0</v>
      </c>
      <c r="C194" s="770">
        <f t="shared" ref="C194:M194" si="69">+C70</f>
        <v>0</v>
      </c>
      <c r="D194" s="770">
        <f t="shared" si="69"/>
        <v>0</v>
      </c>
      <c r="E194" s="770">
        <f t="shared" si="69"/>
        <v>125000</v>
      </c>
      <c r="F194" s="770">
        <f t="shared" si="69"/>
        <v>0</v>
      </c>
      <c r="G194" s="770">
        <f t="shared" si="69"/>
        <v>0</v>
      </c>
      <c r="H194" s="770">
        <f t="shared" si="69"/>
        <v>0</v>
      </c>
      <c r="I194" s="770">
        <f t="shared" si="69"/>
        <v>0</v>
      </c>
      <c r="J194" s="770">
        <f t="shared" si="69"/>
        <v>0</v>
      </c>
      <c r="K194" s="770">
        <f t="shared" si="69"/>
        <v>125000</v>
      </c>
      <c r="L194" s="770">
        <f t="shared" si="69"/>
        <v>0</v>
      </c>
      <c r="M194" s="770">
        <f t="shared" si="69"/>
        <v>0</v>
      </c>
      <c r="N194" s="773">
        <f t="shared" si="61"/>
        <v>250000</v>
      </c>
      <c r="O194" s="760"/>
    </row>
    <row r="195" spans="1:15">
      <c r="A195" s="769" t="s">
        <v>99</v>
      </c>
      <c r="B195" s="770">
        <f>+B77</f>
        <v>0</v>
      </c>
      <c r="C195" s="770">
        <f t="shared" ref="C195:M195" si="70">+C77</f>
        <v>0</v>
      </c>
      <c r="D195" s="770">
        <f t="shared" si="70"/>
        <v>50000</v>
      </c>
      <c r="E195" s="770">
        <f t="shared" si="70"/>
        <v>0</v>
      </c>
      <c r="F195" s="770">
        <f t="shared" si="70"/>
        <v>0</v>
      </c>
      <c r="G195" s="770">
        <f t="shared" si="70"/>
        <v>0</v>
      </c>
      <c r="H195" s="770">
        <f t="shared" si="70"/>
        <v>50000</v>
      </c>
      <c r="I195" s="770">
        <f t="shared" si="70"/>
        <v>0</v>
      </c>
      <c r="J195" s="770">
        <f t="shared" si="70"/>
        <v>0</v>
      </c>
      <c r="K195" s="770">
        <f t="shared" si="70"/>
        <v>50000</v>
      </c>
      <c r="L195" s="770">
        <f t="shared" si="70"/>
        <v>0</v>
      </c>
      <c r="M195" s="770">
        <f t="shared" si="70"/>
        <v>50000</v>
      </c>
      <c r="N195" s="773">
        <f t="shared" si="61"/>
        <v>200000</v>
      </c>
      <c r="O195" s="760"/>
    </row>
    <row r="196" spans="1:15">
      <c r="A196" s="769" t="s">
        <v>100</v>
      </c>
      <c r="B196" s="770">
        <f>+B84</f>
        <v>0</v>
      </c>
      <c r="C196" s="770">
        <f t="shared" ref="C196:M196" si="71">+C84</f>
        <v>0</v>
      </c>
      <c r="D196" s="770">
        <f t="shared" si="71"/>
        <v>0</v>
      </c>
      <c r="E196" s="770">
        <f t="shared" si="71"/>
        <v>0</v>
      </c>
      <c r="F196" s="770">
        <f t="shared" si="71"/>
        <v>10000</v>
      </c>
      <c r="G196" s="770">
        <f t="shared" si="71"/>
        <v>0</v>
      </c>
      <c r="H196" s="770">
        <f t="shared" si="71"/>
        <v>0</v>
      </c>
      <c r="I196" s="770">
        <f t="shared" si="71"/>
        <v>0</v>
      </c>
      <c r="J196" s="770">
        <f t="shared" si="71"/>
        <v>10000</v>
      </c>
      <c r="K196" s="770">
        <f t="shared" si="71"/>
        <v>0</v>
      </c>
      <c r="L196" s="770">
        <f t="shared" si="71"/>
        <v>0</v>
      </c>
      <c r="M196" s="770">
        <f t="shared" si="71"/>
        <v>0</v>
      </c>
      <c r="N196" s="773">
        <f t="shared" si="61"/>
        <v>20000</v>
      </c>
      <c r="O196" s="760"/>
    </row>
    <row r="197" spans="1:15">
      <c r="A197" s="769" t="s">
        <v>101</v>
      </c>
      <c r="B197" s="817">
        <f>+B91</f>
        <v>0</v>
      </c>
      <c r="C197" s="817">
        <f t="shared" ref="C197:M197" si="72">+C91</f>
        <v>0</v>
      </c>
      <c r="D197" s="817">
        <f t="shared" si="72"/>
        <v>10000</v>
      </c>
      <c r="E197" s="817">
        <f t="shared" si="72"/>
        <v>0</v>
      </c>
      <c r="F197" s="817">
        <f t="shared" si="72"/>
        <v>0</v>
      </c>
      <c r="G197" s="817">
        <f t="shared" si="72"/>
        <v>0</v>
      </c>
      <c r="H197" s="817">
        <f t="shared" si="72"/>
        <v>10000</v>
      </c>
      <c r="I197" s="817">
        <f t="shared" si="72"/>
        <v>0</v>
      </c>
      <c r="J197" s="817">
        <f t="shared" si="72"/>
        <v>0</v>
      </c>
      <c r="K197" s="817">
        <f t="shared" si="72"/>
        <v>0</v>
      </c>
      <c r="L197" s="817">
        <f t="shared" si="72"/>
        <v>10000</v>
      </c>
      <c r="M197" s="817">
        <f t="shared" si="72"/>
        <v>0</v>
      </c>
      <c r="N197" s="773">
        <f t="shared" si="61"/>
        <v>30000</v>
      </c>
      <c r="O197" s="760"/>
    </row>
    <row r="198" spans="1:15">
      <c r="A198" s="769" t="s">
        <v>102</v>
      </c>
      <c r="B198" s="770">
        <f>+B98</f>
        <v>0</v>
      </c>
      <c r="C198" s="770">
        <f t="shared" ref="C198:M198" si="73">+C98</f>
        <v>0</v>
      </c>
      <c r="D198" s="770">
        <f t="shared" si="73"/>
        <v>0</v>
      </c>
      <c r="E198" s="770">
        <f t="shared" si="73"/>
        <v>0</v>
      </c>
      <c r="F198" s="770">
        <f t="shared" si="73"/>
        <v>0</v>
      </c>
      <c r="G198" s="770">
        <f t="shared" si="73"/>
        <v>30000</v>
      </c>
      <c r="H198" s="770">
        <f t="shared" si="73"/>
        <v>0</v>
      </c>
      <c r="I198" s="770">
        <f t="shared" si="73"/>
        <v>30000</v>
      </c>
      <c r="J198" s="770">
        <f t="shared" si="73"/>
        <v>0</v>
      </c>
      <c r="K198" s="770">
        <f t="shared" si="73"/>
        <v>0</v>
      </c>
      <c r="L198" s="770">
        <f t="shared" si="73"/>
        <v>0</v>
      </c>
      <c r="M198" s="770">
        <f t="shared" si="73"/>
        <v>0</v>
      </c>
      <c r="N198" s="773">
        <f t="shared" si="61"/>
        <v>60000</v>
      </c>
      <c r="O198" s="760"/>
    </row>
    <row r="199" spans="1:15">
      <c r="A199" s="769" t="s">
        <v>103</v>
      </c>
      <c r="B199" s="770">
        <f>+B105</f>
        <v>0</v>
      </c>
      <c r="C199" s="770">
        <f t="shared" ref="C199:M199" si="74">+C105</f>
        <v>0</v>
      </c>
      <c r="D199" s="770">
        <f t="shared" si="74"/>
        <v>0</v>
      </c>
      <c r="E199" s="770">
        <f t="shared" si="74"/>
        <v>0</v>
      </c>
      <c r="F199" s="770">
        <f t="shared" si="74"/>
        <v>30000</v>
      </c>
      <c r="G199" s="770">
        <f t="shared" si="74"/>
        <v>0</v>
      </c>
      <c r="H199" s="770">
        <f t="shared" si="74"/>
        <v>0</v>
      </c>
      <c r="I199" s="770">
        <f t="shared" si="74"/>
        <v>0</v>
      </c>
      <c r="J199" s="770">
        <f t="shared" si="74"/>
        <v>0</v>
      </c>
      <c r="K199" s="770">
        <f t="shared" si="74"/>
        <v>0</v>
      </c>
      <c r="L199" s="770">
        <f t="shared" si="74"/>
        <v>0</v>
      </c>
      <c r="M199" s="770">
        <f t="shared" si="74"/>
        <v>0</v>
      </c>
      <c r="N199" s="773">
        <f t="shared" si="61"/>
        <v>30000</v>
      </c>
      <c r="O199" s="760"/>
    </row>
    <row r="200" spans="1:15" ht="18.600000000000001" thickBot="1">
      <c r="A200" s="804" t="s">
        <v>104</v>
      </c>
      <c r="B200" s="770">
        <f>+B112</f>
        <v>0</v>
      </c>
      <c r="C200" s="770">
        <f t="shared" ref="C200:M200" si="75">+C112</f>
        <v>0</v>
      </c>
      <c r="D200" s="770">
        <f t="shared" si="75"/>
        <v>50000</v>
      </c>
      <c r="E200" s="770">
        <f t="shared" si="75"/>
        <v>0</v>
      </c>
      <c r="F200" s="770">
        <f t="shared" si="75"/>
        <v>50000</v>
      </c>
      <c r="G200" s="770">
        <f t="shared" si="75"/>
        <v>0</v>
      </c>
      <c r="H200" s="770">
        <f t="shared" si="75"/>
        <v>0</v>
      </c>
      <c r="I200" s="770">
        <f t="shared" si="75"/>
        <v>50000</v>
      </c>
      <c r="J200" s="770">
        <f t="shared" si="75"/>
        <v>0</v>
      </c>
      <c r="K200" s="770">
        <f t="shared" si="75"/>
        <v>0</v>
      </c>
      <c r="L200" s="770">
        <f t="shared" si="75"/>
        <v>0</v>
      </c>
      <c r="M200" s="770">
        <f t="shared" si="75"/>
        <v>0</v>
      </c>
      <c r="N200" s="808">
        <f t="shared" si="61"/>
        <v>150000</v>
      </c>
      <c r="O200" s="760"/>
    </row>
    <row r="201" spans="1:15" ht="18.600000000000001" thickBot="1">
      <c r="A201" s="755" t="s">
        <v>37</v>
      </c>
      <c r="B201" s="756">
        <f>SUM(B185:B200)</f>
        <v>0</v>
      </c>
      <c r="C201" s="757">
        <f>SUM(C185:C200)</f>
        <v>50000</v>
      </c>
      <c r="D201" s="757">
        <f t="shared" ref="D201:E201" si="76">SUM(D185:D200)</f>
        <v>110000</v>
      </c>
      <c r="E201" s="757">
        <f t="shared" si="76"/>
        <v>205000</v>
      </c>
      <c r="F201" s="757">
        <f>SUM(F185:F200)</f>
        <v>190000</v>
      </c>
      <c r="G201" s="757">
        <f t="shared" ref="G201:M201" si="77">SUM(G185:G200)</f>
        <v>130000</v>
      </c>
      <c r="H201" s="757">
        <f t="shared" si="77"/>
        <v>160000</v>
      </c>
      <c r="I201" s="757">
        <f t="shared" si="77"/>
        <v>80000</v>
      </c>
      <c r="J201" s="757">
        <f t="shared" si="77"/>
        <v>60000</v>
      </c>
      <c r="K201" s="757">
        <f t="shared" si="77"/>
        <v>255000</v>
      </c>
      <c r="L201" s="757">
        <f t="shared" si="77"/>
        <v>110000</v>
      </c>
      <c r="M201" s="758">
        <f t="shared" si="77"/>
        <v>150000</v>
      </c>
      <c r="N201" s="759">
        <f>SUM(N185:N200)</f>
        <v>1500000</v>
      </c>
      <c r="O201" s="760"/>
    </row>
    <row r="204" spans="1:15">
      <c r="N204" s="838"/>
    </row>
    <row r="207" spans="1:15" ht="18.600000000000001" thickBot="1"/>
    <row r="208" spans="1:15" ht="32.25" customHeight="1" thickBot="1">
      <c r="A208" s="762"/>
      <c r="B208" s="2350" t="s">
        <v>288</v>
      </c>
      <c r="C208" s="2351"/>
      <c r="D208" s="2351"/>
      <c r="E208" s="2351"/>
      <c r="F208" s="2351"/>
      <c r="G208" s="2351"/>
      <c r="H208" s="2351"/>
      <c r="I208" s="2351"/>
      <c r="J208" s="2351"/>
      <c r="K208" s="2351"/>
      <c r="L208" s="2351"/>
      <c r="M208" s="2351"/>
      <c r="N208" s="2349"/>
    </row>
    <row r="209" spans="1:15" ht="32.25" customHeight="1" thickBot="1">
      <c r="A209" s="784" t="s">
        <v>270</v>
      </c>
      <c r="B209" s="824" t="s">
        <v>1</v>
      </c>
      <c r="C209" s="825" t="s">
        <v>2</v>
      </c>
      <c r="D209" s="825" t="s">
        <v>3</v>
      </c>
      <c r="E209" s="825" t="s">
        <v>4</v>
      </c>
      <c r="F209" s="825" t="s">
        <v>5</v>
      </c>
      <c r="G209" s="825" t="s">
        <v>6</v>
      </c>
      <c r="H209" s="825" t="s">
        <v>7</v>
      </c>
      <c r="I209" s="825" t="s">
        <v>8</v>
      </c>
      <c r="J209" s="825" t="s">
        <v>9</v>
      </c>
      <c r="K209" s="825" t="s">
        <v>10</v>
      </c>
      <c r="L209" s="825" t="s">
        <v>11</v>
      </c>
      <c r="M209" s="827" t="s">
        <v>12</v>
      </c>
      <c r="N209" s="821" t="s">
        <v>13</v>
      </c>
    </row>
    <row r="210" spans="1:15">
      <c r="A210" s="769" t="s">
        <v>89</v>
      </c>
      <c r="B210" s="817"/>
      <c r="C210" s="818"/>
      <c r="D210" s="818"/>
      <c r="E210" s="818">
        <v>75</v>
      </c>
      <c r="F210" s="818">
        <v>75</v>
      </c>
      <c r="G210" s="818">
        <v>75</v>
      </c>
      <c r="H210" s="818">
        <v>150</v>
      </c>
      <c r="I210" s="818">
        <v>150</v>
      </c>
      <c r="J210" s="818">
        <v>150</v>
      </c>
      <c r="K210" s="818">
        <v>150</v>
      </c>
      <c r="L210" s="818">
        <v>150</v>
      </c>
      <c r="M210" s="819">
        <v>150</v>
      </c>
      <c r="N210" s="820">
        <f>SUM(B210:M210)</f>
        <v>1125</v>
      </c>
      <c r="O210" s="760"/>
    </row>
    <row r="211" spans="1:15">
      <c r="A211" s="769" t="s">
        <v>90</v>
      </c>
      <c r="B211" s="770"/>
      <c r="C211" s="771"/>
      <c r="D211" s="771"/>
      <c r="E211" s="771"/>
      <c r="F211" s="771">
        <v>200</v>
      </c>
      <c r="G211" s="771">
        <v>200</v>
      </c>
      <c r="H211" s="771">
        <v>200</v>
      </c>
      <c r="I211" s="771">
        <v>200</v>
      </c>
      <c r="J211" s="771">
        <v>200</v>
      </c>
      <c r="K211" s="771">
        <v>400</v>
      </c>
      <c r="L211" s="771">
        <v>400</v>
      </c>
      <c r="M211" s="772">
        <v>400</v>
      </c>
      <c r="N211" s="773">
        <f t="shared" ref="N211:N225" si="78">SUM(B211:M211)</f>
        <v>2200</v>
      </c>
      <c r="O211" s="760"/>
    </row>
    <row r="212" spans="1:15">
      <c r="A212" s="769" t="s">
        <v>91</v>
      </c>
      <c r="B212" s="770"/>
      <c r="C212" s="771"/>
      <c r="D212" s="771"/>
      <c r="E212" s="771"/>
      <c r="F212" s="771"/>
      <c r="G212" s="771">
        <v>100</v>
      </c>
      <c r="H212" s="771">
        <v>100</v>
      </c>
      <c r="I212" s="771">
        <v>100</v>
      </c>
      <c r="J212" s="771">
        <v>100</v>
      </c>
      <c r="K212" s="771">
        <v>100</v>
      </c>
      <c r="L212" s="771">
        <v>200</v>
      </c>
      <c r="M212" s="772">
        <v>200</v>
      </c>
      <c r="N212" s="773">
        <f t="shared" si="78"/>
        <v>900</v>
      </c>
      <c r="O212" s="760"/>
    </row>
    <row r="213" spans="1:15">
      <c r="A213" s="769" t="s">
        <v>92</v>
      </c>
      <c r="B213" s="770"/>
      <c r="C213" s="771">
        <v>50</v>
      </c>
      <c r="D213" s="771">
        <v>50</v>
      </c>
      <c r="E213" s="771">
        <v>50</v>
      </c>
      <c r="F213" s="771">
        <v>100</v>
      </c>
      <c r="G213" s="771">
        <v>100</v>
      </c>
      <c r="H213" s="771">
        <v>100</v>
      </c>
      <c r="I213" s="771">
        <v>100</v>
      </c>
      <c r="J213" s="771">
        <v>150</v>
      </c>
      <c r="K213" s="771">
        <v>150</v>
      </c>
      <c r="L213" s="771">
        <v>150</v>
      </c>
      <c r="M213" s="772">
        <v>200</v>
      </c>
      <c r="N213" s="773">
        <f t="shared" si="78"/>
        <v>1200</v>
      </c>
      <c r="O213" s="760"/>
    </row>
    <row r="214" spans="1:15">
      <c r="A214" s="769" t="s">
        <v>93</v>
      </c>
      <c r="B214" s="770"/>
      <c r="C214" s="771"/>
      <c r="D214" s="771"/>
      <c r="E214" s="771"/>
      <c r="F214" s="771"/>
      <c r="G214" s="771">
        <v>50</v>
      </c>
      <c r="H214" s="771">
        <v>50</v>
      </c>
      <c r="I214" s="771">
        <v>50</v>
      </c>
      <c r="J214" s="771">
        <v>50</v>
      </c>
      <c r="K214" s="771">
        <v>50</v>
      </c>
      <c r="L214" s="771">
        <v>50</v>
      </c>
      <c r="M214" s="772">
        <v>50</v>
      </c>
      <c r="N214" s="773">
        <f t="shared" si="78"/>
        <v>350</v>
      </c>
      <c r="O214" s="760"/>
    </row>
    <row r="215" spans="1:15">
      <c r="A215" s="769" t="s">
        <v>94</v>
      </c>
      <c r="B215" s="770"/>
      <c r="C215" s="771"/>
      <c r="D215" s="771"/>
      <c r="E215" s="771"/>
      <c r="F215" s="771"/>
      <c r="G215" s="771"/>
      <c r="H215" s="771">
        <v>50</v>
      </c>
      <c r="I215" s="771">
        <v>50</v>
      </c>
      <c r="J215" s="771">
        <v>50</v>
      </c>
      <c r="K215" s="771">
        <v>50</v>
      </c>
      <c r="L215" s="771">
        <v>50</v>
      </c>
      <c r="M215" s="772">
        <v>50</v>
      </c>
      <c r="N215" s="773">
        <f t="shared" si="78"/>
        <v>300</v>
      </c>
      <c r="O215" s="760"/>
    </row>
    <row r="216" spans="1:15">
      <c r="A216" s="769" t="s">
        <v>95</v>
      </c>
      <c r="B216" s="770"/>
      <c r="C216" s="771"/>
      <c r="D216" s="771"/>
      <c r="E216" s="771">
        <v>50</v>
      </c>
      <c r="F216" s="771">
        <v>50</v>
      </c>
      <c r="G216" s="771">
        <v>50</v>
      </c>
      <c r="H216" s="771">
        <v>100</v>
      </c>
      <c r="I216" s="771">
        <v>100</v>
      </c>
      <c r="J216" s="771">
        <v>100</v>
      </c>
      <c r="K216" s="771">
        <v>100</v>
      </c>
      <c r="L216" s="771">
        <v>100</v>
      </c>
      <c r="M216" s="772">
        <v>150</v>
      </c>
      <c r="N216" s="773">
        <f t="shared" si="78"/>
        <v>800</v>
      </c>
      <c r="O216" s="760"/>
    </row>
    <row r="217" spans="1:15">
      <c r="A217" s="769" t="s">
        <v>96</v>
      </c>
      <c r="B217" s="770"/>
      <c r="C217" s="771"/>
      <c r="D217" s="771"/>
      <c r="E217" s="771">
        <v>50</v>
      </c>
      <c r="F217" s="771">
        <v>50</v>
      </c>
      <c r="G217" s="771">
        <v>50</v>
      </c>
      <c r="H217" s="771">
        <v>100</v>
      </c>
      <c r="I217" s="771">
        <v>100</v>
      </c>
      <c r="J217" s="771">
        <v>100</v>
      </c>
      <c r="K217" s="771">
        <v>150</v>
      </c>
      <c r="L217" s="771">
        <v>150</v>
      </c>
      <c r="M217" s="772">
        <v>150</v>
      </c>
      <c r="N217" s="773">
        <f t="shared" si="78"/>
        <v>900</v>
      </c>
      <c r="O217" s="760"/>
    </row>
    <row r="218" spans="1:15">
      <c r="A218" s="769" t="s">
        <v>97</v>
      </c>
      <c r="B218" s="770"/>
      <c r="C218" s="771">
        <v>50</v>
      </c>
      <c r="D218" s="771">
        <v>50</v>
      </c>
      <c r="E218" s="771">
        <v>50</v>
      </c>
      <c r="F218" s="771">
        <v>50</v>
      </c>
      <c r="G218" s="771">
        <v>100</v>
      </c>
      <c r="H218" s="771">
        <v>100</v>
      </c>
      <c r="I218" s="771">
        <v>100</v>
      </c>
      <c r="J218" s="771">
        <v>100</v>
      </c>
      <c r="K218" s="771">
        <v>150</v>
      </c>
      <c r="L218" s="771">
        <v>150</v>
      </c>
      <c r="M218" s="772">
        <v>150</v>
      </c>
      <c r="N218" s="773">
        <f t="shared" si="78"/>
        <v>1050</v>
      </c>
      <c r="O218" s="760"/>
    </row>
    <row r="219" spans="1:15">
      <c r="A219" s="769" t="s">
        <v>98</v>
      </c>
      <c r="B219" s="770"/>
      <c r="C219" s="771"/>
      <c r="D219" s="771"/>
      <c r="E219" s="771">
        <v>200</v>
      </c>
      <c r="F219" s="771">
        <v>200</v>
      </c>
      <c r="G219" s="771">
        <v>200</v>
      </c>
      <c r="H219" s="771">
        <v>200</v>
      </c>
      <c r="I219" s="771">
        <v>200</v>
      </c>
      <c r="J219" s="771">
        <v>200</v>
      </c>
      <c r="K219" s="771">
        <v>400</v>
      </c>
      <c r="L219" s="771">
        <v>400</v>
      </c>
      <c r="M219" s="772">
        <v>400</v>
      </c>
      <c r="N219" s="773">
        <f t="shared" si="78"/>
        <v>2400</v>
      </c>
      <c r="O219" s="760"/>
    </row>
    <row r="220" spans="1:15">
      <c r="A220" s="769" t="s">
        <v>99</v>
      </c>
      <c r="B220" s="770"/>
      <c r="C220" s="771"/>
      <c r="D220" s="771">
        <v>100</v>
      </c>
      <c r="E220" s="771">
        <v>100</v>
      </c>
      <c r="F220" s="771">
        <v>100</v>
      </c>
      <c r="G220" s="771">
        <v>100</v>
      </c>
      <c r="H220" s="771">
        <v>200</v>
      </c>
      <c r="I220" s="771">
        <v>200</v>
      </c>
      <c r="J220" s="771">
        <v>200</v>
      </c>
      <c r="K220" s="771">
        <v>300</v>
      </c>
      <c r="L220" s="771">
        <v>300</v>
      </c>
      <c r="M220" s="772">
        <v>400</v>
      </c>
      <c r="N220" s="773">
        <f t="shared" si="78"/>
        <v>2000</v>
      </c>
      <c r="O220" s="760"/>
    </row>
    <row r="221" spans="1:15">
      <c r="A221" s="769" t="s">
        <v>100</v>
      </c>
      <c r="B221" s="770"/>
      <c r="C221" s="771"/>
      <c r="D221" s="771"/>
      <c r="E221" s="771"/>
      <c r="F221" s="771">
        <v>100</v>
      </c>
      <c r="G221" s="771">
        <v>100</v>
      </c>
      <c r="H221" s="771">
        <v>100</v>
      </c>
      <c r="I221" s="771">
        <v>100</v>
      </c>
      <c r="J221" s="771">
        <v>200</v>
      </c>
      <c r="K221" s="771">
        <v>200</v>
      </c>
      <c r="L221" s="771">
        <v>200</v>
      </c>
      <c r="M221" s="772">
        <v>200</v>
      </c>
      <c r="N221" s="773">
        <f t="shared" si="78"/>
        <v>1200</v>
      </c>
      <c r="O221" s="760"/>
    </row>
    <row r="222" spans="1:15">
      <c r="A222" s="769" t="s">
        <v>101</v>
      </c>
      <c r="B222" s="770"/>
      <c r="C222" s="771"/>
      <c r="D222" s="771">
        <v>75</v>
      </c>
      <c r="E222" s="771">
        <v>75</v>
      </c>
      <c r="F222" s="771">
        <v>75</v>
      </c>
      <c r="G222" s="771">
        <v>75</v>
      </c>
      <c r="H222" s="771">
        <v>150</v>
      </c>
      <c r="I222" s="771">
        <v>150</v>
      </c>
      <c r="J222" s="771">
        <v>150</v>
      </c>
      <c r="K222" s="771">
        <v>150</v>
      </c>
      <c r="L222" s="771">
        <v>225</v>
      </c>
      <c r="M222" s="772">
        <v>225</v>
      </c>
      <c r="N222" s="773">
        <f t="shared" si="78"/>
        <v>1350</v>
      </c>
      <c r="O222" s="760"/>
    </row>
    <row r="223" spans="1:15">
      <c r="A223" s="769" t="s">
        <v>102</v>
      </c>
      <c r="B223" s="770"/>
      <c r="C223" s="771"/>
      <c r="D223" s="771"/>
      <c r="E223" s="771"/>
      <c r="F223" s="771"/>
      <c r="G223" s="771">
        <v>75</v>
      </c>
      <c r="H223" s="771">
        <v>75</v>
      </c>
      <c r="I223" s="771">
        <v>150</v>
      </c>
      <c r="J223" s="771">
        <v>150</v>
      </c>
      <c r="K223" s="771">
        <v>150</v>
      </c>
      <c r="L223" s="771">
        <v>150</v>
      </c>
      <c r="M223" s="772">
        <v>150</v>
      </c>
      <c r="N223" s="773">
        <f t="shared" si="78"/>
        <v>900</v>
      </c>
      <c r="O223" s="760"/>
    </row>
    <row r="224" spans="1:15">
      <c r="A224" s="769" t="s">
        <v>103</v>
      </c>
      <c r="B224" s="770"/>
      <c r="C224" s="771"/>
      <c r="D224" s="771"/>
      <c r="E224" s="771"/>
      <c r="F224" s="771">
        <v>50</v>
      </c>
      <c r="G224" s="771">
        <v>50</v>
      </c>
      <c r="H224" s="771">
        <v>50</v>
      </c>
      <c r="I224" s="771">
        <v>50</v>
      </c>
      <c r="J224" s="771">
        <v>50</v>
      </c>
      <c r="K224" s="771">
        <v>75</v>
      </c>
      <c r="L224" s="771">
        <v>75</v>
      </c>
      <c r="M224" s="772">
        <v>75</v>
      </c>
      <c r="N224" s="773">
        <f t="shared" si="78"/>
        <v>475</v>
      </c>
      <c r="O224" s="760"/>
    </row>
    <row r="225" spans="1:15">
      <c r="A225" s="769" t="s">
        <v>104</v>
      </c>
      <c r="B225" s="770"/>
      <c r="C225" s="771"/>
      <c r="D225" s="771">
        <v>50</v>
      </c>
      <c r="E225" s="771">
        <v>50</v>
      </c>
      <c r="F225" s="771">
        <v>100</v>
      </c>
      <c r="G225" s="771">
        <v>100</v>
      </c>
      <c r="H225" s="771">
        <v>100</v>
      </c>
      <c r="I225" s="771">
        <v>150</v>
      </c>
      <c r="J225" s="771">
        <v>150</v>
      </c>
      <c r="K225" s="771">
        <v>150</v>
      </c>
      <c r="L225" s="771">
        <v>150</v>
      </c>
      <c r="M225" s="772">
        <v>150</v>
      </c>
      <c r="N225" s="773">
        <f t="shared" si="78"/>
        <v>1150</v>
      </c>
      <c r="O225" s="760"/>
    </row>
    <row r="226" spans="1:15" s="803" customFormat="1">
      <c r="A226" s="809" t="s">
        <v>37</v>
      </c>
      <c r="B226" s="810">
        <f>SUM(B210:B225)</f>
        <v>0</v>
      </c>
      <c r="C226" s="811">
        <f>SUM(C210:C225)</f>
        <v>100</v>
      </c>
      <c r="D226" s="811">
        <f t="shared" ref="D226:N226" si="79">SUM(D210:D225)</f>
        <v>325</v>
      </c>
      <c r="E226" s="811">
        <f t="shared" si="79"/>
        <v>700</v>
      </c>
      <c r="F226" s="811">
        <f t="shared" si="79"/>
        <v>1150</v>
      </c>
      <c r="G226" s="811">
        <f t="shared" si="79"/>
        <v>1425</v>
      </c>
      <c r="H226" s="811">
        <f t="shared" si="79"/>
        <v>1825</v>
      </c>
      <c r="I226" s="811">
        <f t="shared" si="79"/>
        <v>1950</v>
      </c>
      <c r="J226" s="811">
        <f t="shared" si="79"/>
        <v>2100</v>
      </c>
      <c r="K226" s="811">
        <f t="shared" si="79"/>
        <v>2725</v>
      </c>
      <c r="L226" s="811">
        <f t="shared" si="79"/>
        <v>2900</v>
      </c>
      <c r="M226" s="265">
        <f t="shared" si="79"/>
        <v>3100</v>
      </c>
      <c r="N226" s="812">
        <f t="shared" si="79"/>
        <v>18300</v>
      </c>
      <c r="O226" s="802"/>
    </row>
    <row r="227" spans="1:15" s="803" customFormat="1" ht="18.600000000000001" thickBot="1">
      <c r="A227" s="828" t="s">
        <v>271</v>
      </c>
      <c r="B227" s="829">
        <f>B226</f>
        <v>0</v>
      </c>
      <c r="C227" s="830">
        <f>B227+C226</f>
        <v>100</v>
      </c>
      <c r="D227" s="830">
        <f>C227+D226</f>
        <v>425</v>
      </c>
      <c r="E227" s="830">
        <f>D227+E226</f>
        <v>1125</v>
      </c>
      <c r="F227" s="830">
        <f t="shared" ref="F227:M227" si="80">E227+F226</f>
        <v>2275</v>
      </c>
      <c r="G227" s="830">
        <f t="shared" si="80"/>
        <v>3700</v>
      </c>
      <c r="H227" s="830">
        <f t="shared" si="80"/>
        <v>5525</v>
      </c>
      <c r="I227" s="830">
        <f t="shared" si="80"/>
        <v>7475</v>
      </c>
      <c r="J227" s="830">
        <f t="shared" si="80"/>
        <v>9575</v>
      </c>
      <c r="K227" s="830">
        <f t="shared" si="80"/>
        <v>12300</v>
      </c>
      <c r="L227" s="830">
        <f t="shared" si="80"/>
        <v>15200</v>
      </c>
      <c r="M227" s="268">
        <f t="shared" si="80"/>
        <v>18300</v>
      </c>
      <c r="N227" s="831">
        <f>SUM(B227:M227)</f>
        <v>76000</v>
      </c>
      <c r="O227" s="802"/>
    </row>
  </sheetData>
  <mergeCells count="22">
    <mergeCell ref="B123:N123"/>
    <mergeCell ref="B143:N143"/>
    <mergeCell ref="B208:N208"/>
    <mergeCell ref="B163:N163"/>
    <mergeCell ref="B183:N183"/>
    <mergeCell ref="B100:N100"/>
    <mergeCell ref="B107:N107"/>
    <mergeCell ref="B114:N114"/>
    <mergeCell ref="B58:N58"/>
    <mergeCell ref="B65:N65"/>
    <mergeCell ref="B72:N72"/>
    <mergeCell ref="B79:N79"/>
    <mergeCell ref="B86:N86"/>
    <mergeCell ref="B93:N93"/>
    <mergeCell ref="B51:N51"/>
    <mergeCell ref="B2:N2"/>
    <mergeCell ref="B9:N9"/>
    <mergeCell ref="B16:N16"/>
    <mergeCell ref="B23:N23"/>
    <mergeCell ref="B30:N30"/>
    <mergeCell ref="B37:N37"/>
    <mergeCell ref="B44:N44"/>
  </mergeCells>
  <pageMargins left="0.75" right="0.75" top="1" bottom="1" header="0.5" footer="0.5"/>
  <pageSetup paperSize="9" scale="68" orientation="landscape" r:id="rId1"/>
  <headerFooter alignWithMargins="0"/>
  <rowBreaks count="2" manualBreakCount="2">
    <brk id="63" max="16383" man="1"/>
    <brk id="9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D7:E15"/>
  <sheetViews>
    <sheetView workbookViewId="0">
      <selection activeCell="E19" sqref="E19"/>
    </sheetView>
  </sheetViews>
  <sheetFormatPr defaultRowHeight="13.2"/>
  <cols>
    <col min="4" max="4" width="21.6640625" customWidth="1"/>
  </cols>
  <sheetData>
    <row r="7" spans="4:5">
      <c r="D7" t="s">
        <v>472</v>
      </c>
      <c r="E7" t="s">
        <v>468</v>
      </c>
    </row>
    <row r="8" spans="4:5">
      <c r="E8" t="s">
        <v>469</v>
      </c>
    </row>
    <row r="12" spans="4:5">
      <c r="D12" t="s">
        <v>473</v>
      </c>
      <c r="E12" t="s">
        <v>470</v>
      </c>
    </row>
    <row r="15" spans="4:5">
      <c r="D15" t="s">
        <v>474</v>
      </c>
      <c r="E15" t="s">
        <v>471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66"/>
    <pageSetUpPr fitToPage="1"/>
  </sheetPr>
  <dimension ref="B1:Q51"/>
  <sheetViews>
    <sheetView topLeftCell="A5" zoomScale="70" zoomScaleNormal="70" workbookViewId="0">
      <selection activeCell="C5" sqref="C5"/>
    </sheetView>
  </sheetViews>
  <sheetFormatPr defaultColWidth="9.109375" defaultRowHeight="15.6"/>
  <cols>
    <col min="1" max="1" width="4.5546875" style="731" customWidth="1"/>
    <col min="2" max="2" width="52" style="731" customWidth="1"/>
    <col min="3" max="4" width="16.44140625" style="731" customWidth="1"/>
    <col min="5" max="16" width="16.33203125" style="731" customWidth="1"/>
    <col min="17" max="17" width="17.44140625" style="731" bestFit="1" customWidth="1"/>
    <col min="18" max="16384" width="9.109375" style="731"/>
  </cols>
  <sheetData>
    <row r="1" spans="2:17" ht="16.2" thickBot="1"/>
    <row r="2" spans="2:17" s="733" customFormat="1" ht="37.5" customHeight="1" thickBot="1">
      <c r="B2" s="1182"/>
      <c r="C2" s="2357" t="s">
        <v>649</v>
      </c>
      <c r="D2" s="2355" t="s">
        <v>647</v>
      </c>
      <c r="E2" s="2352" t="s">
        <v>650</v>
      </c>
      <c r="F2" s="2353"/>
      <c r="G2" s="2353"/>
      <c r="H2" s="2353"/>
      <c r="I2" s="2353"/>
      <c r="J2" s="2353"/>
      <c r="K2" s="2353"/>
      <c r="L2" s="2353"/>
      <c r="M2" s="2353"/>
      <c r="N2" s="2353"/>
      <c r="O2" s="2353"/>
      <c r="P2" s="2353"/>
      <c r="Q2" s="2354"/>
    </row>
    <row r="3" spans="2:17" s="733" customFormat="1" ht="37.5" customHeight="1" thickBot="1">
      <c r="B3" s="1183"/>
      <c r="C3" s="2358"/>
      <c r="D3" s="2356"/>
      <c r="E3" s="737" t="s">
        <v>1</v>
      </c>
      <c r="F3" s="738" t="s">
        <v>2</v>
      </c>
      <c r="G3" s="738" t="s">
        <v>3</v>
      </c>
      <c r="H3" s="738" t="s">
        <v>4</v>
      </c>
      <c r="I3" s="738" t="s">
        <v>5</v>
      </c>
      <c r="J3" s="738" t="s">
        <v>6</v>
      </c>
      <c r="K3" s="738" t="s">
        <v>7</v>
      </c>
      <c r="L3" s="738" t="s">
        <v>8</v>
      </c>
      <c r="M3" s="738" t="s">
        <v>9</v>
      </c>
      <c r="N3" s="738" t="s">
        <v>10</v>
      </c>
      <c r="O3" s="738" t="s">
        <v>11</v>
      </c>
      <c r="P3" s="738" t="s">
        <v>12</v>
      </c>
      <c r="Q3" s="739" t="s">
        <v>13</v>
      </c>
    </row>
    <row r="4" spans="2:17" s="736" customFormat="1" ht="27.6" customHeight="1" thickBot="1">
      <c r="B4" s="1184" t="s">
        <v>37</v>
      </c>
      <c r="C4" s="734">
        <f>SUM(C5:C37)</f>
        <v>0</v>
      </c>
      <c r="D4" s="734">
        <f>SUM(D5:D37)</f>
        <v>0</v>
      </c>
      <c r="E4" s="735">
        <f>SUM(E5:E37)</f>
        <v>0</v>
      </c>
      <c r="F4" s="735">
        <f t="shared" ref="F4:P4" si="0">SUM(F5:F37)</f>
        <v>0</v>
      </c>
      <c r="G4" s="735">
        <f t="shared" si="0"/>
        <v>0</v>
      </c>
      <c r="H4" s="735">
        <f t="shared" si="0"/>
        <v>0</v>
      </c>
      <c r="I4" s="735">
        <f t="shared" si="0"/>
        <v>0</v>
      </c>
      <c r="J4" s="735">
        <f t="shared" si="0"/>
        <v>0</v>
      </c>
      <c r="K4" s="735">
        <f t="shared" si="0"/>
        <v>0</v>
      </c>
      <c r="L4" s="735">
        <f t="shared" si="0"/>
        <v>0</v>
      </c>
      <c r="M4" s="735">
        <f t="shared" si="0"/>
        <v>0</v>
      </c>
      <c r="N4" s="735">
        <f t="shared" si="0"/>
        <v>0</v>
      </c>
      <c r="O4" s="735">
        <f t="shared" si="0"/>
        <v>0</v>
      </c>
      <c r="P4" s="735">
        <f t="shared" si="0"/>
        <v>0</v>
      </c>
      <c r="Q4" s="735">
        <f>SUM(Q5:Q37)</f>
        <v>0</v>
      </c>
    </row>
    <row r="5" spans="2:17" s="733" customFormat="1" ht="27.6" customHeight="1" thickBot="1">
      <c r="B5" s="256" t="s">
        <v>38</v>
      </c>
      <c r="C5" s="1185"/>
      <c r="D5" s="1185">
        <f>(C5/9)*12</f>
        <v>0</v>
      </c>
      <c r="E5" s="1185">
        <f>$Q5/12</f>
        <v>0</v>
      </c>
      <c r="F5" s="1185">
        <f t="shared" ref="F5:P6" si="1">$Q5/12</f>
        <v>0</v>
      </c>
      <c r="G5" s="1185">
        <f t="shared" si="1"/>
        <v>0</v>
      </c>
      <c r="H5" s="1185">
        <f t="shared" si="1"/>
        <v>0</v>
      </c>
      <c r="I5" s="1185">
        <f t="shared" si="1"/>
        <v>0</v>
      </c>
      <c r="J5" s="1185">
        <f t="shared" si="1"/>
        <v>0</v>
      </c>
      <c r="K5" s="1185">
        <f t="shared" si="1"/>
        <v>0</v>
      </c>
      <c r="L5" s="1185">
        <f t="shared" si="1"/>
        <v>0</v>
      </c>
      <c r="M5" s="1185">
        <f t="shared" si="1"/>
        <v>0</v>
      </c>
      <c r="N5" s="1185">
        <f t="shared" si="1"/>
        <v>0</v>
      </c>
      <c r="O5" s="1185">
        <f t="shared" si="1"/>
        <v>0</v>
      </c>
      <c r="P5" s="1185">
        <f t="shared" si="1"/>
        <v>0</v>
      </c>
      <c r="Q5" s="258">
        <f>D5*1.45</f>
        <v>0</v>
      </c>
    </row>
    <row r="6" spans="2:17" s="733" customFormat="1" ht="27.6" customHeight="1" thickBot="1">
      <c r="B6" s="259" t="s">
        <v>39</v>
      </c>
      <c r="C6" s="1186"/>
      <c r="D6" s="1185">
        <f t="shared" ref="D6:D37" si="2">(C6/9)*12</f>
        <v>0</v>
      </c>
      <c r="E6" s="1186">
        <f>$Q6/12</f>
        <v>0</v>
      </c>
      <c r="F6" s="1186">
        <f t="shared" si="1"/>
        <v>0</v>
      </c>
      <c r="G6" s="1186">
        <f t="shared" si="1"/>
        <v>0</v>
      </c>
      <c r="H6" s="1186">
        <f t="shared" si="1"/>
        <v>0</v>
      </c>
      <c r="I6" s="1186">
        <f t="shared" si="1"/>
        <v>0</v>
      </c>
      <c r="J6" s="1186">
        <f t="shared" si="1"/>
        <v>0</v>
      </c>
      <c r="K6" s="1186">
        <f t="shared" si="1"/>
        <v>0</v>
      </c>
      <c r="L6" s="1186">
        <f t="shared" si="1"/>
        <v>0</v>
      </c>
      <c r="M6" s="1186">
        <f t="shared" si="1"/>
        <v>0</v>
      </c>
      <c r="N6" s="1186">
        <f t="shared" si="1"/>
        <v>0</v>
      </c>
      <c r="O6" s="1186">
        <f t="shared" si="1"/>
        <v>0</v>
      </c>
      <c r="P6" s="1186">
        <f t="shared" si="1"/>
        <v>0</v>
      </c>
      <c r="Q6" s="258">
        <f t="shared" ref="Q6:Q37" si="3">D6*1.45</f>
        <v>0</v>
      </c>
    </row>
    <row r="7" spans="2:17" s="733" customFormat="1" ht="27.6" customHeight="1" thickBot="1">
      <c r="B7" s="262" t="s">
        <v>562</v>
      </c>
      <c r="C7" s="1187"/>
      <c r="D7" s="1185">
        <f t="shared" si="2"/>
        <v>0</v>
      </c>
      <c r="E7" s="1185">
        <f t="shared" ref="E7:P37" si="4">$Q7/12</f>
        <v>0</v>
      </c>
      <c r="F7" s="1185">
        <f t="shared" si="4"/>
        <v>0</v>
      </c>
      <c r="G7" s="1185">
        <f t="shared" si="4"/>
        <v>0</v>
      </c>
      <c r="H7" s="1185">
        <f t="shared" si="4"/>
        <v>0</v>
      </c>
      <c r="I7" s="1185">
        <f t="shared" si="4"/>
        <v>0</v>
      </c>
      <c r="J7" s="1185">
        <f t="shared" si="4"/>
        <v>0</v>
      </c>
      <c r="K7" s="1185">
        <f t="shared" si="4"/>
        <v>0</v>
      </c>
      <c r="L7" s="1185">
        <f t="shared" si="4"/>
        <v>0</v>
      </c>
      <c r="M7" s="1185">
        <f t="shared" si="4"/>
        <v>0</v>
      </c>
      <c r="N7" s="1185">
        <f t="shared" si="4"/>
        <v>0</v>
      </c>
      <c r="O7" s="1185">
        <f t="shared" si="4"/>
        <v>0</v>
      </c>
      <c r="P7" s="1185">
        <f t="shared" si="4"/>
        <v>0</v>
      </c>
      <c r="Q7" s="258">
        <f t="shared" si="3"/>
        <v>0</v>
      </c>
    </row>
    <row r="8" spans="2:17" s="733" customFormat="1" ht="27.6" customHeight="1" thickBot="1">
      <c r="B8" s="259" t="s">
        <v>40</v>
      </c>
      <c r="C8" s="1186"/>
      <c r="D8" s="1185">
        <f t="shared" si="2"/>
        <v>0</v>
      </c>
      <c r="E8" s="1186">
        <f t="shared" si="4"/>
        <v>0</v>
      </c>
      <c r="F8" s="1186">
        <f t="shared" si="4"/>
        <v>0</v>
      </c>
      <c r="G8" s="1186">
        <f t="shared" si="4"/>
        <v>0</v>
      </c>
      <c r="H8" s="1186">
        <f t="shared" si="4"/>
        <v>0</v>
      </c>
      <c r="I8" s="1186">
        <f t="shared" si="4"/>
        <v>0</v>
      </c>
      <c r="J8" s="1186">
        <f t="shared" si="4"/>
        <v>0</v>
      </c>
      <c r="K8" s="1186">
        <f t="shared" si="4"/>
        <v>0</v>
      </c>
      <c r="L8" s="1186">
        <f t="shared" si="4"/>
        <v>0</v>
      </c>
      <c r="M8" s="1186">
        <f t="shared" si="4"/>
        <v>0</v>
      </c>
      <c r="N8" s="1186">
        <f t="shared" si="4"/>
        <v>0</v>
      </c>
      <c r="O8" s="1186">
        <f t="shared" si="4"/>
        <v>0</v>
      </c>
      <c r="P8" s="1186">
        <f t="shared" si="4"/>
        <v>0</v>
      </c>
      <c r="Q8" s="258">
        <f t="shared" si="3"/>
        <v>0</v>
      </c>
    </row>
    <row r="9" spans="2:17" s="733" customFormat="1" ht="27.6" customHeight="1" thickBot="1">
      <c r="B9" s="262" t="s">
        <v>41</v>
      </c>
      <c r="C9" s="1187"/>
      <c r="D9" s="1185">
        <f t="shared" si="2"/>
        <v>0</v>
      </c>
      <c r="E9" s="1185">
        <f t="shared" si="4"/>
        <v>0</v>
      </c>
      <c r="F9" s="1185">
        <f t="shared" si="4"/>
        <v>0</v>
      </c>
      <c r="G9" s="1185">
        <f t="shared" si="4"/>
        <v>0</v>
      </c>
      <c r="H9" s="1185">
        <f t="shared" si="4"/>
        <v>0</v>
      </c>
      <c r="I9" s="1185">
        <f t="shared" si="4"/>
        <v>0</v>
      </c>
      <c r="J9" s="1185">
        <f t="shared" si="4"/>
        <v>0</v>
      </c>
      <c r="K9" s="1185">
        <f t="shared" si="4"/>
        <v>0</v>
      </c>
      <c r="L9" s="1185">
        <f t="shared" si="4"/>
        <v>0</v>
      </c>
      <c r="M9" s="1185">
        <f t="shared" si="4"/>
        <v>0</v>
      </c>
      <c r="N9" s="1185">
        <f t="shared" si="4"/>
        <v>0</v>
      </c>
      <c r="O9" s="1185">
        <f t="shared" si="4"/>
        <v>0</v>
      </c>
      <c r="P9" s="1185">
        <f t="shared" si="4"/>
        <v>0</v>
      </c>
      <c r="Q9" s="258">
        <f t="shared" si="3"/>
        <v>0</v>
      </c>
    </row>
    <row r="10" spans="2:17" s="733" customFormat="1" ht="27.6" customHeight="1" thickBot="1">
      <c r="B10" s="259" t="s">
        <v>42</v>
      </c>
      <c r="C10" s="1186"/>
      <c r="D10" s="1185">
        <f t="shared" si="2"/>
        <v>0</v>
      </c>
      <c r="E10" s="1186">
        <f t="shared" si="4"/>
        <v>0</v>
      </c>
      <c r="F10" s="1186">
        <f t="shared" si="4"/>
        <v>0</v>
      </c>
      <c r="G10" s="1186">
        <f t="shared" si="4"/>
        <v>0</v>
      </c>
      <c r="H10" s="1186">
        <f t="shared" si="4"/>
        <v>0</v>
      </c>
      <c r="I10" s="1186">
        <f t="shared" si="4"/>
        <v>0</v>
      </c>
      <c r="J10" s="1186">
        <f t="shared" si="4"/>
        <v>0</v>
      </c>
      <c r="K10" s="1186">
        <f t="shared" si="4"/>
        <v>0</v>
      </c>
      <c r="L10" s="1186">
        <f t="shared" si="4"/>
        <v>0</v>
      </c>
      <c r="M10" s="1186">
        <f t="shared" si="4"/>
        <v>0</v>
      </c>
      <c r="N10" s="1186">
        <f t="shared" si="4"/>
        <v>0</v>
      </c>
      <c r="O10" s="1186">
        <f t="shared" si="4"/>
        <v>0</v>
      </c>
      <c r="P10" s="1186">
        <f t="shared" si="4"/>
        <v>0</v>
      </c>
      <c r="Q10" s="258">
        <f t="shared" si="3"/>
        <v>0</v>
      </c>
    </row>
    <row r="11" spans="2:17" s="733" customFormat="1" ht="27.6" customHeight="1" thickBot="1">
      <c r="B11" s="262" t="s">
        <v>43</v>
      </c>
      <c r="C11" s="1187"/>
      <c r="D11" s="1185">
        <f t="shared" si="2"/>
        <v>0</v>
      </c>
      <c r="E11" s="1185">
        <f t="shared" si="4"/>
        <v>0</v>
      </c>
      <c r="F11" s="1185">
        <f t="shared" si="4"/>
        <v>0</v>
      </c>
      <c r="G11" s="1185">
        <f t="shared" si="4"/>
        <v>0</v>
      </c>
      <c r="H11" s="1185">
        <f t="shared" si="4"/>
        <v>0</v>
      </c>
      <c r="I11" s="1185">
        <f t="shared" si="4"/>
        <v>0</v>
      </c>
      <c r="J11" s="1185">
        <f t="shared" si="4"/>
        <v>0</v>
      </c>
      <c r="K11" s="1185">
        <f t="shared" si="4"/>
        <v>0</v>
      </c>
      <c r="L11" s="1185">
        <f t="shared" si="4"/>
        <v>0</v>
      </c>
      <c r="M11" s="1185">
        <f t="shared" si="4"/>
        <v>0</v>
      </c>
      <c r="N11" s="1185">
        <f t="shared" si="4"/>
        <v>0</v>
      </c>
      <c r="O11" s="1185">
        <f t="shared" si="4"/>
        <v>0</v>
      </c>
      <c r="P11" s="1185">
        <f t="shared" si="4"/>
        <v>0</v>
      </c>
      <c r="Q11" s="258">
        <f t="shared" si="3"/>
        <v>0</v>
      </c>
    </row>
    <row r="12" spans="2:17" s="733" customFormat="1" ht="27.6" customHeight="1" thickBot="1">
      <c r="B12" s="259" t="s">
        <v>44</v>
      </c>
      <c r="C12" s="1186"/>
      <c r="D12" s="1185">
        <f t="shared" si="2"/>
        <v>0</v>
      </c>
      <c r="E12" s="1186">
        <f t="shared" si="4"/>
        <v>0</v>
      </c>
      <c r="F12" s="1186">
        <f t="shared" si="4"/>
        <v>0</v>
      </c>
      <c r="G12" s="1186">
        <f t="shared" si="4"/>
        <v>0</v>
      </c>
      <c r="H12" s="1186">
        <f t="shared" si="4"/>
        <v>0</v>
      </c>
      <c r="I12" s="1186">
        <f t="shared" si="4"/>
        <v>0</v>
      </c>
      <c r="J12" s="1186">
        <f t="shared" si="4"/>
        <v>0</v>
      </c>
      <c r="K12" s="1186">
        <f t="shared" si="4"/>
        <v>0</v>
      </c>
      <c r="L12" s="1186">
        <f t="shared" si="4"/>
        <v>0</v>
      </c>
      <c r="M12" s="1186">
        <f t="shared" si="4"/>
        <v>0</v>
      </c>
      <c r="N12" s="1186">
        <f t="shared" si="4"/>
        <v>0</v>
      </c>
      <c r="O12" s="1186">
        <f t="shared" si="4"/>
        <v>0</v>
      </c>
      <c r="P12" s="1186">
        <f t="shared" si="4"/>
        <v>0</v>
      </c>
      <c r="Q12" s="258">
        <f t="shared" si="3"/>
        <v>0</v>
      </c>
    </row>
    <row r="13" spans="2:17" s="733" customFormat="1" ht="27.6" customHeight="1" thickBot="1">
      <c r="B13" s="262" t="s">
        <v>45</v>
      </c>
      <c r="C13" s="1187"/>
      <c r="D13" s="1185">
        <f t="shared" si="2"/>
        <v>0</v>
      </c>
      <c r="E13" s="1185">
        <f t="shared" si="4"/>
        <v>0</v>
      </c>
      <c r="F13" s="1185">
        <f t="shared" si="4"/>
        <v>0</v>
      </c>
      <c r="G13" s="1185">
        <f t="shared" si="4"/>
        <v>0</v>
      </c>
      <c r="H13" s="1185">
        <f t="shared" si="4"/>
        <v>0</v>
      </c>
      <c r="I13" s="1185">
        <f t="shared" si="4"/>
        <v>0</v>
      </c>
      <c r="J13" s="1185">
        <f t="shared" si="4"/>
        <v>0</v>
      </c>
      <c r="K13" s="1185">
        <f t="shared" si="4"/>
        <v>0</v>
      </c>
      <c r="L13" s="1185">
        <f t="shared" si="4"/>
        <v>0</v>
      </c>
      <c r="M13" s="1185">
        <f t="shared" si="4"/>
        <v>0</v>
      </c>
      <c r="N13" s="1185">
        <f t="shared" si="4"/>
        <v>0</v>
      </c>
      <c r="O13" s="1185">
        <f t="shared" si="4"/>
        <v>0</v>
      </c>
      <c r="P13" s="1185">
        <f t="shared" si="4"/>
        <v>0</v>
      </c>
      <c r="Q13" s="258">
        <f t="shared" si="3"/>
        <v>0</v>
      </c>
    </row>
    <row r="14" spans="2:17" s="733" customFormat="1" ht="27.6" customHeight="1" thickBot="1">
      <c r="B14" s="259" t="s">
        <v>46</v>
      </c>
      <c r="C14" s="1186"/>
      <c r="D14" s="1185">
        <f t="shared" si="2"/>
        <v>0</v>
      </c>
      <c r="E14" s="1186">
        <f t="shared" si="4"/>
        <v>0</v>
      </c>
      <c r="F14" s="1186">
        <f t="shared" si="4"/>
        <v>0</v>
      </c>
      <c r="G14" s="1186">
        <f t="shared" si="4"/>
        <v>0</v>
      </c>
      <c r="H14" s="1186">
        <f t="shared" si="4"/>
        <v>0</v>
      </c>
      <c r="I14" s="1186">
        <f t="shared" si="4"/>
        <v>0</v>
      </c>
      <c r="J14" s="1186">
        <f t="shared" si="4"/>
        <v>0</v>
      </c>
      <c r="K14" s="1186">
        <f t="shared" si="4"/>
        <v>0</v>
      </c>
      <c r="L14" s="1186">
        <f t="shared" si="4"/>
        <v>0</v>
      </c>
      <c r="M14" s="1186">
        <f t="shared" si="4"/>
        <v>0</v>
      </c>
      <c r="N14" s="1186">
        <f t="shared" si="4"/>
        <v>0</v>
      </c>
      <c r="O14" s="1186">
        <f t="shared" si="4"/>
        <v>0</v>
      </c>
      <c r="P14" s="1186">
        <f t="shared" si="4"/>
        <v>0</v>
      </c>
      <c r="Q14" s="258">
        <f t="shared" si="3"/>
        <v>0</v>
      </c>
    </row>
    <row r="15" spans="2:17" s="733" customFormat="1" ht="27.6" customHeight="1" thickBot="1">
      <c r="B15" s="262" t="s">
        <v>563</v>
      </c>
      <c r="C15" s="1187"/>
      <c r="D15" s="1185">
        <f t="shared" si="2"/>
        <v>0</v>
      </c>
      <c r="E15" s="1185">
        <f t="shared" si="4"/>
        <v>0</v>
      </c>
      <c r="F15" s="1185">
        <f t="shared" si="4"/>
        <v>0</v>
      </c>
      <c r="G15" s="1185">
        <f t="shared" si="4"/>
        <v>0</v>
      </c>
      <c r="H15" s="1185">
        <f t="shared" si="4"/>
        <v>0</v>
      </c>
      <c r="I15" s="1185">
        <f t="shared" si="4"/>
        <v>0</v>
      </c>
      <c r="J15" s="1185">
        <f t="shared" si="4"/>
        <v>0</v>
      </c>
      <c r="K15" s="1185">
        <f t="shared" si="4"/>
        <v>0</v>
      </c>
      <c r="L15" s="1185">
        <f t="shared" si="4"/>
        <v>0</v>
      </c>
      <c r="M15" s="1185">
        <f t="shared" si="4"/>
        <v>0</v>
      </c>
      <c r="N15" s="1185">
        <f t="shared" si="4"/>
        <v>0</v>
      </c>
      <c r="O15" s="1185">
        <f t="shared" si="4"/>
        <v>0</v>
      </c>
      <c r="P15" s="1185">
        <f t="shared" si="4"/>
        <v>0</v>
      </c>
      <c r="Q15" s="258">
        <f t="shared" si="3"/>
        <v>0</v>
      </c>
    </row>
    <row r="16" spans="2:17" s="733" customFormat="1" ht="27.6" customHeight="1" thickBot="1">
      <c r="B16" s="259" t="s">
        <v>564</v>
      </c>
      <c r="C16" s="1186"/>
      <c r="D16" s="1185">
        <f t="shared" si="2"/>
        <v>0</v>
      </c>
      <c r="E16" s="1186">
        <f t="shared" si="4"/>
        <v>0</v>
      </c>
      <c r="F16" s="1186">
        <f t="shared" si="4"/>
        <v>0</v>
      </c>
      <c r="G16" s="1186">
        <f t="shared" si="4"/>
        <v>0</v>
      </c>
      <c r="H16" s="1186">
        <f t="shared" si="4"/>
        <v>0</v>
      </c>
      <c r="I16" s="1186">
        <f t="shared" si="4"/>
        <v>0</v>
      </c>
      <c r="J16" s="1186">
        <f t="shared" si="4"/>
        <v>0</v>
      </c>
      <c r="K16" s="1186">
        <f t="shared" si="4"/>
        <v>0</v>
      </c>
      <c r="L16" s="1186">
        <f t="shared" si="4"/>
        <v>0</v>
      </c>
      <c r="M16" s="1186">
        <f t="shared" si="4"/>
        <v>0</v>
      </c>
      <c r="N16" s="1186">
        <f t="shared" si="4"/>
        <v>0</v>
      </c>
      <c r="O16" s="1186">
        <f t="shared" si="4"/>
        <v>0</v>
      </c>
      <c r="P16" s="1186">
        <f t="shared" si="4"/>
        <v>0</v>
      </c>
      <c r="Q16" s="258">
        <f t="shared" si="3"/>
        <v>0</v>
      </c>
    </row>
    <row r="17" spans="2:17" s="733" customFormat="1" ht="27.6" customHeight="1" thickBot="1">
      <c r="B17" s="262" t="s">
        <v>47</v>
      </c>
      <c r="C17" s="1187"/>
      <c r="D17" s="1185">
        <f t="shared" si="2"/>
        <v>0</v>
      </c>
      <c r="E17" s="1185">
        <f t="shared" si="4"/>
        <v>0</v>
      </c>
      <c r="F17" s="1185">
        <f t="shared" si="4"/>
        <v>0</v>
      </c>
      <c r="G17" s="1185">
        <f t="shared" si="4"/>
        <v>0</v>
      </c>
      <c r="H17" s="1185">
        <f t="shared" si="4"/>
        <v>0</v>
      </c>
      <c r="I17" s="1185">
        <f t="shared" si="4"/>
        <v>0</v>
      </c>
      <c r="J17" s="1185">
        <f t="shared" si="4"/>
        <v>0</v>
      </c>
      <c r="K17" s="1185">
        <f t="shared" si="4"/>
        <v>0</v>
      </c>
      <c r="L17" s="1185">
        <f t="shared" si="4"/>
        <v>0</v>
      </c>
      <c r="M17" s="1185">
        <f t="shared" si="4"/>
        <v>0</v>
      </c>
      <c r="N17" s="1185">
        <f t="shared" si="4"/>
        <v>0</v>
      </c>
      <c r="O17" s="1185">
        <f t="shared" si="4"/>
        <v>0</v>
      </c>
      <c r="P17" s="1185">
        <f t="shared" si="4"/>
        <v>0</v>
      </c>
      <c r="Q17" s="258">
        <f t="shared" si="3"/>
        <v>0</v>
      </c>
    </row>
    <row r="18" spans="2:17" s="733" customFormat="1" ht="27.6" customHeight="1" thickBot="1">
      <c r="B18" s="259" t="s">
        <v>48</v>
      </c>
      <c r="C18" s="1186"/>
      <c r="D18" s="1185">
        <f t="shared" si="2"/>
        <v>0</v>
      </c>
      <c r="E18" s="1186">
        <f t="shared" si="4"/>
        <v>0</v>
      </c>
      <c r="F18" s="1186">
        <f t="shared" si="4"/>
        <v>0</v>
      </c>
      <c r="G18" s="1186">
        <f t="shared" si="4"/>
        <v>0</v>
      </c>
      <c r="H18" s="1186">
        <f t="shared" si="4"/>
        <v>0</v>
      </c>
      <c r="I18" s="1186">
        <f t="shared" si="4"/>
        <v>0</v>
      </c>
      <c r="J18" s="1186">
        <f t="shared" si="4"/>
        <v>0</v>
      </c>
      <c r="K18" s="1186">
        <f t="shared" si="4"/>
        <v>0</v>
      </c>
      <c r="L18" s="1186">
        <f t="shared" si="4"/>
        <v>0</v>
      </c>
      <c r="M18" s="1186">
        <f t="shared" si="4"/>
        <v>0</v>
      </c>
      <c r="N18" s="1186">
        <f t="shared" si="4"/>
        <v>0</v>
      </c>
      <c r="O18" s="1186">
        <f t="shared" si="4"/>
        <v>0</v>
      </c>
      <c r="P18" s="1186">
        <f t="shared" si="4"/>
        <v>0</v>
      </c>
      <c r="Q18" s="258">
        <f t="shared" si="3"/>
        <v>0</v>
      </c>
    </row>
    <row r="19" spans="2:17" s="733" customFormat="1" ht="27.6" customHeight="1" thickBot="1">
      <c r="B19" s="262" t="s">
        <v>565</v>
      </c>
      <c r="C19" s="1187"/>
      <c r="D19" s="1185">
        <f t="shared" si="2"/>
        <v>0</v>
      </c>
      <c r="E19" s="1185">
        <f t="shared" si="4"/>
        <v>0</v>
      </c>
      <c r="F19" s="1185">
        <f t="shared" si="4"/>
        <v>0</v>
      </c>
      <c r="G19" s="1185">
        <f t="shared" si="4"/>
        <v>0</v>
      </c>
      <c r="H19" s="1185">
        <f t="shared" si="4"/>
        <v>0</v>
      </c>
      <c r="I19" s="1185">
        <f t="shared" si="4"/>
        <v>0</v>
      </c>
      <c r="J19" s="1185">
        <f t="shared" si="4"/>
        <v>0</v>
      </c>
      <c r="K19" s="1185">
        <f t="shared" si="4"/>
        <v>0</v>
      </c>
      <c r="L19" s="1185">
        <f t="shared" si="4"/>
        <v>0</v>
      </c>
      <c r="M19" s="1185">
        <f t="shared" si="4"/>
        <v>0</v>
      </c>
      <c r="N19" s="1185">
        <f t="shared" si="4"/>
        <v>0</v>
      </c>
      <c r="O19" s="1185">
        <f t="shared" si="4"/>
        <v>0</v>
      </c>
      <c r="P19" s="1185">
        <f t="shared" si="4"/>
        <v>0</v>
      </c>
      <c r="Q19" s="258">
        <f t="shared" si="3"/>
        <v>0</v>
      </c>
    </row>
    <row r="20" spans="2:17" s="733" customFormat="1" ht="27.6" customHeight="1" thickBot="1">
      <c r="B20" s="259" t="s">
        <v>49</v>
      </c>
      <c r="C20" s="1186"/>
      <c r="D20" s="1185">
        <f t="shared" si="2"/>
        <v>0</v>
      </c>
      <c r="E20" s="1186">
        <f t="shared" si="4"/>
        <v>0</v>
      </c>
      <c r="F20" s="1186">
        <f t="shared" si="4"/>
        <v>0</v>
      </c>
      <c r="G20" s="1186">
        <f t="shared" si="4"/>
        <v>0</v>
      </c>
      <c r="H20" s="1186">
        <f t="shared" si="4"/>
        <v>0</v>
      </c>
      <c r="I20" s="1186">
        <f t="shared" si="4"/>
        <v>0</v>
      </c>
      <c r="J20" s="1186">
        <f t="shared" si="4"/>
        <v>0</v>
      </c>
      <c r="K20" s="1186">
        <f t="shared" si="4"/>
        <v>0</v>
      </c>
      <c r="L20" s="1186">
        <f t="shared" si="4"/>
        <v>0</v>
      </c>
      <c r="M20" s="1186">
        <f t="shared" si="4"/>
        <v>0</v>
      </c>
      <c r="N20" s="1186">
        <f t="shared" si="4"/>
        <v>0</v>
      </c>
      <c r="O20" s="1186">
        <f t="shared" si="4"/>
        <v>0</v>
      </c>
      <c r="P20" s="1186">
        <f t="shared" si="4"/>
        <v>0</v>
      </c>
      <c r="Q20" s="258">
        <f t="shared" si="3"/>
        <v>0</v>
      </c>
    </row>
    <row r="21" spans="2:17" s="733" customFormat="1" ht="27.6" customHeight="1" thickBot="1">
      <c r="B21" s="262" t="s">
        <v>50</v>
      </c>
      <c r="C21" s="1187"/>
      <c r="D21" s="1185">
        <f t="shared" si="2"/>
        <v>0</v>
      </c>
      <c r="E21" s="1185">
        <f t="shared" si="4"/>
        <v>0</v>
      </c>
      <c r="F21" s="1185">
        <f t="shared" si="4"/>
        <v>0</v>
      </c>
      <c r="G21" s="1185">
        <f t="shared" si="4"/>
        <v>0</v>
      </c>
      <c r="H21" s="1185">
        <f t="shared" si="4"/>
        <v>0</v>
      </c>
      <c r="I21" s="1185">
        <f t="shared" si="4"/>
        <v>0</v>
      </c>
      <c r="J21" s="1185">
        <f t="shared" si="4"/>
        <v>0</v>
      </c>
      <c r="K21" s="1185">
        <f t="shared" si="4"/>
        <v>0</v>
      </c>
      <c r="L21" s="1185">
        <f t="shared" si="4"/>
        <v>0</v>
      </c>
      <c r="M21" s="1185">
        <f t="shared" si="4"/>
        <v>0</v>
      </c>
      <c r="N21" s="1185">
        <f t="shared" si="4"/>
        <v>0</v>
      </c>
      <c r="O21" s="1185">
        <f t="shared" si="4"/>
        <v>0</v>
      </c>
      <c r="P21" s="1185">
        <f t="shared" si="4"/>
        <v>0</v>
      </c>
      <c r="Q21" s="258">
        <f t="shared" si="3"/>
        <v>0</v>
      </c>
    </row>
    <row r="22" spans="2:17" s="733" customFormat="1" ht="27.6" customHeight="1" thickBot="1">
      <c r="B22" s="259" t="s">
        <v>566</v>
      </c>
      <c r="C22" s="1186"/>
      <c r="D22" s="1185">
        <f t="shared" si="2"/>
        <v>0</v>
      </c>
      <c r="E22" s="1186">
        <f t="shared" si="4"/>
        <v>0</v>
      </c>
      <c r="F22" s="1186">
        <f t="shared" si="4"/>
        <v>0</v>
      </c>
      <c r="G22" s="1186">
        <f t="shared" si="4"/>
        <v>0</v>
      </c>
      <c r="H22" s="1186">
        <f t="shared" si="4"/>
        <v>0</v>
      </c>
      <c r="I22" s="1186">
        <f t="shared" si="4"/>
        <v>0</v>
      </c>
      <c r="J22" s="1186">
        <f t="shared" si="4"/>
        <v>0</v>
      </c>
      <c r="K22" s="1186">
        <f t="shared" si="4"/>
        <v>0</v>
      </c>
      <c r="L22" s="1186">
        <f t="shared" si="4"/>
        <v>0</v>
      </c>
      <c r="M22" s="1186">
        <f t="shared" si="4"/>
        <v>0</v>
      </c>
      <c r="N22" s="1186">
        <f t="shared" si="4"/>
        <v>0</v>
      </c>
      <c r="O22" s="1186">
        <f t="shared" si="4"/>
        <v>0</v>
      </c>
      <c r="P22" s="1186">
        <f t="shared" si="4"/>
        <v>0</v>
      </c>
      <c r="Q22" s="258">
        <f t="shared" si="3"/>
        <v>0</v>
      </c>
    </row>
    <row r="23" spans="2:17" s="733" customFormat="1" ht="27.6" customHeight="1" thickBot="1">
      <c r="B23" s="262" t="s">
        <v>51</v>
      </c>
      <c r="C23" s="1187"/>
      <c r="D23" s="1185">
        <f t="shared" si="2"/>
        <v>0</v>
      </c>
      <c r="E23" s="1185">
        <f t="shared" si="4"/>
        <v>0</v>
      </c>
      <c r="F23" s="1185">
        <f t="shared" si="4"/>
        <v>0</v>
      </c>
      <c r="G23" s="1185">
        <f t="shared" si="4"/>
        <v>0</v>
      </c>
      <c r="H23" s="1185">
        <f t="shared" si="4"/>
        <v>0</v>
      </c>
      <c r="I23" s="1185">
        <f t="shared" si="4"/>
        <v>0</v>
      </c>
      <c r="J23" s="1185">
        <f t="shared" si="4"/>
        <v>0</v>
      </c>
      <c r="K23" s="1185">
        <f t="shared" si="4"/>
        <v>0</v>
      </c>
      <c r="L23" s="1185">
        <f t="shared" si="4"/>
        <v>0</v>
      </c>
      <c r="M23" s="1185">
        <f t="shared" si="4"/>
        <v>0</v>
      </c>
      <c r="N23" s="1185">
        <f t="shared" si="4"/>
        <v>0</v>
      </c>
      <c r="O23" s="1185">
        <f t="shared" si="4"/>
        <v>0</v>
      </c>
      <c r="P23" s="1185">
        <f t="shared" si="4"/>
        <v>0</v>
      </c>
      <c r="Q23" s="258">
        <f t="shared" si="3"/>
        <v>0</v>
      </c>
    </row>
    <row r="24" spans="2:17" s="733" customFormat="1" ht="27.6" customHeight="1" thickBot="1">
      <c r="B24" s="259" t="s">
        <v>52</v>
      </c>
      <c r="C24" s="1186"/>
      <c r="D24" s="1185">
        <f t="shared" si="2"/>
        <v>0</v>
      </c>
      <c r="E24" s="1186">
        <f t="shared" si="4"/>
        <v>0</v>
      </c>
      <c r="F24" s="1186">
        <f t="shared" si="4"/>
        <v>0</v>
      </c>
      <c r="G24" s="1186">
        <f t="shared" si="4"/>
        <v>0</v>
      </c>
      <c r="H24" s="1186">
        <f t="shared" si="4"/>
        <v>0</v>
      </c>
      <c r="I24" s="1186">
        <f t="shared" si="4"/>
        <v>0</v>
      </c>
      <c r="J24" s="1186">
        <f t="shared" si="4"/>
        <v>0</v>
      </c>
      <c r="K24" s="1186">
        <f t="shared" si="4"/>
        <v>0</v>
      </c>
      <c r="L24" s="1186">
        <f t="shared" si="4"/>
        <v>0</v>
      </c>
      <c r="M24" s="1186">
        <f t="shared" si="4"/>
        <v>0</v>
      </c>
      <c r="N24" s="1186">
        <f t="shared" si="4"/>
        <v>0</v>
      </c>
      <c r="O24" s="1186">
        <f t="shared" si="4"/>
        <v>0</v>
      </c>
      <c r="P24" s="1186">
        <f t="shared" si="4"/>
        <v>0</v>
      </c>
      <c r="Q24" s="258">
        <f t="shared" si="3"/>
        <v>0</v>
      </c>
    </row>
    <row r="25" spans="2:17" s="733" customFormat="1" ht="27.6" customHeight="1" thickBot="1">
      <c r="B25" s="262" t="s">
        <v>53</v>
      </c>
      <c r="C25" s="1187"/>
      <c r="D25" s="1185">
        <f t="shared" si="2"/>
        <v>0</v>
      </c>
      <c r="E25" s="1185">
        <f t="shared" si="4"/>
        <v>0</v>
      </c>
      <c r="F25" s="1185">
        <f t="shared" si="4"/>
        <v>0</v>
      </c>
      <c r="G25" s="1185">
        <f t="shared" si="4"/>
        <v>0</v>
      </c>
      <c r="H25" s="1185">
        <f t="shared" si="4"/>
        <v>0</v>
      </c>
      <c r="I25" s="1185">
        <f t="shared" si="4"/>
        <v>0</v>
      </c>
      <c r="J25" s="1185">
        <f t="shared" si="4"/>
        <v>0</v>
      </c>
      <c r="K25" s="1185">
        <f t="shared" si="4"/>
        <v>0</v>
      </c>
      <c r="L25" s="1185">
        <f t="shared" si="4"/>
        <v>0</v>
      </c>
      <c r="M25" s="1185">
        <f t="shared" si="4"/>
        <v>0</v>
      </c>
      <c r="N25" s="1185">
        <f t="shared" si="4"/>
        <v>0</v>
      </c>
      <c r="O25" s="1185">
        <f t="shared" si="4"/>
        <v>0</v>
      </c>
      <c r="P25" s="1185">
        <f t="shared" si="4"/>
        <v>0</v>
      </c>
      <c r="Q25" s="258">
        <f t="shared" si="3"/>
        <v>0</v>
      </c>
    </row>
    <row r="26" spans="2:17" s="733" customFormat="1" ht="27.6" customHeight="1" thickBot="1">
      <c r="B26" s="259" t="s">
        <v>54</v>
      </c>
      <c r="C26" s="1186"/>
      <c r="D26" s="1185">
        <f t="shared" si="2"/>
        <v>0</v>
      </c>
      <c r="E26" s="1186">
        <f t="shared" si="4"/>
        <v>0</v>
      </c>
      <c r="F26" s="1186">
        <f t="shared" si="4"/>
        <v>0</v>
      </c>
      <c r="G26" s="1186">
        <f t="shared" si="4"/>
        <v>0</v>
      </c>
      <c r="H26" s="1186">
        <f t="shared" si="4"/>
        <v>0</v>
      </c>
      <c r="I26" s="1186">
        <f t="shared" si="4"/>
        <v>0</v>
      </c>
      <c r="J26" s="1186">
        <f t="shared" si="4"/>
        <v>0</v>
      </c>
      <c r="K26" s="1186">
        <f t="shared" si="4"/>
        <v>0</v>
      </c>
      <c r="L26" s="1186">
        <f t="shared" si="4"/>
        <v>0</v>
      </c>
      <c r="M26" s="1186">
        <f t="shared" si="4"/>
        <v>0</v>
      </c>
      <c r="N26" s="1186">
        <f t="shared" si="4"/>
        <v>0</v>
      </c>
      <c r="O26" s="1186">
        <f t="shared" si="4"/>
        <v>0</v>
      </c>
      <c r="P26" s="1186">
        <f t="shared" si="4"/>
        <v>0</v>
      </c>
      <c r="Q26" s="258">
        <f t="shared" si="3"/>
        <v>0</v>
      </c>
    </row>
    <row r="27" spans="2:17" s="733" customFormat="1" ht="27.6" customHeight="1" thickBot="1">
      <c r="B27" s="262" t="s">
        <v>55</v>
      </c>
      <c r="C27" s="1187"/>
      <c r="D27" s="1185">
        <f t="shared" si="2"/>
        <v>0</v>
      </c>
      <c r="E27" s="1185">
        <f t="shared" si="4"/>
        <v>0</v>
      </c>
      <c r="F27" s="1185">
        <f t="shared" si="4"/>
        <v>0</v>
      </c>
      <c r="G27" s="1185">
        <f t="shared" si="4"/>
        <v>0</v>
      </c>
      <c r="H27" s="1185">
        <f t="shared" si="4"/>
        <v>0</v>
      </c>
      <c r="I27" s="1185">
        <f t="shared" si="4"/>
        <v>0</v>
      </c>
      <c r="J27" s="1185">
        <f t="shared" ref="F27:P37" si="5">$Q27/12</f>
        <v>0</v>
      </c>
      <c r="K27" s="1185">
        <f t="shared" si="5"/>
        <v>0</v>
      </c>
      <c r="L27" s="1185">
        <f t="shared" si="5"/>
        <v>0</v>
      </c>
      <c r="M27" s="1185">
        <f t="shared" si="5"/>
        <v>0</v>
      </c>
      <c r="N27" s="1185">
        <f t="shared" si="5"/>
        <v>0</v>
      </c>
      <c r="O27" s="1185">
        <f t="shared" si="5"/>
        <v>0</v>
      </c>
      <c r="P27" s="1185">
        <f t="shared" si="5"/>
        <v>0</v>
      </c>
      <c r="Q27" s="258">
        <f t="shared" si="3"/>
        <v>0</v>
      </c>
    </row>
    <row r="28" spans="2:17" s="733" customFormat="1" ht="27.6" customHeight="1" thickBot="1">
      <c r="B28" s="259" t="s">
        <v>56</v>
      </c>
      <c r="C28" s="1186"/>
      <c r="D28" s="1185">
        <f t="shared" si="2"/>
        <v>0</v>
      </c>
      <c r="E28" s="1186">
        <f t="shared" si="4"/>
        <v>0</v>
      </c>
      <c r="F28" s="1186">
        <f t="shared" si="5"/>
        <v>0</v>
      </c>
      <c r="G28" s="1186">
        <f t="shared" si="5"/>
        <v>0</v>
      </c>
      <c r="H28" s="1186">
        <f t="shared" si="5"/>
        <v>0</v>
      </c>
      <c r="I28" s="1186">
        <f t="shared" si="5"/>
        <v>0</v>
      </c>
      <c r="J28" s="1186">
        <f t="shared" si="5"/>
        <v>0</v>
      </c>
      <c r="K28" s="1186">
        <f t="shared" si="5"/>
        <v>0</v>
      </c>
      <c r="L28" s="1186">
        <f t="shared" si="5"/>
        <v>0</v>
      </c>
      <c r="M28" s="1186">
        <f t="shared" si="5"/>
        <v>0</v>
      </c>
      <c r="N28" s="1186">
        <f t="shared" si="5"/>
        <v>0</v>
      </c>
      <c r="O28" s="1186">
        <f t="shared" si="5"/>
        <v>0</v>
      </c>
      <c r="P28" s="1186">
        <f t="shared" si="5"/>
        <v>0</v>
      </c>
      <c r="Q28" s="258">
        <f t="shared" si="3"/>
        <v>0</v>
      </c>
    </row>
    <row r="29" spans="2:17" s="733" customFormat="1" ht="27.6" customHeight="1" thickBot="1">
      <c r="B29" s="262" t="s">
        <v>57</v>
      </c>
      <c r="C29" s="1187"/>
      <c r="D29" s="1185">
        <f t="shared" si="2"/>
        <v>0</v>
      </c>
      <c r="E29" s="1185">
        <f t="shared" si="4"/>
        <v>0</v>
      </c>
      <c r="F29" s="1185">
        <f t="shared" si="5"/>
        <v>0</v>
      </c>
      <c r="G29" s="1185">
        <f t="shared" si="5"/>
        <v>0</v>
      </c>
      <c r="H29" s="1185">
        <f t="shared" si="5"/>
        <v>0</v>
      </c>
      <c r="I29" s="1185">
        <f t="shared" si="5"/>
        <v>0</v>
      </c>
      <c r="J29" s="1185">
        <f t="shared" si="5"/>
        <v>0</v>
      </c>
      <c r="K29" s="1185">
        <f t="shared" si="5"/>
        <v>0</v>
      </c>
      <c r="L29" s="1185">
        <f t="shared" si="5"/>
        <v>0</v>
      </c>
      <c r="M29" s="1185">
        <f t="shared" si="5"/>
        <v>0</v>
      </c>
      <c r="N29" s="1185">
        <f t="shared" si="5"/>
        <v>0</v>
      </c>
      <c r="O29" s="1185">
        <f t="shared" si="5"/>
        <v>0</v>
      </c>
      <c r="P29" s="1185">
        <f t="shared" si="5"/>
        <v>0</v>
      </c>
      <c r="Q29" s="258">
        <f t="shared" si="3"/>
        <v>0</v>
      </c>
    </row>
    <row r="30" spans="2:17" s="733" customFormat="1" ht="27.6" customHeight="1" thickBot="1">
      <c r="B30" s="259" t="s">
        <v>58</v>
      </c>
      <c r="C30" s="1186"/>
      <c r="D30" s="1185">
        <f t="shared" si="2"/>
        <v>0</v>
      </c>
      <c r="E30" s="1186">
        <f t="shared" si="4"/>
        <v>0</v>
      </c>
      <c r="F30" s="1186">
        <f t="shared" si="5"/>
        <v>0</v>
      </c>
      <c r="G30" s="1186">
        <f t="shared" si="5"/>
        <v>0</v>
      </c>
      <c r="H30" s="1186">
        <f t="shared" si="5"/>
        <v>0</v>
      </c>
      <c r="I30" s="1186">
        <f t="shared" si="5"/>
        <v>0</v>
      </c>
      <c r="J30" s="1186">
        <f t="shared" si="5"/>
        <v>0</v>
      </c>
      <c r="K30" s="1186">
        <f t="shared" si="5"/>
        <v>0</v>
      </c>
      <c r="L30" s="1186">
        <f t="shared" si="5"/>
        <v>0</v>
      </c>
      <c r="M30" s="1186">
        <f t="shared" si="5"/>
        <v>0</v>
      </c>
      <c r="N30" s="1186">
        <f t="shared" si="5"/>
        <v>0</v>
      </c>
      <c r="O30" s="1186">
        <f t="shared" si="5"/>
        <v>0</v>
      </c>
      <c r="P30" s="1186">
        <f t="shared" si="5"/>
        <v>0</v>
      </c>
      <c r="Q30" s="258">
        <f t="shared" si="3"/>
        <v>0</v>
      </c>
    </row>
    <row r="31" spans="2:17" s="733" customFormat="1" ht="27.6" customHeight="1" thickBot="1">
      <c r="B31" s="262" t="s">
        <v>59</v>
      </c>
      <c r="C31" s="1187"/>
      <c r="D31" s="1185">
        <f t="shared" si="2"/>
        <v>0</v>
      </c>
      <c r="E31" s="1185">
        <f t="shared" si="4"/>
        <v>0</v>
      </c>
      <c r="F31" s="1185">
        <f t="shared" si="5"/>
        <v>0</v>
      </c>
      <c r="G31" s="1185">
        <f t="shared" si="5"/>
        <v>0</v>
      </c>
      <c r="H31" s="1185">
        <f t="shared" si="5"/>
        <v>0</v>
      </c>
      <c r="I31" s="1185">
        <f t="shared" si="5"/>
        <v>0</v>
      </c>
      <c r="J31" s="1185">
        <f t="shared" si="5"/>
        <v>0</v>
      </c>
      <c r="K31" s="1185">
        <f t="shared" si="5"/>
        <v>0</v>
      </c>
      <c r="L31" s="1185">
        <f t="shared" si="5"/>
        <v>0</v>
      </c>
      <c r="M31" s="1185">
        <f t="shared" si="5"/>
        <v>0</v>
      </c>
      <c r="N31" s="1185">
        <f t="shared" si="5"/>
        <v>0</v>
      </c>
      <c r="O31" s="1185">
        <f t="shared" si="5"/>
        <v>0</v>
      </c>
      <c r="P31" s="1185">
        <f t="shared" si="5"/>
        <v>0</v>
      </c>
      <c r="Q31" s="258">
        <f>D31*1.65</f>
        <v>0</v>
      </c>
    </row>
    <row r="32" spans="2:17" s="733" customFormat="1" ht="27.6" customHeight="1" thickBot="1">
      <c r="B32" s="259" t="s">
        <v>60</v>
      </c>
      <c r="C32" s="1186"/>
      <c r="D32" s="1185">
        <f t="shared" si="2"/>
        <v>0</v>
      </c>
      <c r="E32" s="1186">
        <f t="shared" si="4"/>
        <v>0</v>
      </c>
      <c r="F32" s="1186">
        <f t="shared" si="5"/>
        <v>0</v>
      </c>
      <c r="G32" s="1186">
        <f t="shared" si="5"/>
        <v>0</v>
      </c>
      <c r="H32" s="1186">
        <f t="shared" si="5"/>
        <v>0</v>
      </c>
      <c r="I32" s="1186">
        <f t="shared" si="5"/>
        <v>0</v>
      </c>
      <c r="J32" s="1186">
        <f t="shared" si="5"/>
        <v>0</v>
      </c>
      <c r="K32" s="1186">
        <f t="shared" si="5"/>
        <v>0</v>
      </c>
      <c r="L32" s="1186">
        <f t="shared" si="5"/>
        <v>0</v>
      </c>
      <c r="M32" s="1186">
        <f t="shared" si="5"/>
        <v>0</v>
      </c>
      <c r="N32" s="1186">
        <f t="shared" si="5"/>
        <v>0</v>
      </c>
      <c r="O32" s="1186">
        <f t="shared" si="5"/>
        <v>0</v>
      </c>
      <c r="P32" s="1186">
        <f t="shared" si="5"/>
        <v>0</v>
      </c>
      <c r="Q32" s="258">
        <f t="shared" si="3"/>
        <v>0</v>
      </c>
    </row>
    <row r="33" spans="2:17" s="733" customFormat="1" ht="27.6" customHeight="1" thickBot="1">
      <c r="B33" s="262" t="s">
        <v>61</v>
      </c>
      <c r="C33" s="1187"/>
      <c r="D33" s="1185">
        <f t="shared" si="2"/>
        <v>0</v>
      </c>
      <c r="E33" s="1185">
        <f t="shared" si="4"/>
        <v>0</v>
      </c>
      <c r="F33" s="1185">
        <f t="shared" si="5"/>
        <v>0</v>
      </c>
      <c r="G33" s="1185">
        <f t="shared" si="5"/>
        <v>0</v>
      </c>
      <c r="H33" s="1185">
        <f t="shared" si="5"/>
        <v>0</v>
      </c>
      <c r="I33" s="1185">
        <f t="shared" si="5"/>
        <v>0</v>
      </c>
      <c r="J33" s="1185">
        <f t="shared" si="5"/>
        <v>0</v>
      </c>
      <c r="K33" s="1185">
        <f t="shared" si="5"/>
        <v>0</v>
      </c>
      <c r="L33" s="1185">
        <f t="shared" si="5"/>
        <v>0</v>
      </c>
      <c r="M33" s="1185">
        <f t="shared" si="5"/>
        <v>0</v>
      </c>
      <c r="N33" s="1185">
        <f t="shared" si="5"/>
        <v>0</v>
      </c>
      <c r="O33" s="1185">
        <f t="shared" si="5"/>
        <v>0</v>
      </c>
      <c r="P33" s="1185">
        <f t="shared" si="5"/>
        <v>0</v>
      </c>
      <c r="Q33" s="258">
        <f t="shared" si="3"/>
        <v>0</v>
      </c>
    </row>
    <row r="34" spans="2:17" s="733" customFormat="1" ht="27.6" customHeight="1" thickBot="1">
      <c r="B34" s="259" t="s">
        <v>62</v>
      </c>
      <c r="C34" s="1186"/>
      <c r="D34" s="1185">
        <f t="shared" si="2"/>
        <v>0</v>
      </c>
      <c r="E34" s="1186">
        <f t="shared" si="4"/>
        <v>0</v>
      </c>
      <c r="F34" s="1186">
        <f t="shared" si="5"/>
        <v>0</v>
      </c>
      <c r="G34" s="1186">
        <f t="shared" si="5"/>
        <v>0</v>
      </c>
      <c r="H34" s="1186">
        <f t="shared" si="5"/>
        <v>0</v>
      </c>
      <c r="I34" s="1186">
        <f t="shared" si="5"/>
        <v>0</v>
      </c>
      <c r="J34" s="1186">
        <f t="shared" si="5"/>
        <v>0</v>
      </c>
      <c r="K34" s="1186">
        <f t="shared" si="5"/>
        <v>0</v>
      </c>
      <c r="L34" s="1186">
        <f t="shared" si="5"/>
        <v>0</v>
      </c>
      <c r="M34" s="1186">
        <f t="shared" si="5"/>
        <v>0</v>
      </c>
      <c r="N34" s="1186">
        <f t="shared" si="5"/>
        <v>0</v>
      </c>
      <c r="O34" s="1186">
        <f t="shared" si="5"/>
        <v>0</v>
      </c>
      <c r="P34" s="1186">
        <f t="shared" si="5"/>
        <v>0</v>
      </c>
      <c r="Q34" s="258">
        <f t="shared" si="3"/>
        <v>0</v>
      </c>
    </row>
    <row r="35" spans="2:17" s="733" customFormat="1" ht="27.6" customHeight="1" thickBot="1">
      <c r="B35" s="262" t="s">
        <v>63</v>
      </c>
      <c r="C35" s="1187"/>
      <c r="D35" s="1185">
        <f t="shared" si="2"/>
        <v>0</v>
      </c>
      <c r="E35" s="1185">
        <f t="shared" si="4"/>
        <v>0</v>
      </c>
      <c r="F35" s="1185">
        <f t="shared" si="5"/>
        <v>0</v>
      </c>
      <c r="G35" s="1185">
        <f t="shared" si="5"/>
        <v>0</v>
      </c>
      <c r="H35" s="1185">
        <f t="shared" si="5"/>
        <v>0</v>
      </c>
      <c r="I35" s="1185">
        <f t="shared" si="5"/>
        <v>0</v>
      </c>
      <c r="J35" s="1185">
        <f t="shared" si="5"/>
        <v>0</v>
      </c>
      <c r="K35" s="1185">
        <f t="shared" si="5"/>
        <v>0</v>
      </c>
      <c r="L35" s="1185">
        <f t="shared" si="5"/>
        <v>0</v>
      </c>
      <c r="M35" s="1185">
        <f t="shared" si="5"/>
        <v>0</v>
      </c>
      <c r="N35" s="1185">
        <f t="shared" si="5"/>
        <v>0</v>
      </c>
      <c r="O35" s="1185">
        <f t="shared" si="5"/>
        <v>0</v>
      </c>
      <c r="P35" s="1185">
        <f t="shared" si="5"/>
        <v>0</v>
      </c>
      <c r="Q35" s="258">
        <f t="shared" si="3"/>
        <v>0</v>
      </c>
    </row>
    <row r="36" spans="2:17" s="733" customFormat="1" ht="27.6" customHeight="1" thickBot="1">
      <c r="B36" s="259" t="s">
        <v>567</v>
      </c>
      <c r="C36" s="1186"/>
      <c r="D36" s="1185">
        <f t="shared" si="2"/>
        <v>0</v>
      </c>
      <c r="E36" s="1186">
        <f t="shared" si="4"/>
        <v>0</v>
      </c>
      <c r="F36" s="1186">
        <f t="shared" si="5"/>
        <v>0</v>
      </c>
      <c r="G36" s="1186">
        <f t="shared" si="5"/>
        <v>0</v>
      </c>
      <c r="H36" s="1186">
        <f t="shared" si="5"/>
        <v>0</v>
      </c>
      <c r="I36" s="1186">
        <f t="shared" si="5"/>
        <v>0</v>
      </c>
      <c r="J36" s="1186">
        <f t="shared" si="5"/>
        <v>0</v>
      </c>
      <c r="K36" s="1186">
        <f t="shared" si="5"/>
        <v>0</v>
      </c>
      <c r="L36" s="1186">
        <f t="shared" si="5"/>
        <v>0</v>
      </c>
      <c r="M36" s="1186">
        <f t="shared" si="5"/>
        <v>0</v>
      </c>
      <c r="N36" s="1186">
        <f t="shared" si="5"/>
        <v>0</v>
      </c>
      <c r="O36" s="1186">
        <f t="shared" si="5"/>
        <v>0</v>
      </c>
      <c r="P36" s="1186">
        <f t="shared" si="5"/>
        <v>0</v>
      </c>
      <c r="Q36" s="258">
        <f t="shared" si="3"/>
        <v>0</v>
      </c>
    </row>
    <row r="37" spans="2:17" s="733" customFormat="1" ht="27.6" customHeight="1" thickBot="1">
      <c r="B37" s="262" t="s">
        <v>64</v>
      </c>
      <c r="C37" s="1188"/>
      <c r="D37" s="1185">
        <f t="shared" si="2"/>
        <v>0</v>
      </c>
      <c r="E37" s="1185">
        <f t="shared" si="4"/>
        <v>0</v>
      </c>
      <c r="F37" s="1185">
        <f t="shared" si="5"/>
        <v>0</v>
      </c>
      <c r="G37" s="1185">
        <f t="shared" si="5"/>
        <v>0</v>
      </c>
      <c r="H37" s="1185">
        <f t="shared" si="5"/>
        <v>0</v>
      </c>
      <c r="I37" s="1185">
        <f t="shared" si="5"/>
        <v>0</v>
      </c>
      <c r="J37" s="1185">
        <f t="shared" si="5"/>
        <v>0</v>
      </c>
      <c r="K37" s="1185">
        <f t="shared" si="5"/>
        <v>0</v>
      </c>
      <c r="L37" s="1185">
        <f t="shared" si="5"/>
        <v>0</v>
      </c>
      <c r="M37" s="1185">
        <f t="shared" si="5"/>
        <v>0</v>
      </c>
      <c r="N37" s="1185">
        <f t="shared" si="5"/>
        <v>0</v>
      </c>
      <c r="O37" s="1185">
        <f t="shared" si="5"/>
        <v>0</v>
      </c>
      <c r="P37" s="1185">
        <f t="shared" si="5"/>
        <v>0</v>
      </c>
      <c r="Q37" s="258">
        <f t="shared" si="3"/>
        <v>0</v>
      </c>
    </row>
    <row r="38" spans="2:17">
      <c r="E38" s="732"/>
      <c r="F38" s="732"/>
      <c r="G38" s="732"/>
      <c r="H38" s="732"/>
      <c r="I38" s="732"/>
      <c r="J38" s="732"/>
      <c r="K38" s="732"/>
      <c r="L38" s="732"/>
      <c r="M38" s="732"/>
      <c r="N38" s="732"/>
      <c r="O38" s="732"/>
      <c r="P38" s="732"/>
      <c r="Q38" s="732"/>
    </row>
    <row r="39" spans="2:17">
      <c r="E39" s="732"/>
      <c r="F39" s="732"/>
      <c r="G39" s="732"/>
      <c r="H39" s="732"/>
      <c r="I39" s="732"/>
      <c r="J39" s="732"/>
      <c r="K39" s="732"/>
      <c r="L39" s="732"/>
      <c r="M39" s="732"/>
      <c r="N39" s="732"/>
      <c r="O39" s="732"/>
      <c r="P39" s="732"/>
      <c r="Q39" s="732"/>
    </row>
    <row r="40" spans="2:17">
      <c r="E40" s="732"/>
      <c r="F40" s="732"/>
      <c r="G40" s="732"/>
      <c r="H40" s="732"/>
      <c r="I40" s="732"/>
      <c r="J40" s="732"/>
      <c r="K40" s="732"/>
      <c r="L40" s="732"/>
      <c r="M40" s="732"/>
      <c r="N40" s="732"/>
      <c r="O40" s="732"/>
      <c r="P40" s="732"/>
      <c r="Q40" s="732"/>
    </row>
    <row r="41" spans="2:17">
      <c r="E41" s="732"/>
      <c r="F41" s="732"/>
      <c r="G41" s="732"/>
      <c r="H41" s="732"/>
      <c r="I41" s="732"/>
      <c r="J41" s="732"/>
      <c r="K41" s="732"/>
      <c r="L41" s="732"/>
      <c r="M41" s="732"/>
      <c r="N41" s="732"/>
      <c r="O41" s="732"/>
      <c r="P41" s="732"/>
      <c r="Q41" s="732"/>
    </row>
    <row r="42" spans="2:17">
      <c r="E42" s="732"/>
      <c r="F42" s="732"/>
      <c r="G42" s="732"/>
      <c r="H42" s="732"/>
      <c r="I42" s="732"/>
      <c r="J42" s="732"/>
      <c r="K42" s="732"/>
      <c r="L42" s="732"/>
      <c r="M42" s="732"/>
      <c r="N42" s="732"/>
      <c r="O42" s="732"/>
      <c r="P42" s="732"/>
      <c r="Q42" s="732"/>
    </row>
    <row r="43" spans="2:17">
      <c r="E43" s="732"/>
      <c r="F43" s="732"/>
      <c r="G43" s="732"/>
      <c r="H43" s="732"/>
      <c r="I43" s="732"/>
      <c r="J43" s="732"/>
      <c r="K43" s="732"/>
      <c r="L43" s="732"/>
      <c r="M43" s="732"/>
      <c r="N43" s="732"/>
      <c r="O43" s="732"/>
      <c r="P43" s="732"/>
      <c r="Q43" s="732"/>
    </row>
    <row r="44" spans="2:17">
      <c r="E44" s="732"/>
      <c r="F44" s="732"/>
      <c r="G44" s="732"/>
      <c r="H44" s="732"/>
      <c r="I44" s="732"/>
      <c r="J44" s="732"/>
      <c r="K44" s="732"/>
      <c r="L44" s="732"/>
      <c r="M44" s="732"/>
      <c r="N44" s="732"/>
      <c r="O44" s="732"/>
      <c r="P44" s="732"/>
      <c r="Q44" s="732"/>
    </row>
    <row r="45" spans="2:17">
      <c r="E45" s="732"/>
      <c r="F45" s="732"/>
      <c r="G45" s="732"/>
      <c r="H45" s="732"/>
      <c r="I45" s="732"/>
      <c r="J45" s="732"/>
      <c r="K45" s="732"/>
      <c r="L45" s="732"/>
      <c r="M45" s="732"/>
      <c r="N45" s="732"/>
      <c r="O45" s="732"/>
      <c r="P45" s="732"/>
      <c r="Q45" s="732"/>
    </row>
    <row r="46" spans="2:17">
      <c r="E46" s="732"/>
      <c r="F46" s="732"/>
      <c r="G46" s="732"/>
      <c r="H46" s="732"/>
      <c r="I46" s="732"/>
      <c r="J46" s="732"/>
      <c r="K46" s="732"/>
      <c r="L46" s="732"/>
      <c r="M46" s="732"/>
      <c r="N46" s="732"/>
      <c r="O46" s="732"/>
      <c r="P46" s="732"/>
      <c r="Q46" s="732"/>
    </row>
    <row r="47" spans="2:17">
      <c r="E47" s="732"/>
      <c r="F47" s="732"/>
      <c r="G47" s="732"/>
      <c r="H47" s="732"/>
      <c r="I47" s="732"/>
      <c r="J47" s="732"/>
      <c r="K47" s="732"/>
      <c r="L47" s="732"/>
      <c r="M47" s="732"/>
      <c r="N47" s="732"/>
      <c r="O47" s="732"/>
      <c r="P47" s="732"/>
      <c r="Q47" s="732"/>
    </row>
    <row r="48" spans="2:17">
      <c r="E48" s="732"/>
      <c r="F48" s="732"/>
      <c r="G48" s="732"/>
      <c r="H48" s="732"/>
      <c r="I48" s="732"/>
      <c r="J48" s="732"/>
      <c r="K48" s="732"/>
      <c r="L48" s="732"/>
      <c r="M48" s="732"/>
      <c r="N48" s="732"/>
      <c r="O48" s="732"/>
      <c r="P48" s="732"/>
      <c r="Q48" s="732"/>
    </row>
    <row r="49" spans="5:17">
      <c r="E49" s="732"/>
      <c r="F49" s="732"/>
      <c r="G49" s="732"/>
      <c r="H49" s="732"/>
      <c r="I49" s="732"/>
      <c r="J49" s="732"/>
      <c r="K49" s="732"/>
      <c r="L49" s="732"/>
      <c r="M49" s="732"/>
      <c r="N49" s="732"/>
      <c r="O49" s="732"/>
      <c r="P49" s="732"/>
      <c r="Q49" s="732"/>
    </row>
    <row r="50" spans="5:17">
      <c r="E50" s="732"/>
      <c r="F50" s="732"/>
      <c r="G50" s="732"/>
      <c r="H50" s="732"/>
      <c r="I50" s="732"/>
      <c r="J50" s="732"/>
      <c r="K50" s="732"/>
      <c r="L50" s="732"/>
      <c r="M50" s="732"/>
      <c r="N50" s="732"/>
      <c r="O50" s="732"/>
      <c r="P50" s="732"/>
      <c r="Q50" s="732"/>
    </row>
    <row r="51" spans="5:17">
      <c r="E51" s="732"/>
      <c r="F51" s="732"/>
      <c r="G51" s="732"/>
      <c r="H51" s="732"/>
      <c r="I51" s="732"/>
      <c r="J51" s="732"/>
      <c r="K51" s="732"/>
      <c r="L51" s="732"/>
      <c r="M51" s="732"/>
      <c r="N51" s="732"/>
      <c r="O51" s="732"/>
      <c r="P51" s="732"/>
      <c r="Q51" s="732"/>
    </row>
  </sheetData>
  <mergeCells count="3">
    <mergeCell ref="E2:Q2"/>
    <mergeCell ref="D2:D3"/>
    <mergeCell ref="C2:C3"/>
  </mergeCells>
  <pageMargins left="0.25" right="0.25" top="0.75" bottom="0.75" header="0.3" footer="0.3"/>
  <pageSetup paperSize="9" scale="48" orientation="landscape" r:id="rId1"/>
  <rowBreaks count="1" manualBreakCount="1">
    <brk id="37" max="17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66"/>
    <pageSetUpPr fitToPage="1"/>
  </sheetPr>
  <dimension ref="A1:X187"/>
  <sheetViews>
    <sheetView view="pageBreakPreview" topLeftCell="A47" zoomScale="80" zoomScaleNormal="70" zoomScaleSheetLayoutView="80" workbookViewId="0">
      <selection activeCell="B9" sqref="B9"/>
    </sheetView>
  </sheetViews>
  <sheetFormatPr defaultColWidth="9.109375" defaultRowHeight="14.4"/>
  <cols>
    <col min="1" max="1" width="32.88671875" style="2" customWidth="1"/>
    <col min="2" max="2" width="17.44140625" style="352" bestFit="1" customWidth="1"/>
    <col min="3" max="3" width="16.5546875" style="352" customWidth="1"/>
    <col min="4" max="13" width="10.88671875" style="2" customWidth="1"/>
    <col min="14" max="14" width="10.88671875" style="3" customWidth="1"/>
    <col min="15" max="16" width="10.88671875" style="2" customWidth="1"/>
    <col min="17" max="17" width="11.33203125" style="2" customWidth="1"/>
    <col min="18" max="18" width="21.33203125" style="2" hidden="1" customWidth="1"/>
    <col min="19" max="20" width="16.5546875" style="352" bestFit="1" customWidth="1"/>
    <col min="21" max="22" width="9.109375" style="352"/>
    <col min="23" max="24" width="0" style="2" hidden="1" customWidth="1"/>
    <col min="25" max="16384" width="9.109375" style="2"/>
  </cols>
  <sheetData>
    <row r="1" spans="1:22" ht="15" thickBot="1">
      <c r="L1" s="3"/>
      <c r="N1" s="2"/>
    </row>
    <row r="2" spans="1:22" ht="33" customHeight="1">
      <c r="A2" s="5"/>
      <c r="B2" s="2357" t="s">
        <v>649</v>
      </c>
      <c r="C2" s="2355" t="s">
        <v>647</v>
      </c>
      <c r="D2" s="2362" t="s">
        <v>651</v>
      </c>
      <c r="E2" s="2363"/>
      <c r="F2" s="2363"/>
      <c r="G2" s="2363"/>
      <c r="H2" s="2363"/>
      <c r="I2" s="2363"/>
      <c r="J2" s="2363"/>
      <c r="K2" s="2363"/>
      <c r="L2" s="2363"/>
      <c r="M2" s="2363"/>
      <c r="N2" s="2363"/>
      <c r="O2" s="2363"/>
      <c r="P2" s="2364"/>
      <c r="Q2" s="937" t="s">
        <v>638</v>
      </c>
    </row>
    <row r="3" spans="1:22" ht="30.75" customHeight="1" thickBot="1">
      <c r="A3" s="7"/>
      <c r="B3" s="2358"/>
      <c r="C3" s="2356"/>
      <c r="D3" s="938" t="s">
        <v>1</v>
      </c>
      <c r="E3" s="939" t="s">
        <v>2</v>
      </c>
      <c r="F3" s="939" t="s">
        <v>3</v>
      </c>
      <c r="G3" s="939" t="s">
        <v>4</v>
      </c>
      <c r="H3" s="939" t="s">
        <v>5</v>
      </c>
      <c r="I3" s="939" t="s">
        <v>6</v>
      </c>
      <c r="J3" s="939" t="s">
        <v>7</v>
      </c>
      <c r="K3" s="939" t="s">
        <v>8</v>
      </c>
      <c r="L3" s="939" t="s">
        <v>9</v>
      </c>
      <c r="M3" s="939" t="s">
        <v>10</v>
      </c>
      <c r="N3" s="939" t="s">
        <v>11</v>
      </c>
      <c r="O3" s="939" t="s">
        <v>12</v>
      </c>
      <c r="P3" s="940" t="s">
        <v>13</v>
      </c>
      <c r="Q3" s="941" t="s">
        <v>619</v>
      </c>
    </row>
    <row r="4" spans="1:22" s="948" customFormat="1" ht="30" customHeight="1" thickBot="1">
      <c r="A4" s="942" t="s">
        <v>24</v>
      </c>
      <c r="B4" s="1195">
        <f>B7+B8+B13</f>
        <v>0</v>
      </c>
      <c r="C4" s="1195">
        <f>C7+C8+C13</f>
        <v>0</v>
      </c>
      <c r="D4" s="945">
        <f t="shared" ref="D4:N4" si="0">D7+D8+D13</f>
        <v>0</v>
      </c>
      <c r="E4" s="946">
        <f t="shared" si="0"/>
        <v>0</v>
      </c>
      <c r="F4" s="946">
        <f t="shared" si="0"/>
        <v>0</v>
      </c>
      <c r="G4" s="946">
        <f t="shared" si="0"/>
        <v>0</v>
      </c>
      <c r="H4" s="946">
        <f t="shared" si="0"/>
        <v>0</v>
      </c>
      <c r="I4" s="946">
        <f t="shared" si="0"/>
        <v>0</v>
      </c>
      <c r="J4" s="946">
        <f t="shared" si="0"/>
        <v>0</v>
      </c>
      <c r="K4" s="946">
        <f t="shared" si="0"/>
        <v>0</v>
      </c>
      <c r="L4" s="946">
        <f t="shared" si="0"/>
        <v>0</v>
      </c>
      <c r="M4" s="946">
        <f t="shared" si="0"/>
        <v>0</v>
      </c>
      <c r="N4" s="946">
        <f t="shared" si="0"/>
        <v>0</v>
      </c>
      <c r="O4" s="944">
        <f>O7+O8+O13</f>
        <v>0</v>
      </c>
      <c r="P4" s="943">
        <f t="shared" ref="P4:P21" si="1">SUM(D4:O4)</f>
        <v>0</v>
      </c>
      <c r="Q4" s="947" t="str">
        <f t="shared" ref="Q4:Q19" si="2">IF(P4=0,"-",P4/C4-1)</f>
        <v>-</v>
      </c>
      <c r="R4" s="1019">
        <f>+P4-'Perakende Özet M3'!P4</f>
        <v>0</v>
      </c>
      <c r="S4" s="352"/>
      <c r="T4" s="352"/>
      <c r="U4" s="352"/>
      <c r="V4" s="352"/>
    </row>
    <row r="5" spans="1:22" ht="30" customHeight="1">
      <c r="A5" s="949" t="s">
        <v>15</v>
      </c>
      <c r="B5" s="1196">
        <f>İHALE!B5+'Ötv''siz Deniz'!B5+'Ötv''li Deniz'!B5+DAĞITICI!B5+Perakende!B5+ENDÜSTRİYEL!B5</f>
        <v>0</v>
      </c>
      <c r="C5" s="1196">
        <f>İHALE!C5+'Ötv''siz Deniz'!C5+'Ötv''li Deniz'!C5+DAĞITICI!C5+Perakende!C5+ENDÜSTRİYEL!C5</f>
        <v>0</v>
      </c>
      <c r="D5" s="951">
        <f>İHALE!D5+'Ötv''siz Deniz'!D5+'Ötv''li Deniz'!D5+DAĞITICI!D5+Perakende!D5+ENDÜSTRİYEL!D5</f>
        <v>0</v>
      </c>
      <c r="E5" s="952">
        <f>İHALE!E5+'Ötv''siz Deniz'!E5+'Ötv''li Deniz'!E5+DAĞITICI!E5+Perakende!E5+ENDÜSTRİYEL!E5</f>
        <v>0</v>
      </c>
      <c r="F5" s="952">
        <f>İHALE!F5+'Ötv''siz Deniz'!F5+'Ötv''li Deniz'!F5+DAĞITICI!F5+Perakende!F5+ENDÜSTRİYEL!F5</f>
        <v>0</v>
      </c>
      <c r="G5" s="952">
        <f>İHALE!G5+'Ötv''siz Deniz'!G5+'Ötv''li Deniz'!G5+DAĞITICI!G5+Perakende!G5+ENDÜSTRİYEL!G5</f>
        <v>0</v>
      </c>
      <c r="H5" s="953">
        <f>İHALE!H5+'Ötv''siz Deniz'!H5+'Ötv''li Deniz'!H5+DAĞITICI!H5+Perakende!H5+ENDÜSTRİYEL!H5</f>
        <v>0</v>
      </c>
      <c r="I5" s="953">
        <f>İHALE!I5+'Ötv''siz Deniz'!I5+'Ötv''li Deniz'!I5+DAĞITICI!I5+Perakende!I5+ENDÜSTRİYEL!I5</f>
        <v>0</v>
      </c>
      <c r="J5" s="953">
        <f>İHALE!J5+'Ötv''siz Deniz'!J5+'Ötv''li Deniz'!J5+DAĞITICI!J5+Perakende!J5+ENDÜSTRİYEL!J5</f>
        <v>0</v>
      </c>
      <c r="K5" s="953">
        <f>İHALE!K5+'Ötv''siz Deniz'!K5+'Ötv''li Deniz'!K5+DAĞITICI!K5+Perakende!K5+ENDÜSTRİYEL!K5</f>
        <v>0</v>
      </c>
      <c r="L5" s="953">
        <f>İHALE!L5+'Ötv''siz Deniz'!L5+'Ötv''li Deniz'!L5+DAĞITICI!L5+Perakende!L5+ENDÜSTRİYEL!L5</f>
        <v>0</v>
      </c>
      <c r="M5" s="953">
        <f>İHALE!M5+'Ötv''siz Deniz'!M5+'Ötv''li Deniz'!M5+DAĞITICI!M5+Perakende!M5+ENDÜSTRİYEL!M5</f>
        <v>0</v>
      </c>
      <c r="N5" s="953">
        <f>İHALE!N5+'Ötv''siz Deniz'!N5+'Ötv''li Deniz'!N5+DAĞITICI!N5+Perakende!N5+ENDÜSTRİYEL!N5</f>
        <v>0</v>
      </c>
      <c r="O5" s="954">
        <f>İHALE!O5+'Ötv''siz Deniz'!O5+'Ötv''li Deniz'!O5+DAĞITICI!O5+Perakende!O5+ENDÜSTRİYEL!O5</f>
        <v>0</v>
      </c>
      <c r="P5" s="950">
        <f t="shared" si="1"/>
        <v>0</v>
      </c>
      <c r="Q5" s="26" t="str">
        <f>IF(P5=0,"-",P5/C5-1)</f>
        <v>-</v>
      </c>
      <c r="R5" s="27"/>
      <c r="S5" s="376"/>
      <c r="T5" s="376"/>
      <c r="U5" s="376"/>
      <c r="V5" s="376"/>
    </row>
    <row r="6" spans="1:22" ht="30" hidden="1" customHeight="1">
      <c r="A6" s="955" t="s">
        <v>16</v>
      </c>
      <c r="B6" s="1197">
        <f>İHALE!B6+'Ötv''siz Deniz'!B6+'Ötv''li Deniz'!B6+DAĞITICI!B6+Perakende!B6+ENDÜSTRİYEL!B6</f>
        <v>0</v>
      </c>
      <c r="C6" s="1197">
        <f>İHALE!C6+'Ötv''siz Deniz'!C6+'Ötv''li Deniz'!C6+DAĞITICI!C6+Perakende!C6+ENDÜSTRİYEL!C6</f>
        <v>0</v>
      </c>
      <c r="D6" s="956">
        <f>İHALE!D6+'Ötv''siz Deniz'!D6+'Ötv''li Deniz'!D6+DAĞITICI!D6+Perakende!D6+ENDÜSTRİYEL!D6</f>
        <v>0</v>
      </c>
      <c r="E6" s="957">
        <f>İHALE!E6+'Ötv''siz Deniz'!E6+'Ötv''li Deniz'!E6+DAĞITICI!E6+Perakende!E6+ENDÜSTRİYEL!E6</f>
        <v>0</v>
      </c>
      <c r="F6" s="957">
        <f>İHALE!F6+'Ötv''siz Deniz'!F6+'Ötv''li Deniz'!F6+DAĞITICI!F6+Perakende!F6+ENDÜSTRİYEL!F6</f>
        <v>0</v>
      </c>
      <c r="G6" s="957">
        <f>İHALE!G6+'Ötv''siz Deniz'!G6+'Ötv''li Deniz'!G6+DAĞITICI!G6+Perakende!G6+ENDÜSTRİYEL!G6</f>
        <v>0</v>
      </c>
      <c r="H6" s="958">
        <f>İHALE!H6+'Ötv''siz Deniz'!H6+'Ötv''li Deniz'!H6+DAĞITICI!H6+Perakende!H6+ENDÜSTRİYEL!H6</f>
        <v>0</v>
      </c>
      <c r="I6" s="958">
        <f>İHALE!I6+'Ötv''siz Deniz'!I6+'Ötv''li Deniz'!I6+DAĞITICI!I6+Perakende!I6+ENDÜSTRİYEL!I6</f>
        <v>0</v>
      </c>
      <c r="J6" s="958">
        <f>İHALE!J6+'Ötv''siz Deniz'!J6+'Ötv''li Deniz'!J6+DAĞITICI!J6+Perakende!J6+ENDÜSTRİYEL!J6</f>
        <v>0</v>
      </c>
      <c r="K6" s="958">
        <f>İHALE!K6+'Ötv''siz Deniz'!K6+'Ötv''li Deniz'!K6+DAĞITICI!K6+Perakende!K6+ENDÜSTRİYEL!K6</f>
        <v>0</v>
      </c>
      <c r="L6" s="958">
        <f>İHALE!L6+'Ötv''siz Deniz'!L6+'Ötv''li Deniz'!L6+DAĞITICI!L6+Perakende!L6+ENDÜSTRİYEL!L6</f>
        <v>0</v>
      </c>
      <c r="M6" s="958">
        <f>İHALE!M6+'Ötv''siz Deniz'!M6+'Ötv''li Deniz'!M6+DAĞITICI!M6+Perakende!M6+ENDÜSTRİYEL!M6</f>
        <v>0</v>
      </c>
      <c r="N6" s="958">
        <f>İHALE!N6+'Ötv''siz Deniz'!N6+'Ötv''li Deniz'!N6+DAĞITICI!N6+Perakende!N6+ENDÜSTRİYEL!N6</f>
        <v>0</v>
      </c>
      <c r="O6" s="959">
        <f>İHALE!O6+'Ötv''siz Deniz'!O6+'Ötv''li Deniz'!O6+DAĞITICI!O6+Perakende!O6+ENDÜSTRİYEL!O6</f>
        <v>0</v>
      </c>
      <c r="P6" s="48">
        <f t="shared" si="1"/>
        <v>0</v>
      </c>
      <c r="Q6" s="35" t="str">
        <f>IF(P6=0,"-",P6/C6-1)</f>
        <v>-</v>
      </c>
    </row>
    <row r="7" spans="1:22" s="966" customFormat="1" ht="30" customHeight="1">
      <c r="A7" s="960" t="s">
        <v>27</v>
      </c>
      <c r="B7" s="1198">
        <f t="shared" ref="B7" si="3">B5+B6</f>
        <v>0</v>
      </c>
      <c r="C7" s="1198">
        <f t="shared" ref="C7:O7" si="4">C5+C6</f>
        <v>0</v>
      </c>
      <c r="D7" s="963">
        <f>D5+D6</f>
        <v>0</v>
      </c>
      <c r="E7" s="964">
        <f t="shared" si="4"/>
        <v>0</v>
      </c>
      <c r="F7" s="964">
        <f t="shared" si="4"/>
        <v>0</v>
      </c>
      <c r="G7" s="964">
        <f t="shared" si="4"/>
        <v>0</v>
      </c>
      <c r="H7" s="964">
        <f t="shared" si="4"/>
        <v>0</v>
      </c>
      <c r="I7" s="964">
        <f t="shared" si="4"/>
        <v>0</v>
      </c>
      <c r="J7" s="964">
        <f t="shared" si="4"/>
        <v>0</v>
      </c>
      <c r="K7" s="964">
        <f t="shared" si="4"/>
        <v>0</v>
      </c>
      <c r="L7" s="964">
        <f t="shared" si="4"/>
        <v>0</v>
      </c>
      <c r="M7" s="964">
        <f t="shared" si="4"/>
        <v>0</v>
      </c>
      <c r="N7" s="964">
        <f t="shared" si="4"/>
        <v>0</v>
      </c>
      <c r="O7" s="962">
        <f t="shared" si="4"/>
        <v>0</v>
      </c>
      <c r="P7" s="961">
        <f t="shared" si="1"/>
        <v>0</v>
      </c>
      <c r="Q7" s="965" t="str">
        <f>IF(P7=0,"-",P7/C7-1)</f>
        <v>-</v>
      </c>
      <c r="S7" s="281"/>
      <c r="T7" s="281"/>
      <c r="U7" s="281"/>
      <c r="V7" s="281"/>
    </row>
    <row r="8" spans="1:22" s="948" customFormat="1" ht="30" customHeight="1">
      <c r="A8" s="967" t="s">
        <v>17</v>
      </c>
      <c r="B8" s="1199">
        <f>İHALE!B8+'Ötv''siz Deniz'!B8+'Ötv''li Deniz'!B8+DAĞITICI!B8+Perakende!B8+ENDÜSTRİYEL!B8</f>
        <v>0</v>
      </c>
      <c r="C8" s="1199">
        <f>İHALE!C8+'Ötv''siz Deniz'!C8+'Ötv''li Deniz'!C8+DAĞITICI!C8+Perakende!C8+ENDÜSTRİYEL!C8</f>
        <v>0</v>
      </c>
      <c r="D8" s="1557">
        <f>İHALE!D8+'Ötv''siz Deniz'!D8+'Ötv''li Deniz'!D8+DAĞITICI!D8+Perakende!D8+ENDÜSTRİYEL!D8</f>
        <v>0</v>
      </c>
      <c r="E8" s="1558">
        <f>İHALE!E8+'Ötv''siz Deniz'!E8+'Ötv''li Deniz'!E8+DAĞITICI!E8+Perakende!E8+ENDÜSTRİYEL!E8</f>
        <v>0</v>
      </c>
      <c r="F8" s="1558">
        <f>İHALE!F8+'Ötv''siz Deniz'!F8+'Ötv''li Deniz'!F8+DAĞITICI!F8+Perakende!F8+ENDÜSTRİYEL!F8</f>
        <v>0</v>
      </c>
      <c r="G8" s="1558">
        <f>İHALE!G8+'Ötv''siz Deniz'!G8+'Ötv''li Deniz'!G8+DAĞITICI!G8+Perakende!G8+ENDÜSTRİYEL!G8</f>
        <v>0</v>
      </c>
      <c r="H8" s="1558">
        <f>İHALE!H8+'Ötv''siz Deniz'!H8+'Ötv''li Deniz'!H8+DAĞITICI!H8+Perakende!H8+ENDÜSTRİYEL!H8</f>
        <v>0</v>
      </c>
      <c r="I8" s="1558">
        <f>İHALE!I8+'Ötv''siz Deniz'!I8+'Ötv''li Deniz'!I8+DAĞITICI!I8+Perakende!I8+ENDÜSTRİYEL!I8</f>
        <v>0</v>
      </c>
      <c r="J8" s="1558">
        <f>İHALE!J8+'Ötv''siz Deniz'!J8+'Ötv''li Deniz'!J8+DAĞITICI!J8+Perakende!J8+ENDÜSTRİYEL!J8</f>
        <v>0</v>
      </c>
      <c r="K8" s="1558">
        <f>İHALE!K8+'Ötv''siz Deniz'!K8+'Ötv''li Deniz'!K8+DAĞITICI!K8+Perakende!K8+ENDÜSTRİYEL!K8</f>
        <v>0</v>
      </c>
      <c r="L8" s="1558">
        <f>İHALE!L8+'Ötv''siz Deniz'!L8+'Ötv''li Deniz'!L8+DAĞITICI!L8+Perakende!L8+ENDÜSTRİYEL!L8</f>
        <v>0</v>
      </c>
      <c r="M8" s="1558">
        <f>İHALE!M8+'Ötv''siz Deniz'!M8+'Ötv''li Deniz'!M8+DAĞITICI!M8+Perakende!M8+ENDÜSTRİYEL!M8</f>
        <v>0</v>
      </c>
      <c r="N8" s="1558">
        <f>İHALE!N8+'Ötv''siz Deniz'!N8+'Ötv''li Deniz'!N8+DAĞITICI!N8+Perakende!N8+ENDÜSTRİYEL!N8</f>
        <v>0</v>
      </c>
      <c r="O8" s="1559">
        <f>İHALE!O8+'Ötv''siz Deniz'!O8+'Ötv''li Deniz'!O8+DAĞITICI!O8+Perakende!O8+ENDÜSTRİYEL!O8</f>
        <v>0</v>
      </c>
      <c r="P8" s="1862">
        <f t="shared" si="1"/>
        <v>0</v>
      </c>
      <c r="Q8" s="968" t="str">
        <f>IF(P8=0,"-",P8/C8-1)</f>
        <v>-</v>
      </c>
      <c r="S8" s="352"/>
      <c r="T8" s="352"/>
      <c r="U8" s="352"/>
      <c r="V8" s="352"/>
    </row>
    <row r="9" spans="1:22" ht="30" customHeight="1">
      <c r="A9" s="969" t="s">
        <v>81</v>
      </c>
      <c r="B9" s="401">
        <f>İHALE!B9+'Ötv''siz Deniz'!B9+'Ötv''li Deniz'!B9+DAĞITICI!B9+Perakende!B9+ENDÜSTRİYEL!B9</f>
        <v>0</v>
      </c>
      <c r="C9" s="401">
        <f>İHALE!C9+'Ötv''siz Deniz'!C9+'Ötv''li Deniz'!C9+DAĞITICI!C9+Perakende!C9+ENDÜSTRİYEL!C9</f>
        <v>0</v>
      </c>
      <c r="D9" s="970">
        <f>İHALE!D9+'Ötv''siz Deniz'!D9+'Ötv''li Deniz'!D9+DAĞITICI!D9+Perakende!D9+ENDÜSTRİYEL!D9</f>
        <v>0</v>
      </c>
      <c r="E9" s="971">
        <f>İHALE!E9+'Ötv''siz Deniz'!E9+'Ötv''li Deniz'!E9+DAĞITICI!E9+Perakende!E9+ENDÜSTRİYEL!E9</f>
        <v>0</v>
      </c>
      <c r="F9" s="971">
        <f>İHALE!F9+'Ötv''siz Deniz'!F9+'Ötv''li Deniz'!F9+DAĞITICI!F9+Perakende!F9+ENDÜSTRİYEL!F9</f>
        <v>0</v>
      </c>
      <c r="G9" s="971">
        <f>İHALE!G9+'Ötv''siz Deniz'!G9+'Ötv''li Deniz'!G9+DAĞITICI!G9+Perakende!G9+ENDÜSTRİYEL!G9</f>
        <v>0</v>
      </c>
      <c r="H9" s="971">
        <f>İHALE!H9+'Ötv''siz Deniz'!H9+'Ötv''li Deniz'!H9+DAĞITICI!H9+Perakende!H9+ENDÜSTRİYEL!H9</f>
        <v>0</v>
      </c>
      <c r="I9" s="971">
        <f>İHALE!I9+'Ötv''siz Deniz'!I9+'Ötv''li Deniz'!I9+DAĞITICI!I9+Perakende!I9+ENDÜSTRİYEL!I9</f>
        <v>0</v>
      </c>
      <c r="J9" s="971">
        <f>İHALE!J9+'Ötv''siz Deniz'!J9+'Ötv''li Deniz'!J9+DAĞITICI!J9+Perakende!J9+ENDÜSTRİYEL!J9</f>
        <v>0</v>
      </c>
      <c r="K9" s="971">
        <f>İHALE!K9+'Ötv''siz Deniz'!K9+'Ötv''li Deniz'!K9+DAĞITICI!K9+Perakende!K9+ENDÜSTRİYEL!K9</f>
        <v>0</v>
      </c>
      <c r="L9" s="971">
        <f>İHALE!L9+'Ötv''siz Deniz'!L9+'Ötv''li Deniz'!L9+DAĞITICI!L9+Perakende!L9+ENDÜSTRİYEL!L9</f>
        <v>0</v>
      </c>
      <c r="M9" s="971">
        <f>İHALE!M9+'Ötv''siz Deniz'!M9+'Ötv''li Deniz'!M9+DAĞITICI!M9+Perakende!M9+ENDÜSTRİYEL!M9</f>
        <v>0</v>
      </c>
      <c r="N9" s="971">
        <f>İHALE!N9+'Ötv''siz Deniz'!N9+'Ötv''li Deniz'!N9+DAĞITICI!N9+Perakende!N9+ENDÜSTRİYEL!N9</f>
        <v>0</v>
      </c>
      <c r="O9" s="972">
        <f>İHALE!O9+'Ötv''siz Deniz'!O9+'Ötv''li Deniz'!O9+DAĞITICI!O9+Perakende!O9+ENDÜSTRİYEL!O9</f>
        <v>0</v>
      </c>
      <c r="P9" s="56">
        <f t="shared" si="1"/>
        <v>0</v>
      </c>
      <c r="Q9" s="57" t="str">
        <f t="shared" si="2"/>
        <v>-</v>
      </c>
    </row>
    <row r="10" spans="1:22" ht="30" hidden="1" customHeight="1">
      <c r="A10" s="973" t="s">
        <v>82</v>
      </c>
      <c r="B10" s="1197">
        <f>İHALE!B10+'Ötv''siz Deniz'!B10+'Ötv''li Deniz'!B10+DAĞITICI!B10+Perakende!B10+ENDÜSTRİYEL!B10</f>
        <v>0</v>
      </c>
      <c r="C10" s="1197">
        <f>İHALE!C10+'Ötv''siz Deniz'!C10+'Ötv''li Deniz'!C10+DAĞITICI!C10+Perakende!C10+ENDÜSTRİYEL!C10</f>
        <v>0</v>
      </c>
      <c r="D10" s="974">
        <f>İHALE!D10+'Ötv''siz Deniz'!D10+'Ötv''li Deniz'!D10+DAĞITICI!D10+Perakende!D10+ENDÜSTRİYEL!D10</f>
        <v>0</v>
      </c>
      <c r="E10" s="958">
        <f>İHALE!E10+'Ötv''siz Deniz'!E10+'Ötv''li Deniz'!E10+DAĞITICI!E10+Perakende!E10+ENDÜSTRİYEL!E10</f>
        <v>0</v>
      </c>
      <c r="F10" s="958">
        <f>İHALE!F10+'Ötv''siz Deniz'!F10+'Ötv''li Deniz'!F10+DAĞITICI!F10+Perakende!F10+ENDÜSTRİYEL!F10</f>
        <v>0</v>
      </c>
      <c r="G10" s="958">
        <f>İHALE!G10+'Ötv''siz Deniz'!G10+'Ötv''li Deniz'!G10+DAĞITICI!G10+Perakende!G10+ENDÜSTRİYEL!G10</f>
        <v>0</v>
      </c>
      <c r="H10" s="958">
        <f>İHALE!H10+'Ötv''siz Deniz'!H10+'Ötv''li Deniz'!H10+DAĞITICI!H10+Perakende!H10+ENDÜSTRİYEL!H10</f>
        <v>0</v>
      </c>
      <c r="I10" s="958">
        <f>İHALE!I10+'Ötv''siz Deniz'!I10+'Ötv''li Deniz'!I10+DAĞITICI!I10+Perakende!I10+ENDÜSTRİYEL!I10</f>
        <v>0</v>
      </c>
      <c r="J10" s="958">
        <f>İHALE!J10+'Ötv''siz Deniz'!J10+'Ötv''li Deniz'!J10+DAĞITICI!J10+Perakende!J10+ENDÜSTRİYEL!J10</f>
        <v>0</v>
      </c>
      <c r="K10" s="958">
        <f>İHALE!K10+'Ötv''siz Deniz'!K10+'Ötv''li Deniz'!K10+DAĞITICI!K10+Perakende!K10+ENDÜSTRİYEL!K10</f>
        <v>0</v>
      </c>
      <c r="L10" s="958">
        <f>İHALE!L10+'Ötv''siz Deniz'!L10+'Ötv''li Deniz'!L10+DAĞITICI!L10+Perakende!L10+ENDÜSTRİYEL!L10</f>
        <v>0</v>
      </c>
      <c r="M10" s="958">
        <f>İHALE!M10+'Ötv''siz Deniz'!M10+'Ötv''li Deniz'!M10+DAĞITICI!M10+Perakende!M10+ENDÜSTRİYEL!M10</f>
        <v>0</v>
      </c>
      <c r="N10" s="958">
        <f>İHALE!N10+'Ötv''siz Deniz'!N10+'Ötv''li Deniz'!N10+DAĞITICI!N10+Perakende!N10+ENDÜSTRİYEL!N10</f>
        <v>0</v>
      </c>
      <c r="O10" s="959">
        <f>İHALE!O10+'Ötv''siz Deniz'!O10+'Ötv''li Deniz'!O10+DAĞITICI!O10+Perakende!O10+ENDÜSTRİYEL!O10</f>
        <v>0</v>
      </c>
      <c r="P10" s="48">
        <f t="shared" si="1"/>
        <v>0</v>
      </c>
      <c r="Q10" s="35" t="str">
        <f t="shared" si="2"/>
        <v>-</v>
      </c>
    </row>
    <row r="11" spans="1:22" ht="30" customHeight="1">
      <c r="A11" s="969" t="s">
        <v>83</v>
      </c>
      <c r="B11" s="401">
        <f>İHALE!B11+'Ötv''siz Deniz'!B11+'Ötv''li Deniz'!B11+DAĞITICI!B11+Perakende!B11+ENDÜSTRİYEL!B11</f>
        <v>0</v>
      </c>
      <c r="C11" s="401">
        <f>İHALE!C11+'Ötv''siz Deniz'!C11+'Ötv''li Deniz'!C11+DAĞITICI!C11+Perakende!C11+ENDÜSTRİYEL!C11</f>
        <v>0</v>
      </c>
      <c r="D11" s="970">
        <f>İHALE!D11+'Ötv''siz Deniz'!D11+'Ötv''li Deniz'!D11+DAĞITICI!D11+Perakende!D11+ENDÜSTRİYEL!D11</f>
        <v>0</v>
      </c>
      <c r="E11" s="971">
        <f>İHALE!E11+'Ötv''siz Deniz'!E11+'Ötv''li Deniz'!E11+DAĞITICI!E11+Perakende!E11+ENDÜSTRİYEL!E11</f>
        <v>0</v>
      </c>
      <c r="F11" s="971">
        <f>İHALE!F11+'Ötv''siz Deniz'!F11+'Ötv''li Deniz'!F11+DAĞITICI!F11+Perakende!F11+ENDÜSTRİYEL!F11</f>
        <v>0</v>
      </c>
      <c r="G11" s="971">
        <f>İHALE!G11+'Ötv''siz Deniz'!G11+'Ötv''li Deniz'!G11+DAĞITICI!G11+Perakende!G11+ENDÜSTRİYEL!G11</f>
        <v>0</v>
      </c>
      <c r="H11" s="971">
        <f>İHALE!H11+'Ötv''siz Deniz'!H11+'Ötv''li Deniz'!H11+DAĞITICI!H11+Perakende!H11+ENDÜSTRİYEL!H11</f>
        <v>0</v>
      </c>
      <c r="I11" s="971">
        <f>İHALE!I11+'Ötv''siz Deniz'!I11+'Ötv''li Deniz'!I11+DAĞITICI!I11+Perakende!I11+ENDÜSTRİYEL!I11</f>
        <v>0</v>
      </c>
      <c r="J11" s="971">
        <f>İHALE!J11+'Ötv''siz Deniz'!J11+'Ötv''li Deniz'!J11+DAĞITICI!J11+Perakende!J11+ENDÜSTRİYEL!J11</f>
        <v>0</v>
      </c>
      <c r="K11" s="971">
        <f>İHALE!K11+'Ötv''siz Deniz'!K11+'Ötv''li Deniz'!K11+DAĞITICI!K11+Perakende!K11+ENDÜSTRİYEL!K11</f>
        <v>0</v>
      </c>
      <c r="L11" s="971">
        <f>İHALE!L11+'Ötv''siz Deniz'!L11+'Ötv''li Deniz'!L11+DAĞITICI!L11+Perakende!L11+ENDÜSTRİYEL!L11</f>
        <v>0</v>
      </c>
      <c r="M11" s="971">
        <f>İHALE!M11+'Ötv''siz Deniz'!M11+'Ötv''li Deniz'!M11+DAĞITICI!M11+Perakende!M11+ENDÜSTRİYEL!M11</f>
        <v>0</v>
      </c>
      <c r="N11" s="971">
        <f>İHALE!N11+'Ötv''siz Deniz'!N11+'Ötv''li Deniz'!N11+DAĞITICI!N11+Perakende!N11+ENDÜSTRİYEL!N11</f>
        <v>0</v>
      </c>
      <c r="O11" s="972">
        <f>İHALE!O11+'Ötv''siz Deniz'!O11+'Ötv''li Deniz'!O11+DAĞITICI!O11+Perakende!O11+ENDÜSTRİYEL!O11</f>
        <v>0</v>
      </c>
      <c r="P11" s="56">
        <f t="shared" si="1"/>
        <v>0</v>
      </c>
      <c r="Q11" s="57" t="str">
        <f t="shared" si="2"/>
        <v>-</v>
      </c>
    </row>
    <row r="12" spans="1:22" ht="30" hidden="1" customHeight="1">
      <c r="A12" s="973" t="s">
        <v>84</v>
      </c>
      <c r="B12" s="1197">
        <f>İHALE!B12+'Ötv''siz Deniz'!B12+'Ötv''li Deniz'!B12+DAĞITICI!B12+Perakende!B12+ENDÜSTRİYEL!B12</f>
        <v>0</v>
      </c>
      <c r="C12" s="1197">
        <f>İHALE!C12+'Ötv''siz Deniz'!C12+'Ötv''li Deniz'!C12+DAĞITICI!C12+Perakende!C12+ENDÜSTRİYEL!C12</f>
        <v>0</v>
      </c>
      <c r="D12" s="974">
        <f>İHALE!D12+'Ötv''siz Deniz'!D12+'Ötv''li Deniz'!D12+DAĞITICI!D12+Perakende!D12+ENDÜSTRİYEL!D12</f>
        <v>0</v>
      </c>
      <c r="E12" s="958">
        <f>İHALE!E12+'Ötv''siz Deniz'!E12+'Ötv''li Deniz'!E12+DAĞITICI!E12+Perakende!E12+ENDÜSTRİYEL!E12</f>
        <v>0</v>
      </c>
      <c r="F12" s="958">
        <f>İHALE!F12+'Ötv''siz Deniz'!F12+'Ötv''li Deniz'!F12+DAĞITICI!F12+Perakende!F12+ENDÜSTRİYEL!F12</f>
        <v>0</v>
      </c>
      <c r="G12" s="958">
        <f>İHALE!G12+'Ötv''siz Deniz'!G12+'Ötv''li Deniz'!G12+DAĞITICI!G12+Perakende!G12+ENDÜSTRİYEL!G12</f>
        <v>0</v>
      </c>
      <c r="H12" s="958">
        <f>İHALE!H12+'Ötv''siz Deniz'!H12+'Ötv''li Deniz'!H12+DAĞITICI!H12+Perakende!H12+ENDÜSTRİYEL!H12</f>
        <v>0</v>
      </c>
      <c r="I12" s="957">
        <f>İHALE!I12+'Ötv''siz Deniz'!I12+'Ötv''li Deniz'!I12+DAĞITICI!I12+Perakende!I12+ENDÜSTRİYEL!I12</f>
        <v>0</v>
      </c>
      <c r="J12" s="957">
        <f>İHALE!J12+'Ötv''siz Deniz'!J12+'Ötv''li Deniz'!J12+DAĞITICI!J12+Perakende!J12+ENDÜSTRİYEL!J12</f>
        <v>0</v>
      </c>
      <c r="K12" s="958">
        <f>İHALE!K12+'Ötv''siz Deniz'!K12+'Ötv''li Deniz'!K12+DAĞITICI!K12+Perakende!K12+ENDÜSTRİYEL!K12</f>
        <v>0</v>
      </c>
      <c r="L12" s="958">
        <f>İHALE!L12+'Ötv''siz Deniz'!L12+'Ötv''li Deniz'!L12+DAĞITICI!L12+Perakende!L12+ENDÜSTRİYEL!L12</f>
        <v>0</v>
      </c>
      <c r="M12" s="958">
        <f>İHALE!M12+'Ötv''siz Deniz'!M12+'Ötv''li Deniz'!M12+DAĞITICI!M12+Perakende!M12+ENDÜSTRİYEL!M12</f>
        <v>0</v>
      </c>
      <c r="N12" s="958">
        <f>İHALE!N12+'Ötv''siz Deniz'!N12+'Ötv''li Deniz'!N12+DAĞITICI!N12+Perakende!N12+ENDÜSTRİYEL!N12</f>
        <v>0</v>
      </c>
      <c r="O12" s="959">
        <f>İHALE!O12+'Ötv''siz Deniz'!O12+'Ötv''li Deniz'!O12+DAĞITICI!O12+Perakende!O12+ENDÜSTRİYEL!O12</f>
        <v>0</v>
      </c>
      <c r="P12" s="48">
        <f t="shared" si="1"/>
        <v>0</v>
      </c>
      <c r="Q12" s="35" t="str">
        <f t="shared" si="2"/>
        <v>-</v>
      </c>
      <c r="S12" s="353"/>
      <c r="T12" s="353"/>
      <c r="U12" s="353"/>
      <c r="V12" s="353"/>
    </row>
    <row r="13" spans="1:22" s="948" customFormat="1" ht="30" customHeight="1" thickBot="1">
      <c r="A13" s="975" t="s">
        <v>18</v>
      </c>
      <c r="B13" s="1200">
        <f t="shared" ref="B13" si="5">SUM(B9:B12)</f>
        <v>0</v>
      </c>
      <c r="C13" s="1200">
        <f t="shared" ref="C13:O13" si="6">SUM(C9:C12)</f>
        <v>0</v>
      </c>
      <c r="D13" s="978">
        <f t="shared" si="6"/>
        <v>0</v>
      </c>
      <c r="E13" s="979">
        <f t="shared" si="6"/>
        <v>0</v>
      </c>
      <c r="F13" s="979">
        <f t="shared" si="6"/>
        <v>0</v>
      </c>
      <c r="G13" s="979">
        <f t="shared" si="6"/>
        <v>0</v>
      </c>
      <c r="H13" s="979">
        <f t="shared" si="6"/>
        <v>0</v>
      </c>
      <c r="I13" s="979">
        <f t="shared" si="6"/>
        <v>0</v>
      </c>
      <c r="J13" s="979">
        <f t="shared" si="6"/>
        <v>0</v>
      </c>
      <c r="K13" s="979">
        <f t="shared" si="6"/>
        <v>0</v>
      </c>
      <c r="L13" s="979">
        <f t="shared" si="6"/>
        <v>0</v>
      </c>
      <c r="M13" s="979">
        <f t="shared" si="6"/>
        <v>0</v>
      </c>
      <c r="N13" s="979">
        <f t="shared" si="6"/>
        <v>0</v>
      </c>
      <c r="O13" s="977">
        <f t="shared" si="6"/>
        <v>0</v>
      </c>
      <c r="P13" s="976">
        <f t="shared" si="1"/>
        <v>0</v>
      </c>
      <c r="Q13" s="980" t="str">
        <f t="shared" si="2"/>
        <v>-</v>
      </c>
      <c r="S13" s="352"/>
      <c r="T13" s="352"/>
      <c r="U13" s="352"/>
      <c r="V13" s="352"/>
    </row>
    <row r="14" spans="1:22" s="948" customFormat="1" ht="30" customHeight="1" thickBot="1">
      <c r="A14" s="942" t="s">
        <v>25</v>
      </c>
      <c r="B14" s="1201">
        <f>SUM(B15:B16)</f>
        <v>0</v>
      </c>
      <c r="C14" s="1201">
        <f>SUM(C15:C16)</f>
        <v>0</v>
      </c>
      <c r="D14" s="981">
        <f t="shared" ref="D14:O14" si="7">SUM(D15:D16)</f>
        <v>0</v>
      </c>
      <c r="E14" s="982">
        <f t="shared" si="7"/>
        <v>0</v>
      </c>
      <c r="F14" s="982">
        <f t="shared" si="7"/>
        <v>0</v>
      </c>
      <c r="G14" s="982">
        <f t="shared" si="7"/>
        <v>0</v>
      </c>
      <c r="H14" s="982">
        <f t="shared" si="7"/>
        <v>0</v>
      </c>
      <c r="I14" s="982">
        <f t="shared" si="7"/>
        <v>0</v>
      </c>
      <c r="J14" s="982">
        <f t="shared" si="7"/>
        <v>0</v>
      </c>
      <c r="K14" s="982">
        <f t="shared" si="7"/>
        <v>0</v>
      </c>
      <c r="L14" s="982">
        <f t="shared" si="7"/>
        <v>0</v>
      </c>
      <c r="M14" s="982">
        <f t="shared" si="7"/>
        <v>0</v>
      </c>
      <c r="N14" s="982">
        <f t="shared" si="7"/>
        <v>0</v>
      </c>
      <c r="O14" s="983">
        <f t="shared" si="7"/>
        <v>0</v>
      </c>
      <c r="P14" s="984">
        <f t="shared" si="1"/>
        <v>0</v>
      </c>
      <c r="Q14" s="985" t="str">
        <f t="shared" si="2"/>
        <v>-</v>
      </c>
      <c r="S14" s="352"/>
      <c r="T14" s="352"/>
      <c r="U14" s="352"/>
      <c r="V14" s="352"/>
    </row>
    <row r="15" spans="1:22" s="948" customFormat="1" ht="30" customHeight="1">
      <c r="A15" s="1454" t="s">
        <v>19</v>
      </c>
      <c r="B15" s="1452">
        <f>İHALE!B15+'Ötv''siz Deniz'!B15+'Ötv''li Deniz'!B15+DAĞITICI!B15+Perakende!B15+ENDÜSTRİYEL!B15</f>
        <v>0</v>
      </c>
      <c r="C15" s="1452">
        <f>İHALE!C15+'Ötv''siz Deniz'!C15+'Ötv''li Deniz'!C15+DAĞITICI!C15+Perakende!C15+ENDÜSTRİYEL!C15</f>
        <v>0</v>
      </c>
      <c r="D15" s="986">
        <f>İHALE!D15+'Ötv''siz Deniz'!D15+'Ötv''li Deniz'!D15+DAĞITICI!D15+Perakende!D15+ENDÜSTRİYEL!D15</f>
        <v>0</v>
      </c>
      <c r="E15" s="987">
        <f>İHALE!E15+'Ötv''siz Deniz'!E15+'Ötv''li Deniz'!E15+DAĞITICI!E15+Perakende!E15+ENDÜSTRİYEL!E15</f>
        <v>0</v>
      </c>
      <c r="F15" s="987">
        <f>İHALE!F15+'Ötv''siz Deniz'!F15+'Ötv''li Deniz'!F15+DAĞITICI!F15+Perakende!F15+ENDÜSTRİYEL!F15</f>
        <v>0</v>
      </c>
      <c r="G15" s="987">
        <f>İHALE!G15+'Ötv''siz Deniz'!G15+'Ötv''li Deniz'!G15+DAĞITICI!G15+Perakende!G15+ENDÜSTRİYEL!G15</f>
        <v>0</v>
      </c>
      <c r="H15" s="987">
        <f>İHALE!H15+'Ötv''siz Deniz'!H15+'Ötv''li Deniz'!H15+DAĞITICI!H15+Perakende!H15+ENDÜSTRİYEL!H15</f>
        <v>0</v>
      </c>
      <c r="I15" s="987">
        <f>İHALE!I15+'Ötv''siz Deniz'!I15+'Ötv''li Deniz'!I15+DAĞITICI!I15+Perakende!I15+ENDÜSTRİYEL!I15</f>
        <v>0</v>
      </c>
      <c r="J15" s="987">
        <f>İHALE!J15+'Ötv''siz Deniz'!J15+'Ötv''li Deniz'!J15+DAĞITICI!J15+Perakende!J15+ENDÜSTRİYEL!J15</f>
        <v>0</v>
      </c>
      <c r="K15" s="987">
        <f>İHALE!K15+'Ötv''siz Deniz'!K15+'Ötv''li Deniz'!K15+DAĞITICI!K15+Perakende!K15+ENDÜSTRİYEL!K15</f>
        <v>0</v>
      </c>
      <c r="L15" s="987">
        <f>İHALE!L15+'Ötv''siz Deniz'!L15+'Ötv''li Deniz'!L15+DAĞITICI!L15+Perakende!L15+ENDÜSTRİYEL!L15</f>
        <v>0</v>
      </c>
      <c r="M15" s="987">
        <f>İHALE!M15+'Ötv''siz Deniz'!M15+'Ötv''li Deniz'!M15+DAĞITICI!M15+Perakende!M15+ENDÜSTRİYEL!M15</f>
        <v>0</v>
      </c>
      <c r="N15" s="987">
        <f>İHALE!N15+'Ötv''siz Deniz'!N15+'Ötv''li Deniz'!N15+DAĞITICI!N15+Perakende!N15+ENDÜSTRİYEL!N15</f>
        <v>0</v>
      </c>
      <c r="O15" s="988">
        <f>İHALE!O15+'Ötv''siz Deniz'!O15+'Ötv''li Deniz'!O15+DAĞITICI!O15+Perakende!O15+ENDÜSTRİYEL!O15</f>
        <v>0</v>
      </c>
      <c r="P15" s="989">
        <f t="shared" si="1"/>
        <v>0</v>
      </c>
      <c r="Q15" s="990" t="str">
        <f t="shared" si="2"/>
        <v>-</v>
      </c>
      <c r="S15" s="352"/>
      <c r="T15" s="352"/>
      <c r="U15" s="352"/>
      <c r="V15" s="352"/>
    </row>
    <row r="16" spans="1:22" s="948" customFormat="1" ht="30" customHeight="1" thickBot="1">
      <c r="A16" s="1455" t="s">
        <v>20</v>
      </c>
      <c r="B16" s="1453">
        <f>İHALE!B16+'Ötv''siz Deniz'!B16+'Ötv''li Deniz'!B16+DAĞITICI!B16+Perakende!B16+ENDÜSTRİYEL!B16</f>
        <v>0</v>
      </c>
      <c r="C16" s="1453">
        <f>İHALE!C16+'Ötv''siz Deniz'!C16+'Ötv''li Deniz'!C16+DAĞITICI!C16+Perakende!C16+ENDÜSTRİYEL!C16</f>
        <v>0</v>
      </c>
      <c r="D16" s="991">
        <f>İHALE!D16+'Ötv''siz Deniz'!D16+'Ötv''li Deniz'!D16+DAĞITICI!D16+Perakende!D16+ENDÜSTRİYEL!D16</f>
        <v>0</v>
      </c>
      <c r="E16" s="992">
        <f>İHALE!E16+'Ötv''siz Deniz'!E16+'Ötv''li Deniz'!E16+DAĞITICI!E16+Perakende!E16+ENDÜSTRİYEL!E16</f>
        <v>0</v>
      </c>
      <c r="F16" s="992">
        <f>İHALE!F16+'Ötv''siz Deniz'!F16+'Ötv''li Deniz'!F16+DAĞITICI!F16+Perakende!F16+ENDÜSTRİYEL!F16</f>
        <v>0</v>
      </c>
      <c r="G16" s="992">
        <f>İHALE!G16+'Ötv''siz Deniz'!G16+'Ötv''li Deniz'!G16+DAĞITICI!G16+Perakende!G16+ENDÜSTRİYEL!G16</f>
        <v>0</v>
      </c>
      <c r="H16" s="992">
        <f>İHALE!H16+'Ötv''siz Deniz'!H16+'Ötv''li Deniz'!H16+DAĞITICI!H16+Perakende!H16+ENDÜSTRİYEL!H16</f>
        <v>0</v>
      </c>
      <c r="I16" s="992">
        <f>İHALE!I16+'Ötv''siz Deniz'!I16+'Ötv''li Deniz'!I16+DAĞITICI!I16+Perakende!I16+ENDÜSTRİYEL!I16</f>
        <v>0</v>
      </c>
      <c r="J16" s="992">
        <f>İHALE!J16+'Ötv''siz Deniz'!J16+'Ötv''li Deniz'!J16+DAĞITICI!J16+Perakende!J16+ENDÜSTRİYEL!J16</f>
        <v>0</v>
      </c>
      <c r="K16" s="992">
        <f>İHALE!K16+'Ötv''siz Deniz'!K16+'Ötv''li Deniz'!K16+DAĞITICI!K16+Perakende!K16+ENDÜSTRİYEL!K16</f>
        <v>0</v>
      </c>
      <c r="L16" s="992">
        <f>İHALE!L16+'Ötv''siz Deniz'!L16+'Ötv''li Deniz'!L16+DAĞITICI!L16+Perakende!L16+ENDÜSTRİYEL!L16</f>
        <v>0</v>
      </c>
      <c r="M16" s="992">
        <f>İHALE!M16+'Ötv''siz Deniz'!M16+'Ötv''li Deniz'!M16+DAĞITICI!M16+Perakende!M16+ENDÜSTRİYEL!M16</f>
        <v>0</v>
      </c>
      <c r="N16" s="992">
        <f>İHALE!N16+'Ötv''siz Deniz'!N16+'Ötv''li Deniz'!N16+DAĞITICI!N16+Perakende!N16+ENDÜSTRİYEL!N16</f>
        <v>0</v>
      </c>
      <c r="O16" s="993">
        <f>İHALE!O16+'Ötv''siz Deniz'!O16+'Ötv''li Deniz'!O16+DAĞITICI!O16+Perakende!O16+ENDÜSTRİYEL!O16</f>
        <v>0</v>
      </c>
      <c r="P16" s="994">
        <f t="shared" si="1"/>
        <v>0</v>
      </c>
      <c r="Q16" s="980" t="str">
        <f t="shared" si="2"/>
        <v>-</v>
      </c>
      <c r="S16" s="352"/>
      <c r="T16" s="352"/>
      <c r="U16" s="352"/>
      <c r="V16" s="352"/>
    </row>
    <row r="17" spans="1:22" s="948" customFormat="1" ht="30" customHeight="1" thickBot="1">
      <c r="A17" s="942" t="s">
        <v>26</v>
      </c>
      <c r="B17" s="1201">
        <f t="shared" ref="B17" si="8">SUM(B18:B19)</f>
        <v>0</v>
      </c>
      <c r="C17" s="1201">
        <f t="shared" ref="C17:O17" si="9">SUM(C18:C19)</f>
        <v>0</v>
      </c>
      <c r="D17" s="981">
        <f t="shared" si="9"/>
        <v>0</v>
      </c>
      <c r="E17" s="982">
        <f t="shared" si="9"/>
        <v>0</v>
      </c>
      <c r="F17" s="982">
        <f t="shared" si="9"/>
        <v>0</v>
      </c>
      <c r="G17" s="982">
        <f t="shared" si="9"/>
        <v>0</v>
      </c>
      <c r="H17" s="982">
        <f t="shared" si="9"/>
        <v>0</v>
      </c>
      <c r="I17" s="982">
        <f t="shared" si="9"/>
        <v>0</v>
      </c>
      <c r="J17" s="982">
        <f t="shared" si="9"/>
        <v>0</v>
      </c>
      <c r="K17" s="982">
        <f t="shared" si="9"/>
        <v>0</v>
      </c>
      <c r="L17" s="982">
        <f t="shared" si="9"/>
        <v>0</v>
      </c>
      <c r="M17" s="982">
        <f t="shared" si="9"/>
        <v>0</v>
      </c>
      <c r="N17" s="982">
        <f t="shared" si="9"/>
        <v>0</v>
      </c>
      <c r="O17" s="983">
        <f t="shared" si="9"/>
        <v>0</v>
      </c>
      <c r="P17" s="984">
        <f t="shared" si="1"/>
        <v>0</v>
      </c>
      <c r="Q17" s="985" t="str">
        <f t="shared" si="2"/>
        <v>-</v>
      </c>
      <c r="S17" s="352"/>
      <c r="T17" s="352"/>
      <c r="U17" s="352"/>
      <c r="V17" s="352"/>
    </row>
    <row r="18" spans="1:22" s="948" customFormat="1" ht="30" customHeight="1">
      <c r="A18" s="1454" t="s">
        <v>106</v>
      </c>
      <c r="B18" s="1456">
        <f>İHALE!B18+'Ötv''siz Deniz'!B18+'Ötv''li Deniz'!B18+DAĞITICI!B18+Perakende!B18+ENDÜSTRİYEL!B18</f>
        <v>0</v>
      </c>
      <c r="C18" s="1456">
        <f>İHALE!C18+'Ötv''siz Deniz'!C18+'Ötv''li Deniz'!C18+DAĞITICI!C18+Perakende!C18+ENDÜSTRİYEL!C18</f>
        <v>0</v>
      </c>
      <c r="D18" s="986">
        <f>İHALE!D18+'Ötv''siz Deniz'!D18+'Ötv''li Deniz'!D18+DAĞITICI!D18+Perakende!D18+ENDÜSTRİYEL!D18</f>
        <v>0</v>
      </c>
      <c r="E18" s="987">
        <f>İHALE!E18+'Ötv''siz Deniz'!E18+'Ötv''li Deniz'!E18+DAĞITICI!E18+Perakende!E18+ENDÜSTRİYEL!E18</f>
        <v>0</v>
      </c>
      <c r="F18" s="987">
        <f>İHALE!F18+'Ötv''siz Deniz'!F18+'Ötv''li Deniz'!F18+DAĞITICI!F18+Perakende!F18+ENDÜSTRİYEL!F18</f>
        <v>0</v>
      </c>
      <c r="G18" s="987">
        <f>İHALE!G18+'Ötv''siz Deniz'!G18+'Ötv''li Deniz'!G18+DAĞITICI!G18+Perakende!G18+ENDÜSTRİYEL!G18</f>
        <v>0</v>
      </c>
      <c r="H18" s="987">
        <f>İHALE!H18+'Ötv''siz Deniz'!H18+'Ötv''li Deniz'!H18+DAĞITICI!H18+Perakende!H18+ENDÜSTRİYEL!H18</f>
        <v>0</v>
      </c>
      <c r="I18" s="987">
        <f>İHALE!I18+'Ötv''siz Deniz'!I18+'Ötv''li Deniz'!I18+DAĞITICI!I18+Perakende!I18+ENDÜSTRİYEL!I18</f>
        <v>0</v>
      </c>
      <c r="J18" s="987">
        <f>İHALE!J18+'Ötv''siz Deniz'!J18+'Ötv''li Deniz'!J18+DAĞITICI!J18+Perakende!J18+ENDÜSTRİYEL!J18</f>
        <v>0</v>
      </c>
      <c r="K18" s="987">
        <f>İHALE!K18+'Ötv''siz Deniz'!K18+'Ötv''li Deniz'!K18+DAĞITICI!K18+Perakende!K18+ENDÜSTRİYEL!K18</f>
        <v>0</v>
      </c>
      <c r="L18" s="987">
        <f>İHALE!L18+'Ötv''siz Deniz'!L18+'Ötv''li Deniz'!L18+DAĞITICI!L18+Perakende!L18+ENDÜSTRİYEL!L18</f>
        <v>0</v>
      </c>
      <c r="M18" s="987">
        <f>İHALE!M18+'Ötv''siz Deniz'!M18+'Ötv''li Deniz'!M18+DAĞITICI!M18+Perakende!M18+ENDÜSTRİYEL!M18</f>
        <v>0</v>
      </c>
      <c r="N18" s="987">
        <f>İHALE!N18+'Ötv''siz Deniz'!N18+'Ötv''li Deniz'!N18+DAĞITICI!N18+Perakende!N18+ENDÜSTRİYEL!N18</f>
        <v>0</v>
      </c>
      <c r="O18" s="988">
        <f>İHALE!O18+'Ötv''siz Deniz'!O18+'Ötv''li Deniz'!O18+DAĞITICI!O18+Perakende!O18+ENDÜSTRİYEL!O18</f>
        <v>0</v>
      </c>
      <c r="P18" s="989">
        <f t="shared" si="1"/>
        <v>0</v>
      </c>
      <c r="Q18" s="990" t="str">
        <f t="shared" si="2"/>
        <v>-</v>
      </c>
      <c r="S18" s="352"/>
      <c r="T18" s="352"/>
      <c r="U18" s="352"/>
      <c r="V18" s="352"/>
    </row>
    <row r="19" spans="1:22" s="948" customFormat="1" ht="30" customHeight="1" thickBot="1">
      <c r="A19" s="1455" t="s">
        <v>105</v>
      </c>
      <c r="B19" s="1457">
        <f>İHALE!B19+'Ötv''siz Deniz'!B19+'Ötv''li Deniz'!B19+DAĞITICI!B19+Perakende!B19+ENDÜSTRİYEL!B19</f>
        <v>0</v>
      </c>
      <c r="C19" s="1457">
        <f>İHALE!C19+'Ötv''siz Deniz'!C19+'Ötv''li Deniz'!C19+DAĞITICI!C19+Perakende!C19+ENDÜSTRİYEL!C19</f>
        <v>0</v>
      </c>
      <c r="D19" s="995">
        <f>İHALE!D19+'Ötv''siz Deniz'!D19+'Ötv''li Deniz'!D19+DAĞITICI!D19+Perakende!D19+ENDÜSTRİYEL!D19</f>
        <v>0</v>
      </c>
      <c r="E19" s="996">
        <f>İHALE!E19+'Ötv''siz Deniz'!E19+'Ötv''li Deniz'!E19+DAĞITICI!E19+Perakende!E19+ENDÜSTRİYEL!E19</f>
        <v>0</v>
      </c>
      <c r="F19" s="996">
        <f>İHALE!F19+'Ötv''siz Deniz'!F19+'Ötv''li Deniz'!F19+DAĞITICI!F19+Perakende!F19+ENDÜSTRİYEL!F19</f>
        <v>0</v>
      </c>
      <c r="G19" s="996">
        <f>İHALE!G19+'Ötv''siz Deniz'!G19+'Ötv''li Deniz'!G19+DAĞITICI!G19+Perakende!G19+ENDÜSTRİYEL!G19</f>
        <v>0</v>
      </c>
      <c r="H19" s="996">
        <f>İHALE!H19+'Ötv''siz Deniz'!H19+'Ötv''li Deniz'!H19+DAĞITICI!H19+Perakende!H19+ENDÜSTRİYEL!H19</f>
        <v>0</v>
      </c>
      <c r="I19" s="996">
        <f>İHALE!I19+'Ötv''siz Deniz'!I19+'Ötv''li Deniz'!I19+DAĞITICI!I19+Perakende!I19+ENDÜSTRİYEL!I19</f>
        <v>0</v>
      </c>
      <c r="J19" s="996">
        <f>İHALE!J19+'Ötv''siz Deniz'!J19+'Ötv''li Deniz'!J19+DAĞITICI!J19+Perakende!J19+ENDÜSTRİYEL!J19</f>
        <v>0</v>
      </c>
      <c r="K19" s="996">
        <f>İHALE!K19+'Ötv''siz Deniz'!K19+'Ötv''li Deniz'!K19+DAĞITICI!K19+Perakende!K19+ENDÜSTRİYEL!K19</f>
        <v>0</v>
      </c>
      <c r="L19" s="996">
        <f>İHALE!L19+'Ötv''siz Deniz'!L19+'Ötv''li Deniz'!L19+DAĞITICI!L19+Perakende!L19+ENDÜSTRİYEL!L19</f>
        <v>0</v>
      </c>
      <c r="M19" s="996">
        <f>İHALE!M19+'Ötv''siz Deniz'!M19+'Ötv''li Deniz'!M19+DAĞITICI!M19+Perakende!M19+ENDÜSTRİYEL!M19</f>
        <v>0</v>
      </c>
      <c r="N19" s="996">
        <f>İHALE!N19+'Ötv''siz Deniz'!N19+'Ötv''li Deniz'!N19+DAĞITICI!N19+Perakende!N19+ENDÜSTRİYEL!N19</f>
        <v>0</v>
      </c>
      <c r="O19" s="997">
        <f>İHALE!O19+'Ötv''siz Deniz'!O19+'Ötv''li Deniz'!O19+DAĞITICI!O19+Perakende!O19+ENDÜSTRİYEL!O19</f>
        <v>0</v>
      </c>
      <c r="P19" s="998">
        <f t="shared" si="1"/>
        <v>0</v>
      </c>
      <c r="Q19" s="999" t="str">
        <f t="shared" si="2"/>
        <v>-</v>
      </c>
      <c r="S19" s="352"/>
      <c r="T19" s="352"/>
      <c r="U19" s="352"/>
      <c r="V19" s="352"/>
    </row>
    <row r="20" spans="1:22" ht="30" customHeight="1" thickBot="1">
      <c r="B20" s="353"/>
      <c r="C20" s="353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>
        <f t="shared" si="1"/>
        <v>0</v>
      </c>
      <c r="Q20" s="89"/>
    </row>
    <row r="21" spans="1:22" s="948" customFormat="1" ht="30" customHeight="1" thickBot="1">
      <c r="A21" s="942" t="s">
        <v>85</v>
      </c>
      <c r="B21" s="1195">
        <f>İHALE!B21+'Ötv''siz Deniz'!B21+'Ötv''li Deniz'!B21+DAĞITICI!B21+Perakende!B21</f>
        <v>0</v>
      </c>
      <c r="C21" s="1195">
        <f>İHALE!C21+'Ötv''siz Deniz'!C21+'Ötv''li Deniz'!C21+DAĞITICI!C21+Perakende!C21</f>
        <v>0</v>
      </c>
      <c r="D21" s="945">
        <f>İHALE!D21+'Ötv''siz Deniz'!D21+'Ötv''li Deniz'!D21+DAĞITICI!D21+Perakende!D21</f>
        <v>0</v>
      </c>
      <c r="E21" s="946">
        <f>İHALE!E21+'Ötv''siz Deniz'!E21+'Ötv''li Deniz'!E21+DAĞITICI!E21+Perakende!E21</f>
        <v>0</v>
      </c>
      <c r="F21" s="946">
        <f>İHALE!F21+'Ötv''siz Deniz'!F21+'Ötv''li Deniz'!F21+DAĞITICI!F21+Perakende!F21</f>
        <v>0</v>
      </c>
      <c r="G21" s="946">
        <f>İHALE!G21+'Ötv''siz Deniz'!G21+'Ötv''li Deniz'!G21+DAĞITICI!G21+Perakende!G21</f>
        <v>0</v>
      </c>
      <c r="H21" s="946">
        <f>İHALE!H21+'Ötv''siz Deniz'!H21+'Ötv''li Deniz'!H21+DAĞITICI!H21+Perakende!H21</f>
        <v>0</v>
      </c>
      <c r="I21" s="946">
        <f>İHALE!I21+'Ötv''siz Deniz'!I21+'Ötv''li Deniz'!I21+DAĞITICI!I21+Perakende!I21</f>
        <v>0</v>
      </c>
      <c r="J21" s="946">
        <f>İHALE!J21+'Ötv''siz Deniz'!J21+'Ötv''li Deniz'!J21+DAĞITICI!J21+Perakende!J21</f>
        <v>0</v>
      </c>
      <c r="K21" s="946">
        <f>İHALE!K21+'Ötv''siz Deniz'!K21+'Ötv''li Deniz'!K21+DAĞITICI!K21+Perakende!K21</f>
        <v>0</v>
      </c>
      <c r="L21" s="946">
        <f>İHALE!L21+'Ötv''siz Deniz'!L21+'Ötv''li Deniz'!L21+DAĞITICI!L21+Perakende!L21</f>
        <v>0</v>
      </c>
      <c r="M21" s="946">
        <f>İHALE!M21+'Ötv''siz Deniz'!M21+'Ötv''li Deniz'!M21+DAĞITICI!M21+Perakende!M21</f>
        <v>0</v>
      </c>
      <c r="N21" s="946">
        <f>İHALE!N21+'Ötv''siz Deniz'!N21+'Ötv''li Deniz'!N21+DAĞITICI!N21+Perakende!N21</f>
        <v>0</v>
      </c>
      <c r="O21" s="1000">
        <f>İHALE!O21+'Ötv''siz Deniz'!O21+'Ötv''li Deniz'!O21+DAĞITICI!O21+Perakende!O21</f>
        <v>0</v>
      </c>
      <c r="P21" s="943">
        <f t="shared" si="1"/>
        <v>0</v>
      </c>
      <c r="Q21" s="1001" t="str">
        <f>IF(P21=0,"-",P21/C21-1)</f>
        <v>-</v>
      </c>
      <c r="S21" s="352"/>
      <c r="T21" s="352"/>
      <c r="U21" s="352"/>
      <c r="V21" s="352"/>
    </row>
    <row r="22" spans="1:22" ht="16.5" customHeight="1" thickBot="1">
      <c r="B22" s="353"/>
      <c r="C22" s="353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9"/>
    </row>
    <row r="23" spans="1:22" ht="33" customHeight="1">
      <c r="A23" s="5"/>
      <c r="B23" s="2357" t="s">
        <v>649</v>
      </c>
      <c r="C23" s="2355" t="s">
        <v>647</v>
      </c>
      <c r="D23" s="2359" t="s">
        <v>640</v>
      </c>
      <c r="E23" s="2360"/>
      <c r="F23" s="2360"/>
      <c r="G23" s="2360"/>
      <c r="H23" s="2360"/>
      <c r="I23" s="2360"/>
      <c r="J23" s="2360"/>
      <c r="K23" s="2360"/>
      <c r="L23" s="2360"/>
      <c r="M23" s="2360"/>
      <c r="N23" s="2360"/>
      <c r="O23" s="2360"/>
      <c r="P23" s="2361"/>
      <c r="Q23" s="937" t="s">
        <v>638</v>
      </c>
    </row>
    <row r="24" spans="1:22" ht="30.75" customHeight="1" thickBot="1">
      <c r="A24" s="7"/>
      <c r="B24" s="2358"/>
      <c r="C24" s="2356"/>
      <c r="D24" s="9" t="s">
        <v>1</v>
      </c>
      <c r="E24" s="10" t="s">
        <v>2</v>
      </c>
      <c r="F24" s="10" t="s">
        <v>3</v>
      </c>
      <c r="G24" s="10" t="s">
        <v>4</v>
      </c>
      <c r="H24" s="10" t="s">
        <v>5</v>
      </c>
      <c r="I24" s="10" t="s">
        <v>6</v>
      </c>
      <c r="J24" s="10" t="s">
        <v>7</v>
      </c>
      <c r="K24" s="10" t="s">
        <v>8</v>
      </c>
      <c r="L24" s="10" t="s">
        <v>9</v>
      </c>
      <c r="M24" s="10" t="s">
        <v>10</v>
      </c>
      <c r="N24" s="10" t="s">
        <v>11</v>
      </c>
      <c r="O24" s="10" t="s">
        <v>12</v>
      </c>
      <c r="P24" s="11" t="s">
        <v>13</v>
      </c>
      <c r="Q24" s="941" t="s">
        <v>619</v>
      </c>
    </row>
    <row r="25" spans="1:22" ht="22.5" customHeight="1" thickBot="1">
      <c r="A25" s="1140" t="s">
        <v>28</v>
      </c>
      <c r="B25" s="1215">
        <f t="shared" ref="B25" si="10">B28+B29+B34</f>
        <v>0</v>
      </c>
      <c r="C25" s="1215">
        <f t="shared" ref="C25:O25" si="11">C28+C29+C34</f>
        <v>0</v>
      </c>
      <c r="D25" s="16">
        <f t="shared" si="11"/>
        <v>0</v>
      </c>
      <c r="E25" s="17">
        <f t="shared" si="11"/>
        <v>0</v>
      </c>
      <c r="F25" s="17">
        <f t="shared" si="11"/>
        <v>0</v>
      </c>
      <c r="G25" s="17">
        <f t="shared" si="11"/>
        <v>0</v>
      </c>
      <c r="H25" s="17">
        <f t="shared" si="11"/>
        <v>0</v>
      </c>
      <c r="I25" s="17">
        <f t="shared" si="11"/>
        <v>0</v>
      </c>
      <c r="J25" s="17">
        <f t="shared" si="11"/>
        <v>0</v>
      </c>
      <c r="K25" s="17">
        <f t="shared" si="11"/>
        <v>0</v>
      </c>
      <c r="L25" s="17">
        <f t="shared" si="11"/>
        <v>0</v>
      </c>
      <c r="M25" s="17">
        <f t="shared" si="11"/>
        <v>0</v>
      </c>
      <c r="N25" s="17">
        <f t="shared" si="11"/>
        <v>0</v>
      </c>
      <c r="O25" s="15">
        <f t="shared" si="11"/>
        <v>0</v>
      </c>
      <c r="P25" s="94">
        <f t="shared" ref="P25:P40" si="12">SUM(D25:O25)</f>
        <v>0</v>
      </c>
      <c r="Q25" s="1130" t="str">
        <f t="shared" ref="Q25:Q40" si="13">IF(P25=0,"-",P25/C25-1)</f>
        <v>-</v>
      </c>
      <c r="R25" s="249"/>
    </row>
    <row r="26" spans="1:22" ht="16.5" customHeight="1">
      <c r="A26" s="1211" t="s">
        <v>15</v>
      </c>
      <c r="B26" s="1216">
        <f>İHALE!B26+'Ötv''siz Deniz'!B26+'Ötv''li Deniz'!B26+DAĞITICI!B26+Perakende!B26+ENDÜSTRİYEL!B26</f>
        <v>0</v>
      </c>
      <c r="C26" s="1216">
        <f>İHALE!C26+'Ötv''siz Deniz'!C26+'Ötv''li Deniz'!C26+DAĞITICI!C26+Perakende!C26+ENDÜSTRİYEL!C26</f>
        <v>0</v>
      </c>
      <c r="D26" s="951">
        <f>İHALE!D26+'Ötv''siz Deniz'!D26+'Ötv''li Deniz'!D26+DAĞITICI!D26+Perakende!D26+ENDÜSTRİYEL!D26</f>
        <v>0</v>
      </c>
      <c r="E26" s="952">
        <f>İHALE!E26+'Ötv''siz Deniz'!E26+'Ötv''li Deniz'!E26+DAĞITICI!E26+Perakende!E26+ENDÜSTRİYEL!E26</f>
        <v>0</v>
      </c>
      <c r="F26" s="952">
        <f>İHALE!F26+'Ötv''siz Deniz'!F26+'Ötv''li Deniz'!F26+DAĞITICI!F26+Perakende!F26+ENDÜSTRİYEL!F26</f>
        <v>0</v>
      </c>
      <c r="G26" s="952">
        <f>İHALE!G26+'Ötv''siz Deniz'!G26+'Ötv''li Deniz'!G26+DAĞITICI!G26+Perakende!G26+ENDÜSTRİYEL!G26</f>
        <v>0</v>
      </c>
      <c r="H26" s="953">
        <f>İHALE!H26+'Ötv''siz Deniz'!H26+'Ötv''li Deniz'!H26+DAĞITICI!H26+Perakende!H26+ENDÜSTRİYEL!H26</f>
        <v>0</v>
      </c>
      <c r="I26" s="953">
        <f>İHALE!I26+'Ötv''siz Deniz'!I26+'Ötv''li Deniz'!I26+DAĞITICI!I26+Perakende!I26+ENDÜSTRİYEL!I26</f>
        <v>0</v>
      </c>
      <c r="J26" s="953">
        <f>İHALE!J26+'Ötv''siz Deniz'!J26+'Ötv''li Deniz'!J26+DAĞITICI!J26+Perakende!J26+ENDÜSTRİYEL!J26</f>
        <v>0</v>
      </c>
      <c r="K26" s="953">
        <f>İHALE!K26+'Ötv''siz Deniz'!K26+'Ötv''li Deniz'!K26+DAĞITICI!K26+Perakende!K26+ENDÜSTRİYEL!K26</f>
        <v>0</v>
      </c>
      <c r="L26" s="953">
        <f>İHALE!L26+'Ötv''siz Deniz'!L26+'Ötv''li Deniz'!L26+DAĞITICI!L26+Perakende!L26+ENDÜSTRİYEL!L26</f>
        <v>0</v>
      </c>
      <c r="M26" s="953">
        <f>İHALE!M26+'Ötv''siz Deniz'!M26+'Ötv''li Deniz'!M26+DAĞITICI!M26+Perakende!M26+ENDÜSTRİYEL!M26</f>
        <v>0</v>
      </c>
      <c r="N26" s="953">
        <f>İHALE!N26+'Ötv''siz Deniz'!N26+'Ötv''li Deniz'!N26+DAĞITICI!N26+Perakende!N26+ENDÜSTRİYEL!N26</f>
        <v>0</v>
      </c>
      <c r="O26" s="954">
        <f>İHALE!O26+'Ötv''siz Deniz'!O26+'Ötv''li Deniz'!O26+DAĞITICI!O26+Perakende!O26+ENDÜSTRİYEL!O26</f>
        <v>0</v>
      </c>
      <c r="P26" s="1225">
        <f t="shared" si="12"/>
        <v>0</v>
      </c>
      <c r="Q26" s="1122" t="str">
        <f>IF(P26=0,"-",P26/C26-1)</f>
        <v>-</v>
      </c>
      <c r="R26" s="249"/>
      <c r="S26" s="376"/>
      <c r="T26" s="376"/>
      <c r="U26" s="376"/>
      <c r="V26" s="376"/>
    </row>
    <row r="27" spans="1:22" ht="16.5" hidden="1" customHeight="1">
      <c r="A27" s="1212" t="s">
        <v>16</v>
      </c>
      <c r="B27" s="1217">
        <f>İHALE!B27+'Ötv''siz Deniz'!B27+'Ötv''li Deniz'!B27+DAĞITICI!B27+Perakende!B27+ENDÜSTRİYEL!B27</f>
        <v>0</v>
      </c>
      <c r="C27" s="1217">
        <f>İHALE!C27+'Ötv''siz Deniz'!C27+'Ötv''li Deniz'!C27+DAĞITICI!C27+Perakende!C27+ENDÜSTRİYEL!C27</f>
        <v>0</v>
      </c>
      <c r="D27" s="956">
        <f>İHALE!D27+'Ötv''siz Deniz'!D27+'Ötv''li Deniz'!D27+DAĞITICI!D27+Perakende!D27+ENDÜSTRİYEL!D27</f>
        <v>0</v>
      </c>
      <c r="E27" s="957">
        <f>İHALE!E27+'Ötv''siz Deniz'!E27+'Ötv''li Deniz'!E27+DAĞITICI!E27+Perakende!E27+ENDÜSTRİYEL!E27</f>
        <v>0</v>
      </c>
      <c r="F27" s="957">
        <f>İHALE!F27+'Ötv''siz Deniz'!F27+'Ötv''li Deniz'!F27+DAĞITICI!F27+Perakende!F27+ENDÜSTRİYEL!F27</f>
        <v>0</v>
      </c>
      <c r="G27" s="957">
        <f>İHALE!G27+'Ötv''siz Deniz'!G27+'Ötv''li Deniz'!G27+DAĞITICI!G27+Perakende!G27+ENDÜSTRİYEL!G27</f>
        <v>0</v>
      </c>
      <c r="H27" s="958">
        <f>İHALE!H27+'Ötv''siz Deniz'!H27+'Ötv''li Deniz'!H27+DAĞITICI!H27+Perakende!H27+ENDÜSTRİYEL!H27</f>
        <v>0</v>
      </c>
      <c r="I27" s="958">
        <f>İHALE!I27+'Ötv''siz Deniz'!I27+'Ötv''li Deniz'!I27+DAĞITICI!I27+Perakende!I27+ENDÜSTRİYEL!I27</f>
        <v>0</v>
      </c>
      <c r="J27" s="958">
        <f>İHALE!J27+'Ötv''siz Deniz'!J27+'Ötv''li Deniz'!J27+DAĞITICI!J27+Perakende!J27+ENDÜSTRİYEL!J27</f>
        <v>0</v>
      </c>
      <c r="K27" s="958">
        <f>İHALE!K27+'Ötv''siz Deniz'!K27+'Ötv''li Deniz'!K27+DAĞITICI!K27+Perakende!K27+ENDÜSTRİYEL!K27</f>
        <v>0</v>
      </c>
      <c r="L27" s="958">
        <f>İHALE!L27+'Ötv''siz Deniz'!L27+'Ötv''li Deniz'!L27+DAĞITICI!L27+Perakende!L27+ENDÜSTRİYEL!L27</f>
        <v>0</v>
      </c>
      <c r="M27" s="958">
        <f>İHALE!M27+'Ötv''siz Deniz'!M27+'Ötv''li Deniz'!M27+DAĞITICI!M27+Perakende!M27+ENDÜSTRİYEL!M27</f>
        <v>0</v>
      </c>
      <c r="N27" s="958">
        <f>İHALE!N27+'Ötv''siz Deniz'!N27+'Ötv''li Deniz'!N27+DAĞITICI!N27+Perakende!N27+ENDÜSTRİYEL!N27</f>
        <v>0</v>
      </c>
      <c r="O27" s="959">
        <f>İHALE!O27+'Ötv''siz Deniz'!O27+'Ötv''li Deniz'!O27+DAĞITICI!O27+Perakende!O27+ENDÜSTRİYEL!O27</f>
        <v>0</v>
      </c>
      <c r="P27" s="1133">
        <f t="shared" si="12"/>
        <v>0</v>
      </c>
      <c r="Q27" s="1123" t="str">
        <f>IF(P27=0,"-",P27/C27-1)</f>
        <v>-</v>
      </c>
      <c r="R27" s="249"/>
    </row>
    <row r="28" spans="1:22" ht="15" customHeight="1">
      <c r="A28" s="1143" t="s">
        <v>27</v>
      </c>
      <c r="B28" s="1218">
        <f t="shared" ref="B28" si="14">B26+B27</f>
        <v>0</v>
      </c>
      <c r="C28" s="1218">
        <f t="shared" ref="C28:O28" si="15">C26+C27</f>
        <v>0</v>
      </c>
      <c r="D28" s="39">
        <f t="shared" si="15"/>
        <v>0</v>
      </c>
      <c r="E28" s="40">
        <f t="shared" si="15"/>
        <v>0</v>
      </c>
      <c r="F28" s="40">
        <f t="shared" si="15"/>
        <v>0</v>
      </c>
      <c r="G28" s="40">
        <f t="shared" si="15"/>
        <v>0</v>
      </c>
      <c r="H28" s="40">
        <f t="shared" si="15"/>
        <v>0</v>
      </c>
      <c r="I28" s="40">
        <f t="shared" si="15"/>
        <v>0</v>
      </c>
      <c r="J28" s="40">
        <f t="shared" si="15"/>
        <v>0</v>
      </c>
      <c r="K28" s="40">
        <f t="shared" si="15"/>
        <v>0</v>
      </c>
      <c r="L28" s="40">
        <f t="shared" si="15"/>
        <v>0</v>
      </c>
      <c r="M28" s="40">
        <f t="shared" si="15"/>
        <v>0</v>
      </c>
      <c r="N28" s="40">
        <f t="shared" si="15"/>
        <v>0</v>
      </c>
      <c r="O28" s="38">
        <f t="shared" si="15"/>
        <v>0</v>
      </c>
      <c r="P28" s="743">
        <f t="shared" si="12"/>
        <v>0</v>
      </c>
      <c r="Q28" s="1125" t="str">
        <f>IF(P28=0,"-",P28/C28-1)</f>
        <v>-</v>
      </c>
      <c r="R28" s="249"/>
    </row>
    <row r="29" spans="1:22" ht="16.5" customHeight="1">
      <c r="A29" s="1144" t="s">
        <v>17</v>
      </c>
      <c r="B29" s="1217">
        <f>İHALE!B29+'Ötv''siz Deniz'!B29+'Ötv''li Deniz'!B29+DAĞITICI!B29+Perakende!B29+ENDÜSTRİYEL!B29</f>
        <v>0</v>
      </c>
      <c r="C29" s="1217">
        <f>İHALE!C29+'Ötv''siz Deniz'!C29+'Ötv''li Deniz'!C29+DAĞITICI!C29+Perakende!C29+ENDÜSTRİYEL!C29</f>
        <v>0</v>
      </c>
      <c r="D29" s="1871">
        <f>İHALE!D29+'Ötv''siz Deniz'!D29+'Ötv''li Deniz'!D29+DAĞITICI!D29+Perakende!D29+ENDÜSTRİYEL!D29</f>
        <v>0</v>
      </c>
      <c r="E29" s="1872">
        <f>İHALE!E29+'Ötv''siz Deniz'!E29+'Ötv''li Deniz'!E29+DAĞITICI!E29+Perakende!E29+ENDÜSTRİYEL!E29</f>
        <v>0</v>
      </c>
      <c r="F29" s="1872">
        <f>İHALE!F29+'Ötv''siz Deniz'!F29+'Ötv''li Deniz'!F29+DAĞITICI!F29+Perakende!F29+ENDÜSTRİYEL!F29</f>
        <v>0</v>
      </c>
      <c r="G29" s="1872">
        <f>İHALE!G29+'Ötv''siz Deniz'!G29+'Ötv''li Deniz'!G29+DAĞITICI!G29+Perakende!G29+ENDÜSTRİYEL!G29</f>
        <v>0</v>
      </c>
      <c r="H29" s="1872">
        <f>İHALE!H29+'Ötv''siz Deniz'!H29+'Ötv''li Deniz'!H29+DAĞITICI!H29+Perakende!H29+ENDÜSTRİYEL!H29</f>
        <v>0</v>
      </c>
      <c r="I29" s="1872">
        <f>İHALE!I29+'Ötv''siz Deniz'!I29+'Ötv''li Deniz'!I29+DAĞITICI!I29+Perakende!I29+ENDÜSTRİYEL!I29</f>
        <v>0</v>
      </c>
      <c r="J29" s="1872">
        <f>İHALE!J29+'Ötv''siz Deniz'!J29+'Ötv''li Deniz'!J29+DAĞITICI!J29+Perakende!J29+ENDÜSTRİYEL!J29</f>
        <v>0</v>
      </c>
      <c r="K29" s="1872">
        <f>İHALE!K29+'Ötv''siz Deniz'!K29+'Ötv''li Deniz'!K29+DAĞITICI!K29+Perakende!K29+ENDÜSTRİYEL!K29</f>
        <v>0</v>
      </c>
      <c r="L29" s="1872">
        <f>İHALE!L29+'Ötv''siz Deniz'!L29+'Ötv''li Deniz'!L29+DAĞITICI!L29+Perakende!L29+ENDÜSTRİYEL!L29</f>
        <v>0</v>
      </c>
      <c r="M29" s="1872">
        <f>İHALE!M29+'Ötv''siz Deniz'!M29+'Ötv''li Deniz'!M29+DAĞITICI!M29+Perakende!M29+ENDÜSTRİYEL!M29</f>
        <v>0</v>
      </c>
      <c r="N29" s="1872">
        <f>İHALE!N29+'Ötv''siz Deniz'!N29+'Ötv''li Deniz'!N29+DAĞITICI!N29+Perakende!N29+ENDÜSTRİYEL!N29</f>
        <v>0</v>
      </c>
      <c r="O29" s="1873">
        <f>İHALE!O29+'Ötv''siz Deniz'!O29+'Ötv''li Deniz'!O29+DAĞITICI!O29+Perakende!O29+ENDÜSTRİYEL!O29</f>
        <v>0</v>
      </c>
      <c r="P29" s="1874">
        <f t="shared" si="12"/>
        <v>0</v>
      </c>
      <c r="Q29" s="1123" t="str">
        <f>IF(P29=0,"-",P29/C29-1)</f>
        <v>-</v>
      </c>
      <c r="R29" s="249"/>
    </row>
    <row r="30" spans="1:22" ht="16.5" customHeight="1">
      <c r="A30" s="1213" t="s">
        <v>81</v>
      </c>
      <c r="B30" s="1219">
        <f>İHALE!B30+'Ötv''siz Deniz'!B30+'Ötv''li Deniz'!B30+DAĞITICI!B30+Perakende!B30+ENDÜSTRİYEL!B30</f>
        <v>0</v>
      </c>
      <c r="C30" s="1219">
        <f>İHALE!C30+'Ötv''siz Deniz'!C30+'Ötv''li Deniz'!C30+DAĞITICI!C30+Perakende!C30+ENDÜSTRİYEL!C30</f>
        <v>0</v>
      </c>
      <c r="D30" s="39">
        <f>İHALE!D30+'Ötv''siz Deniz'!D30+'Ötv''li Deniz'!D30+DAĞITICI!D30+Perakende!D30+ENDÜSTRİYEL!D30</f>
        <v>0</v>
      </c>
      <c r="E30" s="40">
        <f>İHALE!E30+'Ötv''siz Deniz'!E30+'Ötv''li Deniz'!E30+DAĞITICI!E30+Perakende!E30+ENDÜSTRİYEL!E30</f>
        <v>0</v>
      </c>
      <c r="F30" s="40">
        <f>İHALE!F30+'Ötv''siz Deniz'!F30+'Ötv''li Deniz'!F30+DAĞITICI!F30+Perakende!F30+ENDÜSTRİYEL!F30</f>
        <v>0</v>
      </c>
      <c r="G30" s="40">
        <f>İHALE!G30+'Ötv''siz Deniz'!G30+'Ötv''li Deniz'!G30+DAĞITICI!G30+Perakende!G30+ENDÜSTRİYEL!G30</f>
        <v>0</v>
      </c>
      <c r="H30" s="40">
        <f>İHALE!H30+'Ötv''siz Deniz'!H30+'Ötv''li Deniz'!H30+DAĞITICI!H30+Perakende!H30+ENDÜSTRİYEL!H30</f>
        <v>0</v>
      </c>
      <c r="I30" s="40">
        <f>İHALE!I30+'Ötv''siz Deniz'!I30+'Ötv''li Deniz'!I30+DAĞITICI!I30+Perakende!I30+ENDÜSTRİYEL!I30</f>
        <v>0</v>
      </c>
      <c r="J30" s="40">
        <f>İHALE!J30+'Ötv''siz Deniz'!J30+'Ötv''li Deniz'!J30+DAĞITICI!J30+Perakende!J30+ENDÜSTRİYEL!J30</f>
        <v>0</v>
      </c>
      <c r="K30" s="40">
        <f>İHALE!K30+'Ötv''siz Deniz'!K30+'Ötv''li Deniz'!K30+DAĞITICI!K30+Perakende!K30+ENDÜSTRİYEL!K30</f>
        <v>0</v>
      </c>
      <c r="L30" s="40">
        <f>İHALE!L30+'Ötv''siz Deniz'!L30+'Ötv''li Deniz'!L30+DAĞITICI!L30+Perakende!L30+ENDÜSTRİYEL!L30</f>
        <v>0</v>
      </c>
      <c r="M30" s="40">
        <f>İHALE!M30+'Ötv''siz Deniz'!M30+'Ötv''li Deniz'!M30+DAĞITICI!M30+Perakende!M30+ENDÜSTRİYEL!M30</f>
        <v>0</v>
      </c>
      <c r="N30" s="40">
        <f>İHALE!N30+'Ötv''siz Deniz'!N30+'Ötv''li Deniz'!N30+DAĞITICI!N30+Perakende!N30+ENDÜSTRİYEL!N30</f>
        <v>0</v>
      </c>
      <c r="O30" s="38">
        <f>İHALE!O30+'Ötv''siz Deniz'!O30+'Ötv''li Deniz'!O30+DAĞITICI!O30+Perakende!O30+ENDÜSTRİYEL!O30</f>
        <v>0</v>
      </c>
      <c r="P30" s="1134">
        <f t="shared" si="12"/>
        <v>0</v>
      </c>
      <c r="Q30" s="1125" t="str">
        <f>IF(P30=0,"-",P30/C30-1)</f>
        <v>-</v>
      </c>
      <c r="R30" s="249"/>
    </row>
    <row r="31" spans="1:22" ht="16.5" hidden="1" customHeight="1">
      <c r="A31" s="1214" t="s">
        <v>82</v>
      </c>
      <c r="B31" s="1217">
        <f>İHALE!B31+'Ötv''siz Deniz'!B31+'Ötv''li Deniz'!B31+DAĞITICI!B31+Perakende!B31+ENDÜSTRİYEL!B31</f>
        <v>0</v>
      </c>
      <c r="C31" s="1217">
        <f>İHALE!C31+'Ötv''siz Deniz'!C31+'Ötv''li Deniz'!C31+DAĞITICI!C31+Perakende!C31+ENDÜSTRİYEL!C31</f>
        <v>0</v>
      </c>
      <c r="D31" s="45">
        <f>İHALE!D31+'Ötv''siz Deniz'!D31+'Ötv''li Deniz'!D31+DAĞITICI!D31+Perakende!D31+ENDÜSTRİYEL!D31</f>
        <v>0</v>
      </c>
      <c r="E31" s="46">
        <f>İHALE!E31+'Ötv''siz Deniz'!E31+'Ötv''li Deniz'!E31+DAĞITICI!E31+Perakende!E31+ENDÜSTRİYEL!E31</f>
        <v>0</v>
      </c>
      <c r="F31" s="46">
        <f>İHALE!F31+'Ötv''siz Deniz'!F31+'Ötv''li Deniz'!F31+DAĞITICI!F31+Perakende!F31+ENDÜSTRİYEL!F31</f>
        <v>0</v>
      </c>
      <c r="G31" s="46">
        <f>İHALE!G31+'Ötv''siz Deniz'!G31+'Ötv''li Deniz'!G31+DAĞITICI!G31+Perakende!G31+ENDÜSTRİYEL!G31</f>
        <v>0</v>
      </c>
      <c r="H31" s="46">
        <f>İHALE!H31+'Ötv''siz Deniz'!H31+'Ötv''li Deniz'!H31+DAĞITICI!H31+Perakende!H31+ENDÜSTRİYEL!H31</f>
        <v>0</v>
      </c>
      <c r="I31" s="46">
        <f>İHALE!I31+'Ötv''siz Deniz'!I31+'Ötv''li Deniz'!I31+DAĞITICI!I31+Perakende!I31+ENDÜSTRİYEL!I31</f>
        <v>0</v>
      </c>
      <c r="J31" s="46">
        <f>İHALE!J31+'Ötv''siz Deniz'!J31+'Ötv''li Deniz'!J31+DAĞITICI!J31+Perakende!J31+ENDÜSTRİYEL!J31</f>
        <v>0</v>
      </c>
      <c r="K31" s="46">
        <f>İHALE!K31+'Ötv''siz Deniz'!K31+'Ötv''li Deniz'!K31+DAĞITICI!K31+Perakende!K31+ENDÜSTRİYEL!K31</f>
        <v>0</v>
      </c>
      <c r="L31" s="46">
        <f>İHALE!L31+'Ötv''siz Deniz'!L31+'Ötv''li Deniz'!L31+DAĞITICI!L31+Perakende!L31+ENDÜSTRİYEL!L31</f>
        <v>0</v>
      </c>
      <c r="M31" s="46">
        <f>İHALE!M31+'Ötv''siz Deniz'!M31+'Ötv''li Deniz'!M31+DAĞITICI!M31+Perakende!M31+ENDÜSTRİYEL!M31</f>
        <v>0</v>
      </c>
      <c r="N31" s="46">
        <f>İHALE!N31+'Ötv''siz Deniz'!N31+'Ötv''li Deniz'!N31+DAĞITICI!N31+Perakende!N31+ENDÜSTRİYEL!N31</f>
        <v>0</v>
      </c>
      <c r="O31" s="47">
        <f>İHALE!O31+'Ötv''siz Deniz'!O31+'Ötv''li Deniz'!O31+DAĞITICI!O31+Perakende!O31+ENDÜSTRİYEL!O31</f>
        <v>0</v>
      </c>
      <c r="P31" s="1133">
        <f t="shared" si="12"/>
        <v>0</v>
      </c>
      <c r="Q31" s="1123" t="str">
        <f t="shared" si="13"/>
        <v>-</v>
      </c>
      <c r="R31" s="249"/>
    </row>
    <row r="32" spans="1:22" ht="16.5" customHeight="1">
      <c r="A32" s="1213" t="s">
        <v>83</v>
      </c>
      <c r="B32" s="1219">
        <f>İHALE!B32+'Ötv''siz Deniz'!B32+'Ötv''li Deniz'!B32+DAĞITICI!B32+Perakende!B32+ENDÜSTRİYEL!B32</f>
        <v>0</v>
      </c>
      <c r="C32" s="1219">
        <f>İHALE!C32+'Ötv''siz Deniz'!C32+'Ötv''li Deniz'!C32+DAĞITICI!C32+Perakende!C32+ENDÜSTRİYEL!C32</f>
        <v>0</v>
      </c>
      <c r="D32" s="970">
        <f>İHALE!D32+'Ötv''siz Deniz'!D32+'Ötv''li Deniz'!D32+DAĞITICI!D32+Perakende!D32+ENDÜSTRİYEL!D32</f>
        <v>0</v>
      </c>
      <c r="E32" s="971">
        <f>İHALE!E32+'Ötv''siz Deniz'!E32+'Ötv''li Deniz'!E32+DAĞITICI!E32+Perakende!E32+ENDÜSTRİYEL!E32</f>
        <v>0</v>
      </c>
      <c r="F32" s="1002">
        <f>İHALE!F32+'Ötv''siz Deniz'!F32+'Ötv''li Deniz'!F32+DAĞITICI!F32+Perakende!F32+ENDÜSTRİYEL!F32</f>
        <v>0</v>
      </c>
      <c r="G32" s="971">
        <f>İHALE!G32+'Ötv''siz Deniz'!G32+'Ötv''li Deniz'!G32+DAĞITICI!G32+Perakende!G32+ENDÜSTRİYEL!G32</f>
        <v>0</v>
      </c>
      <c r="H32" s="971">
        <f>İHALE!H32+'Ötv''siz Deniz'!H32+'Ötv''li Deniz'!H32+DAĞITICI!H32+Perakende!H32+ENDÜSTRİYEL!H32</f>
        <v>0</v>
      </c>
      <c r="I32" s="971">
        <f>İHALE!I32+'Ötv''siz Deniz'!I32+'Ötv''li Deniz'!I32+DAĞITICI!I32+Perakende!I32+ENDÜSTRİYEL!I32</f>
        <v>0</v>
      </c>
      <c r="J32" s="971">
        <f>İHALE!J32+'Ötv''siz Deniz'!J32+'Ötv''li Deniz'!J32+DAĞITICI!J32+Perakende!J32+ENDÜSTRİYEL!J32</f>
        <v>0</v>
      </c>
      <c r="K32" s="971">
        <f>İHALE!K32+'Ötv''siz Deniz'!K32+'Ötv''li Deniz'!K32+DAĞITICI!K32+Perakende!K32+ENDÜSTRİYEL!K32</f>
        <v>0</v>
      </c>
      <c r="L32" s="971">
        <f>İHALE!L32+'Ötv''siz Deniz'!L32+'Ötv''li Deniz'!L32+DAĞITICI!L32+Perakende!L32+ENDÜSTRİYEL!L32</f>
        <v>0</v>
      </c>
      <c r="M32" s="971">
        <f>İHALE!M32+'Ötv''siz Deniz'!M32+'Ötv''li Deniz'!M32+DAĞITICI!M32+Perakende!M32+ENDÜSTRİYEL!M32</f>
        <v>0</v>
      </c>
      <c r="N32" s="971">
        <f>İHALE!N32+'Ötv''siz Deniz'!N32+'Ötv''li Deniz'!N32+DAĞITICI!N32+Perakende!N32+ENDÜSTRİYEL!N32</f>
        <v>0</v>
      </c>
      <c r="O32" s="972">
        <f>İHALE!O32+'Ötv''siz Deniz'!O32+'Ötv''li Deniz'!O32+DAĞITICI!O32+Perakende!O32+ENDÜSTRİYEL!O32</f>
        <v>0</v>
      </c>
      <c r="P32" s="1134">
        <f t="shared" si="12"/>
        <v>0</v>
      </c>
      <c r="Q32" s="1125" t="str">
        <f t="shared" si="13"/>
        <v>-</v>
      </c>
      <c r="R32" s="249"/>
    </row>
    <row r="33" spans="1:24" ht="16.5" hidden="1" customHeight="1">
      <c r="A33" s="1214" t="s">
        <v>84</v>
      </c>
      <c r="B33" s="1217">
        <f>İHALE!B33+'Ötv''siz Deniz'!B33+'Ötv''li Deniz'!B33+DAĞITICI!B33+Perakende!B33+ENDÜSTRİYEL!B33</f>
        <v>0</v>
      </c>
      <c r="C33" s="1217">
        <f>İHALE!C33+'Ötv''siz Deniz'!C33+'Ötv''li Deniz'!C33+DAĞITICI!C33+Perakende!C33+ENDÜSTRİYEL!C33</f>
        <v>0</v>
      </c>
      <c r="D33" s="974">
        <f>İHALE!D33+'Ötv''siz Deniz'!D33+'Ötv''li Deniz'!D33+DAĞITICI!D33+Perakende!D33+ENDÜSTRİYEL!D33</f>
        <v>0</v>
      </c>
      <c r="E33" s="958">
        <f>İHALE!E33+'Ötv''siz Deniz'!E33+'Ötv''li Deniz'!E33+DAĞITICI!E33+Perakende!E33+ENDÜSTRİYEL!E33</f>
        <v>0</v>
      </c>
      <c r="F33" s="958">
        <f>İHALE!F33+'Ötv''siz Deniz'!F33+'Ötv''li Deniz'!F33+DAĞITICI!F33+Perakende!F33+ENDÜSTRİYEL!F33</f>
        <v>0</v>
      </c>
      <c r="G33" s="958">
        <f>İHALE!G33+'Ötv''siz Deniz'!G33+'Ötv''li Deniz'!G33+DAĞITICI!G33+Perakende!G33+ENDÜSTRİYEL!G33</f>
        <v>0</v>
      </c>
      <c r="H33" s="958">
        <f>İHALE!H33+'Ötv''siz Deniz'!H33+'Ötv''li Deniz'!H33+DAĞITICI!H33+Perakende!H33+ENDÜSTRİYEL!H33</f>
        <v>0</v>
      </c>
      <c r="I33" s="957">
        <f>İHALE!I33+'Ötv''siz Deniz'!I33+'Ötv''li Deniz'!I33+DAĞITICI!I33+Perakende!I33+ENDÜSTRİYEL!I33</f>
        <v>0</v>
      </c>
      <c r="J33" s="957">
        <f>İHALE!J33+'Ötv''siz Deniz'!J33+'Ötv''li Deniz'!J33+DAĞITICI!J33+Perakende!J33+ENDÜSTRİYEL!J33</f>
        <v>0</v>
      </c>
      <c r="K33" s="958">
        <f>İHALE!K33+'Ötv''siz Deniz'!K33+'Ötv''li Deniz'!K33+DAĞITICI!K33+Perakende!K33+ENDÜSTRİYEL!K33</f>
        <v>0</v>
      </c>
      <c r="L33" s="958">
        <f>İHALE!L33+'Ötv''siz Deniz'!L33+'Ötv''li Deniz'!L33+DAĞITICI!L33+Perakende!L33+ENDÜSTRİYEL!L33</f>
        <v>0</v>
      </c>
      <c r="M33" s="958">
        <f>İHALE!M33+'Ötv''siz Deniz'!M33+'Ötv''li Deniz'!M33+DAĞITICI!M33+Perakende!M33+ENDÜSTRİYEL!M33</f>
        <v>0</v>
      </c>
      <c r="N33" s="958">
        <f>İHALE!N33+'Ötv''siz Deniz'!N33+'Ötv''li Deniz'!N33+DAĞITICI!N33+Perakende!N33+ENDÜSTRİYEL!N33</f>
        <v>0</v>
      </c>
      <c r="O33" s="959">
        <f>İHALE!O33+'Ötv''siz Deniz'!O33+'Ötv''li Deniz'!O33+DAĞITICI!O33+Perakende!O33+ENDÜSTRİYEL!O33</f>
        <v>0</v>
      </c>
      <c r="P33" s="1133">
        <f t="shared" si="12"/>
        <v>0</v>
      </c>
      <c r="Q33" s="1123" t="str">
        <f t="shared" si="13"/>
        <v>-</v>
      </c>
      <c r="R33" s="249"/>
      <c r="S33" s="901"/>
      <c r="T33" s="901"/>
      <c r="U33" s="901"/>
      <c r="V33" s="901"/>
    </row>
    <row r="34" spans="1:24" ht="15" customHeight="1" thickBot="1">
      <c r="A34" s="1147" t="s">
        <v>18</v>
      </c>
      <c r="B34" s="1220">
        <f t="shared" ref="B34" si="16">SUM(B30:B33)</f>
        <v>0</v>
      </c>
      <c r="C34" s="1220">
        <f t="shared" ref="C34:O34" si="17">SUM(C30:C33)</f>
        <v>0</v>
      </c>
      <c r="D34" s="63">
        <f t="shared" si="17"/>
        <v>0</v>
      </c>
      <c r="E34" s="64">
        <f t="shared" si="17"/>
        <v>0</v>
      </c>
      <c r="F34" s="64">
        <f t="shared" si="17"/>
        <v>0</v>
      </c>
      <c r="G34" s="64">
        <f t="shared" si="17"/>
        <v>0</v>
      </c>
      <c r="H34" s="64">
        <f t="shared" si="17"/>
        <v>0</v>
      </c>
      <c r="I34" s="64">
        <f t="shared" si="17"/>
        <v>0</v>
      </c>
      <c r="J34" s="64">
        <f t="shared" si="17"/>
        <v>0</v>
      </c>
      <c r="K34" s="64">
        <f t="shared" si="17"/>
        <v>0</v>
      </c>
      <c r="L34" s="64">
        <f t="shared" si="17"/>
        <v>0</v>
      </c>
      <c r="M34" s="64">
        <f t="shared" si="17"/>
        <v>0</v>
      </c>
      <c r="N34" s="64">
        <f t="shared" si="17"/>
        <v>0</v>
      </c>
      <c r="O34" s="62">
        <f t="shared" si="17"/>
        <v>0</v>
      </c>
      <c r="P34" s="747">
        <f t="shared" si="12"/>
        <v>0</v>
      </c>
      <c r="Q34" s="1128" t="str">
        <f t="shared" si="13"/>
        <v>-</v>
      </c>
      <c r="R34" s="249"/>
    </row>
    <row r="35" spans="1:24" ht="22.5" customHeight="1" thickBot="1">
      <c r="A35" s="1140" t="s">
        <v>29</v>
      </c>
      <c r="B35" s="1221">
        <f t="shared" ref="B35" si="18">SUM(B36:B37)</f>
        <v>0</v>
      </c>
      <c r="C35" s="1221">
        <f t="shared" ref="C35:O35" si="19">SUM(C36:C37)</f>
        <v>0</v>
      </c>
      <c r="D35" s="68">
        <f t="shared" si="19"/>
        <v>0</v>
      </c>
      <c r="E35" s="69">
        <f t="shared" si="19"/>
        <v>0</v>
      </c>
      <c r="F35" s="69">
        <f t="shared" si="19"/>
        <v>0</v>
      </c>
      <c r="G35" s="69">
        <f t="shared" si="19"/>
        <v>0</v>
      </c>
      <c r="H35" s="69">
        <f t="shared" si="19"/>
        <v>0</v>
      </c>
      <c r="I35" s="69">
        <f t="shared" si="19"/>
        <v>0</v>
      </c>
      <c r="J35" s="69">
        <f t="shared" si="19"/>
        <v>0</v>
      </c>
      <c r="K35" s="69">
        <f t="shared" si="19"/>
        <v>0</v>
      </c>
      <c r="L35" s="69">
        <f t="shared" si="19"/>
        <v>0</v>
      </c>
      <c r="M35" s="69">
        <f t="shared" si="19"/>
        <v>0</v>
      </c>
      <c r="N35" s="69">
        <f t="shared" si="19"/>
        <v>0</v>
      </c>
      <c r="O35" s="70">
        <f t="shared" si="19"/>
        <v>0</v>
      </c>
      <c r="P35" s="748">
        <f t="shared" si="12"/>
        <v>0</v>
      </c>
      <c r="Q35" s="1105" t="str">
        <f t="shared" si="13"/>
        <v>-</v>
      </c>
      <c r="R35" s="249"/>
    </row>
    <row r="36" spans="1:24" ht="16.5" customHeight="1">
      <c r="A36" s="72" t="s">
        <v>19</v>
      </c>
      <c r="B36" s="1222">
        <f>İHALE!B36+'Ötv''siz Deniz'!B36+'Ötv''li Deniz'!B36+DAĞITICI!B36+Perakende!B36+ENDÜSTRİYEL!B36</f>
        <v>0</v>
      </c>
      <c r="C36" s="1222">
        <f>İHALE!C36+'Ötv''siz Deniz'!C36+'Ötv''li Deniz'!C36+DAĞITICI!C36+Perakende!C36+ENDÜSTRİYEL!C36</f>
        <v>0</v>
      </c>
      <c r="D36" s="75">
        <f>İHALE!D36+'Ötv''siz Deniz'!D36+'Ötv''li Deniz'!D36+DAĞITICI!D36+Perakende!D36+ENDÜSTRİYEL!D36</f>
        <v>0</v>
      </c>
      <c r="E36" s="76">
        <f>İHALE!E36+'Ötv''siz Deniz'!E36+'Ötv''li Deniz'!E36+DAĞITICI!E36+Perakende!E36+ENDÜSTRİYEL!E36</f>
        <v>0</v>
      </c>
      <c r="F36" s="76">
        <f>İHALE!F36+'Ötv''siz Deniz'!F36+'Ötv''li Deniz'!F36+DAĞITICI!F36+Perakende!F36+ENDÜSTRİYEL!F36</f>
        <v>0</v>
      </c>
      <c r="G36" s="76">
        <f>İHALE!G36+'Ötv''siz Deniz'!G36+'Ötv''li Deniz'!G36+DAĞITICI!G36+Perakende!G36+ENDÜSTRİYEL!G36</f>
        <v>0</v>
      </c>
      <c r="H36" s="76">
        <f>İHALE!H36+'Ötv''siz Deniz'!H36+'Ötv''li Deniz'!H36+DAĞITICI!H36+Perakende!H36+ENDÜSTRİYEL!H36</f>
        <v>0</v>
      </c>
      <c r="I36" s="76">
        <f>İHALE!I36+'Ötv''siz Deniz'!I36+'Ötv''li Deniz'!I36+DAĞITICI!I36+Perakende!I36+ENDÜSTRİYEL!I36</f>
        <v>0</v>
      </c>
      <c r="J36" s="76">
        <f>İHALE!J36+'Ötv''siz Deniz'!J36+'Ötv''li Deniz'!J36+DAĞITICI!J36+Perakende!J36+ENDÜSTRİYEL!J36</f>
        <v>0</v>
      </c>
      <c r="K36" s="76">
        <f>İHALE!K36+'Ötv''siz Deniz'!K36+'Ötv''li Deniz'!K36+DAĞITICI!K36+Perakende!K36+ENDÜSTRİYEL!K36</f>
        <v>0</v>
      </c>
      <c r="L36" s="76">
        <f>İHALE!L36+'Ötv''siz Deniz'!L36+'Ötv''li Deniz'!L36+DAĞITICI!L36+Perakende!L36+ENDÜSTRİYEL!L36</f>
        <v>0</v>
      </c>
      <c r="M36" s="76">
        <f>İHALE!M36+'Ötv''siz Deniz'!M36+'Ötv''li Deniz'!M36+DAĞITICI!M36+Perakende!M36+ENDÜSTRİYEL!M36</f>
        <v>0</v>
      </c>
      <c r="N36" s="76">
        <f>İHALE!N36+'Ötv''siz Deniz'!N36+'Ötv''li Deniz'!N36+DAĞITICI!N36+Perakende!N36+ENDÜSTRİYEL!N36</f>
        <v>0</v>
      </c>
      <c r="O36" s="77">
        <f>İHALE!O36+'Ötv''siz Deniz'!O36+'Ötv''li Deniz'!O36+DAĞITICI!O36+Perakende!O36+ENDÜSTRİYEL!O36</f>
        <v>0</v>
      </c>
      <c r="P36" s="1135">
        <f t="shared" si="12"/>
        <v>0</v>
      </c>
      <c r="Q36" s="1127" t="str">
        <f t="shared" si="13"/>
        <v>-</v>
      </c>
      <c r="R36" s="249"/>
    </row>
    <row r="37" spans="1:24" ht="16.5" customHeight="1" thickBot="1">
      <c r="A37" s="80" t="s">
        <v>20</v>
      </c>
      <c r="B37" s="1223">
        <f>İHALE!B37+'Ötv''siz Deniz'!B37+'Ötv''li Deniz'!B37+DAĞITICI!B37+Perakende!B37+ENDÜSTRİYEL!B37</f>
        <v>0</v>
      </c>
      <c r="C37" s="1223">
        <f>İHALE!C37+'Ötv''siz Deniz'!C37+'Ötv''li Deniz'!C37+DAĞITICI!C37+Perakende!C37+ENDÜSTRİYEL!C37</f>
        <v>0</v>
      </c>
      <c r="D37" s="83">
        <f>İHALE!D37+'Ötv''siz Deniz'!D37+'Ötv''li Deniz'!D37+DAĞITICI!D37+Perakende!D37+ENDÜSTRİYEL!D37</f>
        <v>0</v>
      </c>
      <c r="E37" s="84">
        <f>İHALE!E37+'Ötv''siz Deniz'!E37+'Ötv''li Deniz'!E37+DAĞITICI!E37+Perakende!E37+ENDÜSTRİYEL!E37</f>
        <v>0</v>
      </c>
      <c r="F37" s="84">
        <f>İHALE!F37+'Ötv''siz Deniz'!F37+'Ötv''li Deniz'!F37+DAĞITICI!F37+Perakende!F37+ENDÜSTRİYEL!F37</f>
        <v>0</v>
      </c>
      <c r="G37" s="84">
        <f>İHALE!G37+'Ötv''siz Deniz'!G37+'Ötv''li Deniz'!G37+DAĞITICI!G37+Perakende!G37+ENDÜSTRİYEL!G37</f>
        <v>0</v>
      </c>
      <c r="H37" s="84">
        <f>İHALE!H37+'Ötv''siz Deniz'!H37+'Ötv''li Deniz'!H37+DAĞITICI!H37+Perakende!H37+ENDÜSTRİYEL!H37</f>
        <v>0</v>
      </c>
      <c r="I37" s="84">
        <f>İHALE!I37+'Ötv''siz Deniz'!I37+'Ötv''li Deniz'!I37+DAĞITICI!I37+Perakende!I37+ENDÜSTRİYEL!I37</f>
        <v>0</v>
      </c>
      <c r="J37" s="84">
        <f>İHALE!J37+'Ötv''siz Deniz'!J37+'Ötv''li Deniz'!J37+DAĞITICI!J37+Perakende!J37+ENDÜSTRİYEL!J37</f>
        <v>0</v>
      </c>
      <c r="K37" s="84">
        <f>İHALE!K37+'Ötv''siz Deniz'!K37+'Ötv''li Deniz'!K37+DAĞITICI!K37+Perakende!K37+ENDÜSTRİYEL!K37</f>
        <v>0</v>
      </c>
      <c r="L37" s="84">
        <f>İHALE!L37+'Ötv''siz Deniz'!L37+'Ötv''li Deniz'!L37+DAĞITICI!L37+Perakende!L37+ENDÜSTRİYEL!L37</f>
        <v>0</v>
      </c>
      <c r="M37" s="84">
        <f>İHALE!M37+'Ötv''siz Deniz'!M37+'Ötv''li Deniz'!M37+DAĞITICI!M37+Perakende!M37+ENDÜSTRİYEL!M37</f>
        <v>0</v>
      </c>
      <c r="N37" s="84">
        <f>İHALE!N37+'Ötv''siz Deniz'!N37+'Ötv''li Deniz'!N37+DAĞITICI!N37+Perakende!N37+ENDÜSTRİYEL!N37</f>
        <v>0</v>
      </c>
      <c r="O37" s="85">
        <f>İHALE!O37+'Ötv''siz Deniz'!O37+'Ötv''li Deniz'!O37+DAĞITICI!O37+Perakende!O37+ENDÜSTRİYEL!O37</f>
        <v>0</v>
      </c>
      <c r="P37" s="1136">
        <f t="shared" si="12"/>
        <v>0</v>
      </c>
      <c r="Q37" s="1128" t="str">
        <f t="shared" si="13"/>
        <v>-</v>
      </c>
      <c r="R37" s="249"/>
    </row>
    <row r="38" spans="1:24" ht="22.5" customHeight="1" thickBot="1">
      <c r="A38" s="1140" t="s">
        <v>30</v>
      </c>
      <c r="B38" s="1221">
        <f t="shared" ref="B38" si="20">SUM(B39:B40)</f>
        <v>0.16949</v>
      </c>
      <c r="C38" s="1221">
        <f t="shared" ref="C38:O38" si="21">SUM(C39:C40)</f>
        <v>0</v>
      </c>
      <c r="D38" s="68">
        <f t="shared" si="21"/>
        <v>0</v>
      </c>
      <c r="E38" s="69">
        <f t="shared" si="21"/>
        <v>0</v>
      </c>
      <c r="F38" s="69">
        <f t="shared" si="21"/>
        <v>0</v>
      </c>
      <c r="G38" s="69">
        <f t="shared" si="21"/>
        <v>0</v>
      </c>
      <c r="H38" s="69">
        <f t="shared" si="21"/>
        <v>0</v>
      </c>
      <c r="I38" s="69">
        <f t="shared" si="21"/>
        <v>0</v>
      </c>
      <c r="J38" s="69">
        <f t="shared" si="21"/>
        <v>0</v>
      </c>
      <c r="K38" s="69">
        <f t="shared" si="21"/>
        <v>0</v>
      </c>
      <c r="L38" s="69">
        <f t="shared" si="21"/>
        <v>0</v>
      </c>
      <c r="M38" s="69">
        <f t="shared" si="21"/>
        <v>0</v>
      </c>
      <c r="N38" s="69">
        <f t="shared" si="21"/>
        <v>0</v>
      </c>
      <c r="O38" s="70">
        <f t="shared" si="21"/>
        <v>0</v>
      </c>
      <c r="P38" s="748">
        <f t="shared" si="12"/>
        <v>0</v>
      </c>
      <c r="Q38" s="1105" t="str">
        <f t="shared" si="13"/>
        <v>-</v>
      </c>
      <c r="R38" s="249"/>
    </row>
    <row r="39" spans="1:24" ht="16.5" customHeight="1">
      <c r="A39" s="72" t="s">
        <v>106</v>
      </c>
      <c r="B39" s="1222">
        <f>İHALE!B39+'Ötv''siz Deniz'!B39+'Ötv''li Deniz'!B39+DAĞITICI!B39+Perakende!B39+ENDÜSTRİYEL!B39</f>
        <v>0.16949</v>
      </c>
      <c r="C39" s="1222">
        <f>İHALE!C39+'Ötv''siz Deniz'!C39+'Ötv''li Deniz'!C39+DAĞITICI!C39+Perakende!C39+ENDÜSTRİYEL!C39</f>
        <v>0</v>
      </c>
      <c r="D39" s="75">
        <f>İHALE!D39+'Ötv''siz Deniz'!D39+'Ötv''li Deniz'!D39+DAĞITICI!D39+Perakende!D39+ENDÜSTRİYEL!D39</f>
        <v>0</v>
      </c>
      <c r="E39" s="76">
        <f>İHALE!E39+'Ötv''siz Deniz'!E39+'Ötv''li Deniz'!E39+DAĞITICI!E39+Perakende!E39+ENDÜSTRİYEL!E39</f>
        <v>0</v>
      </c>
      <c r="F39" s="76">
        <f>İHALE!F39+'Ötv''siz Deniz'!F39+'Ötv''li Deniz'!F39+DAĞITICI!F39+Perakende!F39+ENDÜSTRİYEL!F39</f>
        <v>0</v>
      </c>
      <c r="G39" s="76">
        <f>İHALE!G39+'Ötv''siz Deniz'!G39+'Ötv''li Deniz'!G39+DAĞITICI!G39+Perakende!G39+ENDÜSTRİYEL!G39</f>
        <v>0</v>
      </c>
      <c r="H39" s="76">
        <f>İHALE!H39+'Ötv''siz Deniz'!H39+'Ötv''li Deniz'!H39+DAĞITICI!H39+Perakende!H39+ENDÜSTRİYEL!H39</f>
        <v>0</v>
      </c>
      <c r="I39" s="76">
        <f>İHALE!I39+'Ötv''siz Deniz'!I39+'Ötv''li Deniz'!I39+DAĞITICI!I39+Perakende!I39+ENDÜSTRİYEL!I39</f>
        <v>0</v>
      </c>
      <c r="J39" s="76">
        <f>İHALE!J39+'Ötv''siz Deniz'!J39+'Ötv''li Deniz'!J39+DAĞITICI!J39+Perakende!J39+ENDÜSTRİYEL!J39</f>
        <v>0</v>
      </c>
      <c r="K39" s="76">
        <f>İHALE!K39+'Ötv''siz Deniz'!K39+'Ötv''li Deniz'!K39+DAĞITICI!K39+Perakende!K39+ENDÜSTRİYEL!K39</f>
        <v>0</v>
      </c>
      <c r="L39" s="76">
        <f>İHALE!L39+'Ötv''siz Deniz'!L39+'Ötv''li Deniz'!L39+DAĞITICI!L39+Perakende!L39+ENDÜSTRİYEL!L39</f>
        <v>0</v>
      </c>
      <c r="M39" s="76">
        <f>İHALE!M39+'Ötv''siz Deniz'!M39+'Ötv''li Deniz'!M39+DAĞITICI!M39+Perakende!M39+ENDÜSTRİYEL!M39</f>
        <v>0</v>
      </c>
      <c r="N39" s="76">
        <f>İHALE!N39+'Ötv''siz Deniz'!N39+'Ötv''li Deniz'!N39+DAĞITICI!N39+Perakende!N39+ENDÜSTRİYEL!N39</f>
        <v>0</v>
      </c>
      <c r="O39" s="77">
        <f>İHALE!O39+'Ötv''siz Deniz'!O39+'Ötv''li Deniz'!O39+DAĞITICI!O39+Perakende!O39+ENDÜSTRİYEL!O39</f>
        <v>0</v>
      </c>
      <c r="P39" s="1135">
        <f t="shared" si="12"/>
        <v>0</v>
      </c>
      <c r="Q39" s="1127" t="str">
        <f t="shared" si="13"/>
        <v>-</v>
      </c>
      <c r="R39" s="249"/>
    </row>
    <row r="40" spans="1:24" ht="16.5" customHeight="1" thickBot="1">
      <c r="A40" s="122" t="s">
        <v>105</v>
      </c>
      <c r="B40" s="1224">
        <f>İHALE!B40+'Ötv''siz Deniz'!B40+'Ötv''li Deniz'!B40+DAĞITICI!B40+Perakende!B40+ENDÜSTRİYEL!B40</f>
        <v>0</v>
      </c>
      <c r="C40" s="1224">
        <f>İHALE!C40+'Ötv''siz Deniz'!C40+'Ötv''li Deniz'!C40+DAĞITICI!C40+Perakende!C40+ENDÜSTRİYEL!C40</f>
        <v>0</v>
      </c>
      <c r="D40" s="125">
        <f>İHALE!D40+'Ötv''siz Deniz'!D40+'Ötv''li Deniz'!D40+DAĞITICI!D40+Perakende!D40+ENDÜSTRİYEL!D40</f>
        <v>0</v>
      </c>
      <c r="E40" s="126">
        <f>İHALE!E40+'Ötv''siz Deniz'!E40+'Ötv''li Deniz'!E40+DAĞITICI!E40+Perakende!E40+ENDÜSTRİYEL!E40</f>
        <v>0</v>
      </c>
      <c r="F40" s="126">
        <f>İHALE!F40+'Ötv''siz Deniz'!F40+'Ötv''li Deniz'!F40+DAĞITICI!F40+Perakende!F40+ENDÜSTRİYEL!F40</f>
        <v>0</v>
      </c>
      <c r="G40" s="126">
        <f>İHALE!G40+'Ötv''siz Deniz'!G40+'Ötv''li Deniz'!G40+DAĞITICI!G40+Perakende!G40+ENDÜSTRİYEL!G40</f>
        <v>0</v>
      </c>
      <c r="H40" s="126">
        <f>İHALE!H40+'Ötv''siz Deniz'!H40+'Ötv''li Deniz'!H40+DAĞITICI!H40+Perakende!H40+ENDÜSTRİYEL!H40</f>
        <v>0</v>
      </c>
      <c r="I40" s="126">
        <f>İHALE!I40+'Ötv''siz Deniz'!I40+'Ötv''li Deniz'!I40+DAĞITICI!I40+Perakende!I40+ENDÜSTRİYEL!I40</f>
        <v>0</v>
      </c>
      <c r="J40" s="126">
        <f>İHALE!J40+'Ötv''siz Deniz'!J40+'Ötv''li Deniz'!J40+DAĞITICI!J40+Perakende!J40+ENDÜSTRİYEL!J40</f>
        <v>0</v>
      </c>
      <c r="K40" s="126">
        <f>İHALE!K40+'Ötv''siz Deniz'!K40+'Ötv''li Deniz'!K40+DAĞITICI!K40+Perakende!K40+ENDÜSTRİYEL!K40</f>
        <v>0</v>
      </c>
      <c r="L40" s="126">
        <f>İHALE!L40+'Ötv''siz Deniz'!L40+'Ötv''li Deniz'!L40+DAĞITICI!L40+Perakende!L40+ENDÜSTRİYEL!L40</f>
        <v>0</v>
      </c>
      <c r="M40" s="126">
        <f>İHALE!M40+'Ötv''siz Deniz'!M40+'Ötv''li Deniz'!M40+DAĞITICI!M40+Perakende!M40+ENDÜSTRİYEL!M40</f>
        <v>0</v>
      </c>
      <c r="N40" s="126">
        <f>İHALE!N40+'Ötv''siz Deniz'!N40+'Ötv''li Deniz'!N40+DAĞITICI!N40+Perakende!N40+ENDÜSTRİYEL!N40</f>
        <v>0</v>
      </c>
      <c r="O40" s="127">
        <f>İHALE!O40+'Ötv''siz Deniz'!O40+'Ötv''li Deniz'!O40+DAĞITICI!O40+Perakende!O40+ENDÜSTRİYEL!O40</f>
        <v>0</v>
      </c>
      <c r="P40" s="1137">
        <f t="shared" si="12"/>
        <v>0</v>
      </c>
      <c r="Q40" s="1129" t="str">
        <f t="shared" si="13"/>
        <v>-</v>
      </c>
      <c r="R40" s="249"/>
    </row>
    <row r="41" spans="1:24" ht="16.5" customHeight="1" thickBot="1">
      <c r="B41" s="353"/>
      <c r="C41" s="353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9"/>
      <c r="R41" s="249"/>
    </row>
    <row r="42" spans="1:24" ht="22.5" customHeight="1" thickBot="1">
      <c r="A42" s="13" t="s">
        <v>86</v>
      </c>
      <c r="B42" s="1202">
        <f>İHALE!B42+'Ötv''siz Deniz'!B42+'Ötv''li Deniz'!B42+DAĞITICI!B42+Perakende!B42+ENDÜSTRİYEL!B42</f>
        <v>0</v>
      </c>
      <c r="C42" s="1202">
        <f>İHALE!C42+'Ötv''siz Deniz'!C42+'Ötv''li Deniz'!C42+DAĞITICI!C42+Perakende!C42+ENDÜSTRİYEL!C42</f>
        <v>0</v>
      </c>
      <c r="D42" s="16">
        <f>İHALE!D42+'Ötv''siz Deniz'!D42+'Ötv''li Deniz'!D42+DAĞITICI!D42+Perakende!D42+ENDÜSTRİYEL!D42</f>
        <v>0</v>
      </c>
      <c r="E42" s="17">
        <f>İHALE!E42+'Ötv''siz Deniz'!E42+'Ötv''li Deniz'!E42+DAĞITICI!E42+Perakende!E42+ENDÜSTRİYEL!E42</f>
        <v>0</v>
      </c>
      <c r="F42" s="17">
        <f>İHALE!F42+'Ötv''siz Deniz'!F42+'Ötv''li Deniz'!F42+DAĞITICI!F42+Perakende!F42+ENDÜSTRİYEL!F42</f>
        <v>0</v>
      </c>
      <c r="G42" s="17">
        <f>İHALE!G42+'Ötv''siz Deniz'!G42+'Ötv''li Deniz'!G42+DAĞITICI!G42+Perakende!G42+ENDÜSTRİYEL!G42</f>
        <v>0</v>
      </c>
      <c r="H42" s="17">
        <f>İHALE!H42+'Ötv''siz Deniz'!H42+'Ötv''li Deniz'!H42+DAĞITICI!H42+Perakende!H42+ENDÜSTRİYEL!H42</f>
        <v>0</v>
      </c>
      <c r="I42" s="17">
        <f>İHALE!I42+'Ötv''siz Deniz'!I42+'Ötv''li Deniz'!I42+DAĞITICI!I42+Perakende!I42+ENDÜSTRİYEL!I42</f>
        <v>0</v>
      </c>
      <c r="J42" s="17">
        <f>İHALE!J42+'Ötv''siz Deniz'!J42+'Ötv''li Deniz'!J42+DAĞITICI!J42+Perakende!J42+ENDÜSTRİYEL!J42</f>
        <v>0</v>
      </c>
      <c r="K42" s="17">
        <f>İHALE!K42+'Ötv''siz Deniz'!K42+'Ötv''li Deniz'!K42+DAĞITICI!K42+Perakende!K42+ENDÜSTRİYEL!K42</f>
        <v>0</v>
      </c>
      <c r="L42" s="17">
        <f>İHALE!L42+'Ötv''siz Deniz'!L42+'Ötv''li Deniz'!L42+DAĞITICI!L42+Perakende!L42+ENDÜSTRİYEL!L42</f>
        <v>0</v>
      </c>
      <c r="M42" s="17">
        <f>İHALE!M42+'Ötv''siz Deniz'!M42+'Ötv''li Deniz'!M42+DAĞITICI!M42+Perakende!M42+ENDÜSTRİYEL!M42</f>
        <v>0</v>
      </c>
      <c r="N42" s="17">
        <f>İHALE!N42+'Ötv''siz Deniz'!N42+'Ötv''li Deniz'!N42+DAĞITICI!N42+Perakende!N42+ENDÜSTRİYEL!N42</f>
        <v>0</v>
      </c>
      <c r="O42" s="120">
        <f>İHALE!O42+'Ötv''siz Deniz'!O42+'Ötv''li Deniz'!O42+DAĞITICI!O42+Perakende!O42+ENDÜSTRİYEL!O42</f>
        <v>0</v>
      </c>
      <c r="P42" s="94">
        <f>SUM(D42:O42)</f>
        <v>0</v>
      </c>
      <c r="Q42" s="1130" t="str">
        <f>IF(P42=0,"-",P42/C42-1)</f>
        <v>-</v>
      </c>
      <c r="R42" s="249"/>
    </row>
    <row r="43" spans="1:24" s="93" customFormat="1" ht="14.25" customHeight="1" thickBot="1">
      <c r="A43" s="90"/>
      <c r="B43" s="1205"/>
      <c r="C43" s="1205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>
        <f>SUM(D43:O43)</f>
        <v>0</v>
      </c>
      <c r="Q43" s="92"/>
      <c r="R43" s="249"/>
      <c r="S43" s="454"/>
      <c r="T43" s="454"/>
      <c r="U43" s="454"/>
      <c r="V43" s="454"/>
    </row>
    <row r="44" spans="1:24" s="93" customFormat="1" ht="23.25" customHeight="1" thickBot="1">
      <c r="A44" s="13" t="s">
        <v>31</v>
      </c>
      <c r="B44" s="1202">
        <f>İHALE!B44+'Ötv''siz Deniz'!B44+'Ötv''li Deniz'!B44+DAĞITICI!B44+Perakende!B44+ENDÜSTRİYEL!B44</f>
        <v>0.16949</v>
      </c>
      <c r="C44" s="1202">
        <f>İHALE!C44+'Ötv''siz Deniz'!C44+'Ötv''li Deniz'!C44+DAĞITICI!C44+Perakende!C44+ENDÜSTRİYEL!C44</f>
        <v>0</v>
      </c>
      <c r="D44" s="16">
        <f>İHALE!D44+'Ötv''siz Deniz'!D44+'Ötv''li Deniz'!D44+DAĞITICI!D44+Perakende!D44+ENDÜSTRİYEL!D44</f>
        <v>0</v>
      </c>
      <c r="E44" s="17">
        <f>İHALE!E44+'Ötv''siz Deniz'!E44+'Ötv''li Deniz'!E44+DAĞITICI!E44+Perakende!E44+ENDÜSTRİYEL!E44</f>
        <v>0</v>
      </c>
      <c r="F44" s="17">
        <f>İHALE!F44+'Ötv''siz Deniz'!F44+'Ötv''li Deniz'!F44+DAĞITICI!F44+Perakende!F44+ENDÜSTRİYEL!F44</f>
        <v>0</v>
      </c>
      <c r="G44" s="17">
        <f>İHALE!G44+'Ötv''siz Deniz'!G44+'Ötv''li Deniz'!G44+DAĞITICI!G44+Perakende!G44+ENDÜSTRİYEL!G44</f>
        <v>0</v>
      </c>
      <c r="H44" s="17">
        <f>İHALE!H44+'Ötv''siz Deniz'!H44+'Ötv''li Deniz'!H44+DAĞITICI!H44+Perakende!H44+ENDÜSTRİYEL!H44</f>
        <v>0</v>
      </c>
      <c r="I44" s="17">
        <f>İHALE!I44+'Ötv''siz Deniz'!I44+'Ötv''li Deniz'!I44+DAĞITICI!I44+Perakende!I44+ENDÜSTRİYEL!I44</f>
        <v>0</v>
      </c>
      <c r="J44" s="17">
        <f>İHALE!J44+'Ötv''siz Deniz'!J44+'Ötv''li Deniz'!J44+DAĞITICI!J44+Perakende!J44+ENDÜSTRİYEL!J44</f>
        <v>0</v>
      </c>
      <c r="K44" s="17">
        <f>İHALE!K44+'Ötv''siz Deniz'!K44+'Ötv''li Deniz'!K44+DAĞITICI!K44+Perakende!K44+ENDÜSTRİYEL!K44</f>
        <v>0</v>
      </c>
      <c r="L44" s="17">
        <f>İHALE!L44+'Ötv''siz Deniz'!L44+'Ötv''li Deniz'!L44+DAĞITICI!L44+Perakende!L44+ENDÜSTRİYEL!L44</f>
        <v>0</v>
      </c>
      <c r="M44" s="17">
        <f>İHALE!M44+'Ötv''siz Deniz'!M44+'Ötv''li Deniz'!M44+DAĞITICI!M44+Perakende!M44+ENDÜSTRİYEL!M44</f>
        <v>0</v>
      </c>
      <c r="N44" s="17">
        <f>İHALE!N44+'Ötv''siz Deniz'!N44+'Ötv''li Deniz'!N44+DAĞITICI!N44+Perakende!N44+ENDÜSTRİYEL!N44</f>
        <v>0</v>
      </c>
      <c r="O44" s="15">
        <f>İHALE!O44+'Ötv''siz Deniz'!O44+'Ötv''li Deniz'!O44+DAĞITICI!O44+Perakende!O44+ENDÜSTRİYEL!O44</f>
        <v>0</v>
      </c>
      <c r="P44" s="94">
        <f>SUM(D44:O44)</f>
        <v>0</v>
      </c>
      <c r="Q44" s="1130" t="str">
        <f>IF(P44=0,"-",P44/C44-1)</f>
        <v>-</v>
      </c>
      <c r="R44" s="249"/>
      <c r="S44" s="454"/>
      <c r="T44" s="454"/>
      <c r="U44" s="454"/>
      <c r="V44" s="454"/>
    </row>
    <row r="45" spans="1:24" s="93" customFormat="1" ht="23.25" customHeight="1" thickBot="1">
      <c r="A45" s="90"/>
      <c r="B45" s="1205"/>
      <c r="C45" s="1205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2"/>
      <c r="S45" s="454"/>
      <c r="T45" s="454"/>
      <c r="U45" s="454"/>
      <c r="V45" s="454"/>
    </row>
    <row r="46" spans="1:24" ht="33" customHeight="1">
      <c r="A46" s="5"/>
      <c r="B46" s="2357" t="s">
        <v>649</v>
      </c>
      <c r="C46" s="2355" t="s">
        <v>647</v>
      </c>
      <c r="D46" s="2359" t="s">
        <v>641</v>
      </c>
      <c r="E46" s="2360"/>
      <c r="F46" s="2360"/>
      <c r="G46" s="2360"/>
      <c r="H46" s="2360"/>
      <c r="I46" s="2360"/>
      <c r="J46" s="2360"/>
      <c r="K46" s="2360"/>
      <c r="L46" s="2360"/>
      <c r="M46" s="2360"/>
      <c r="N46" s="2360"/>
      <c r="O46" s="2360"/>
      <c r="P46" s="2361"/>
      <c r="Q46" s="937" t="s">
        <v>638</v>
      </c>
    </row>
    <row r="47" spans="1:24" ht="30.75" customHeight="1" thickBot="1">
      <c r="A47" s="7"/>
      <c r="B47" s="2358"/>
      <c r="C47" s="2356"/>
      <c r="D47" s="9" t="s">
        <v>1</v>
      </c>
      <c r="E47" s="10" t="s">
        <v>2</v>
      </c>
      <c r="F47" s="10" t="s">
        <v>3</v>
      </c>
      <c r="G47" s="10" t="s">
        <v>4</v>
      </c>
      <c r="H47" s="10" t="s">
        <v>5</v>
      </c>
      <c r="I47" s="10" t="s">
        <v>6</v>
      </c>
      <c r="J47" s="10" t="s">
        <v>7</v>
      </c>
      <c r="K47" s="10" t="s">
        <v>8</v>
      </c>
      <c r="L47" s="10" t="s">
        <v>9</v>
      </c>
      <c r="M47" s="10" t="s">
        <v>10</v>
      </c>
      <c r="N47" s="10" t="s">
        <v>11</v>
      </c>
      <c r="O47" s="10" t="s">
        <v>12</v>
      </c>
      <c r="P47" s="11" t="s">
        <v>13</v>
      </c>
      <c r="Q47" s="941" t="s">
        <v>619</v>
      </c>
    </row>
    <row r="48" spans="1:24" ht="22.5" customHeight="1" thickBot="1">
      <c r="A48" s="1140" t="s">
        <v>28</v>
      </c>
      <c r="B48" s="1215">
        <f t="shared" ref="B48" si="22">B51+B52+B57</f>
        <v>0</v>
      </c>
      <c r="C48" s="1215">
        <f t="shared" ref="C48:O48" si="23">C51+C52+C57</f>
        <v>0</v>
      </c>
      <c r="D48" s="16">
        <f>D51+D52+D57</f>
        <v>0</v>
      </c>
      <c r="E48" s="17">
        <f t="shared" si="23"/>
        <v>0</v>
      </c>
      <c r="F48" s="17">
        <f t="shared" si="23"/>
        <v>0</v>
      </c>
      <c r="G48" s="17">
        <f t="shared" si="23"/>
        <v>0</v>
      </c>
      <c r="H48" s="17">
        <f t="shared" si="23"/>
        <v>0</v>
      </c>
      <c r="I48" s="17">
        <f t="shared" si="23"/>
        <v>0</v>
      </c>
      <c r="J48" s="17">
        <f t="shared" si="23"/>
        <v>0</v>
      </c>
      <c r="K48" s="17">
        <f t="shared" si="23"/>
        <v>0</v>
      </c>
      <c r="L48" s="17">
        <f t="shared" si="23"/>
        <v>0</v>
      </c>
      <c r="M48" s="17">
        <f t="shared" si="23"/>
        <v>0</v>
      </c>
      <c r="N48" s="17">
        <f t="shared" si="23"/>
        <v>0</v>
      </c>
      <c r="O48" s="15">
        <f t="shared" si="23"/>
        <v>0</v>
      </c>
      <c r="P48" s="14">
        <f t="shared" ref="P48:P62" si="24">SUM(D48:O48)</f>
        <v>0</v>
      </c>
      <c r="Q48" s="18" t="str">
        <f t="shared" ref="Q48:Q63" si="25">IF(P48=0,"-",P48/C48-1)</f>
        <v>-</v>
      </c>
      <c r="W48" s="3">
        <f>+DAĞITICI!P48+ENDÜSTRİYEL!P48+İHALE!P48+'Deniz Satış &amp; Konsolide'!P48+Perakende!P48</f>
        <v>0</v>
      </c>
      <c r="X48" s="3">
        <f>+W48-P48</f>
        <v>0</v>
      </c>
    </row>
    <row r="49" spans="1:24" ht="16.5" customHeight="1">
      <c r="A49" s="1211" t="s">
        <v>15</v>
      </c>
      <c r="B49" s="1216">
        <f>İHALE!B49+'Ötv''siz Deniz'!B49+'Ötv''li Deniz'!B49+DAĞITICI!B49+Perakende!B49+ENDÜSTRİYEL!B49</f>
        <v>0</v>
      </c>
      <c r="C49" s="1216">
        <f>İHALE!C49+'Ötv''siz Deniz'!C49+'Ötv''li Deniz'!C49+DAĞITICI!C49+Perakende!C49+ENDÜSTRİYEL!C49</f>
        <v>0</v>
      </c>
      <c r="D49" s="1931">
        <f>İHALE!D49+'Ötv''siz Deniz'!D49+'Ötv''li Deniz'!D49+DAĞITICI!D49+Perakende!D49+ENDÜSTRİYEL!D49</f>
        <v>0</v>
      </c>
      <c r="E49" s="1932">
        <f>İHALE!E49+'Ötv''siz Deniz'!E49+'Ötv''li Deniz'!E49+DAĞITICI!E49+Perakende!E49+ENDÜSTRİYEL!E49</f>
        <v>0</v>
      </c>
      <c r="F49" s="1932">
        <f>İHALE!F49+'Ötv''siz Deniz'!F49+'Ötv''li Deniz'!F49+DAĞITICI!F49+Perakende!F49+ENDÜSTRİYEL!F49</f>
        <v>0</v>
      </c>
      <c r="G49" s="1932">
        <f>İHALE!G49+'Ötv''siz Deniz'!G49+'Ötv''li Deniz'!G49+DAĞITICI!G49+Perakende!G49+ENDÜSTRİYEL!G49</f>
        <v>0</v>
      </c>
      <c r="H49" s="1932">
        <f>İHALE!H49+'Ötv''siz Deniz'!H49+'Ötv''li Deniz'!H49+DAĞITICI!H49+Perakende!H49+ENDÜSTRİYEL!H49</f>
        <v>0</v>
      </c>
      <c r="I49" s="1932">
        <f>İHALE!I49+'Ötv''siz Deniz'!I49+'Ötv''li Deniz'!I49+DAĞITICI!I49+Perakende!I49+ENDÜSTRİYEL!I49</f>
        <v>0</v>
      </c>
      <c r="J49" s="1932">
        <f>İHALE!J49+'Ötv''siz Deniz'!J49+'Ötv''li Deniz'!J49+DAĞITICI!J49+Perakende!J49+ENDÜSTRİYEL!J49</f>
        <v>0</v>
      </c>
      <c r="K49" s="1932">
        <f>İHALE!K49+'Ötv''siz Deniz'!K49+'Ötv''li Deniz'!K49+DAĞITICI!K49+Perakende!K49+ENDÜSTRİYEL!K49</f>
        <v>0</v>
      </c>
      <c r="L49" s="1932">
        <f>İHALE!L49+'Ötv''siz Deniz'!L49+'Ötv''li Deniz'!L49+DAĞITICI!L49+Perakende!L49+ENDÜSTRİYEL!L49</f>
        <v>0</v>
      </c>
      <c r="M49" s="1932">
        <f>İHALE!M49+'Ötv''siz Deniz'!M49+'Ötv''li Deniz'!M49+DAĞITICI!M49+Perakende!M49+ENDÜSTRİYEL!M49</f>
        <v>0</v>
      </c>
      <c r="N49" s="1932">
        <f>İHALE!N49+'Ötv''siz Deniz'!N49+'Ötv''li Deniz'!N49+DAĞITICI!N49+Perakende!N49+ENDÜSTRİYEL!N49</f>
        <v>0</v>
      </c>
      <c r="O49" s="1933">
        <f>İHALE!O49+'Ötv''siz Deniz'!O49+'Ötv''li Deniz'!O49+DAĞITICI!O49+Perakende!O49+ENDÜSTRİYEL!O49</f>
        <v>0</v>
      </c>
      <c r="P49" s="1929">
        <f t="shared" si="24"/>
        <v>0</v>
      </c>
      <c r="Q49" s="26" t="str">
        <f t="shared" si="25"/>
        <v>-</v>
      </c>
      <c r="R49" s="27" t="s">
        <v>466</v>
      </c>
      <c r="W49" s="3">
        <f>+DAĞITICI!P49+ENDÜSTRİYEL!P49+İHALE!P49+'Deniz Satış &amp; Konsolide'!P49+Perakende!P49</f>
        <v>0</v>
      </c>
      <c r="X49" s="3">
        <f t="shared" ref="X49:X68" si="26">+W49-P49</f>
        <v>0</v>
      </c>
    </row>
    <row r="50" spans="1:24" ht="16.5" hidden="1" customHeight="1">
      <c r="A50" s="1212" t="s">
        <v>16</v>
      </c>
      <c r="B50" s="1217">
        <f>İHALE!B50+'Ötv''siz Deniz'!B50+'Ötv''li Deniz'!B50+DAĞITICI!B50+Perakende!B50+ENDÜSTRİYEL!B50</f>
        <v>0</v>
      </c>
      <c r="C50" s="1217">
        <f>İHALE!C50+'Ötv''siz Deniz'!C50+'Ötv''li Deniz'!C50+DAĞITICI!C50+Perakende!C50+ENDÜSTRİYEL!C50</f>
        <v>0</v>
      </c>
      <c r="D50" s="1934">
        <f t="shared" ref="D50:O50" si="27">+$S$50*D27</f>
        <v>0</v>
      </c>
      <c r="E50" s="1935">
        <f t="shared" si="27"/>
        <v>0</v>
      </c>
      <c r="F50" s="1935">
        <f t="shared" si="27"/>
        <v>0</v>
      </c>
      <c r="G50" s="1935">
        <f t="shared" si="27"/>
        <v>0</v>
      </c>
      <c r="H50" s="1935">
        <f t="shared" si="27"/>
        <v>0</v>
      </c>
      <c r="I50" s="1935">
        <f t="shared" si="27"/>
        <v>0</v>
      </c>
      <c r="J50" s="1935">
        <f t="shared" si="27"/>
        <v>0</v>
      </c>
      <c r="K50" s="1935">
        <f t="shared" si="27"/>
        <v>0</v>
      </c>
      <c r="L50" s="1935">
        <f t="shared" si="27"/>
        <v>0</v>
      </c>
      <c r="M50" s="1935">
        <f t="shared" si="27"/>
        <v>0</v>
      </c>
      <c r="N50" s="1935">
        <f t="shared" si="27"/>
        <v>0</v>
      </c>
      <c r="O50" s="1936">
        <f t="shared" si="27"/>
        <v>0</v>
      </c>
      <c r="P50" s="1924">
        <f t="shared" si="24"/>
        <v>0</v>
      </c>
      <c r="Q50" s="35" t="str">
        <f t="shared" si="25"/>
        <v>-</v>
      </c>
      <c r="W50" s="3">
        <f>+DAĞITICI!P50+ENDÜSTRİYEL!P50+İHALE!P50+'Deniz Satış &amp; Konsolide'!P50+Perakende!P50</f>
        <v>0</v>
      </c>
      <c r="X50" s="3">
        <f t="shared" si="26"/>
        <v>0</v>
      </c>
    </row>
    <row r="51" spans="1:24" ht="15" customHeight="1">
      <c r="A51" s="1143" t="s">
        <v>27</v>
      </c>
      <c r="B51" s="1218">
        <f>+B50+B49</f>
        <v>0</v>
      </c>
      <c r="C51" s="1218">
        <f>+C50+C49</f>
        <v>0</v>
      </c>
      <c r="D51" s="1937">
        <f>SUM(D49:D50)</f>
        <v>0</v>
      </c>
      <c r="E51" s="1938">
        <f t="shared" ref="E51:O51" si="28">SUM(E49:E50)</f>
        <v>0</v>
      </c>
      <c r="F51" s="1938">
        <f>SUM(F49:F50)</f>
        <v>0</v>
      </c>
      <c r="G51" s="1938">
        <f t="shared" si="28"/>
        <v>0</v>
      </c>
      <c r="H51" s="1938">
        <f t="shared" si="28"/>
        <v>0</v>
      </c>
      <c r="I51" s="1938">
        <f t="shared" si="28"/>
        <v>0</v>
      </c>
      <c r="J51" s="1938">
        <f t="shared" si="28"/>
        <v>0</v>
      </c>
      <c r="K51" s="1938">
        <f t="shared" si="28"/>
        <v>0</v>
      </c>
      <c r="L51" s="1938">
        <f t="shared" si="28"/>
        <v>0</v>
      </c>
      <c r="M51" s="1938">
        <f>SUM(M49:M50)</f>
        <v>0</v>
      </c>
      <c r="N51" s="1938">
        <f t="shared" si="28"/>
        <v>0</v>
      </c>
      <c r="O51" s="1939">
        <f t="shared" si="28"/>
        <v>0</v>
      </c>
      <c r="P51" s="1930">
        <f t="shared" si="24"/>
        <v>0</v>
      </c>
      <c r="Q51" s="57" t="str">
        <f t="shared" si="25"/>
        <v>-</v>
      </c>
      <c r="R51" s="2" t="s">
        <v>467</v>
      </c>
      <c r="W51" s="3">
        <f>+DAĞITICI!P51+ENDÜSTRİYEL!P51+İHALE!P51+'Deniz Satış &amp; Konsolide'!P51+Perakende!P51</f>
        <v>0</v>
      </c>
      <c r="X51" s="3">
        <f t="shared" si="26"/>
        <v>0</v>
      </c>
    </row>
    <row r="52" spans="1:24" ht="16.5" customHeight="1">
      <c r="A52" s="1144" t="s">
        <v>17</v>
      </c>
      <c r="B52" s="1863">
        <f>İHALE!B52+'Ötv''siz Deniz'!B52+'Ötv''li Deniz'!B52+DAĞITICI!B52+Perakende!B52+ENDÜSTRİYEL!B52</f>
        <v>0</v>
      </c>
      <c r="C52" s="1863">
        <f>İHALE!C52+'Ötv''siz Deniz'!C52+'Ötv''li Deniz'!C52+DAĞITICI!C52+Perakende!C52+ENDÜSTRİYEL!C52</f>
        <v>0</v>
      </c>
      <c r="D52" s="1940">
        <f>İHALE!D52+'Ötv''siz Deniz'!D52+'Ötv''li Deniz'!D52+DAĞITICI!D52+Perakende!D52+ENDÜSTRİYEL!D52</f>
        <v>0</v>
      </c>
      <c r="E52" s="1941">
        <f>İHALE!E52+'Ötv''siz Deniz'!E52+'Ötv''li Deniz'!E52+DAĞITICI!E52+Perakende!E52+ENDÜSTRİYEL!E52</f>
        <v>0</v>
      </c>
      <c r="F52" s="1941">
        <f>İHALE!F52+'Ötv''siz Deniz'!F52+'Ötv''li Deniz'!F52+DAĞITICI!F52+Perakende!F52+ENDÜSTRİYEL!F52</f>
        <v>0</v>
      </c>
      <c r="G52" s="1941">
        <f>İHALE!G52+'Ötv''siz Deniz'!G52+'Ötv''li Deniz'!G52+DAĞITICI!G52+Perakende!G52+ENDÜSTRİYEL!G52</f>
        <v>0</v>
      </c>
      <c r="H52" s="1941">
        <f>İHALE!H52+'Ötv''siz Deniz'!H52+'Ötv''li Deniz'!H52+DAĞITICI!H52+Perakende!H52+ENDÜSTRİYEL!H52</f>
        <v>0</v>
      </c>
      <c r="I52" s="1941">
        <f>İHALE!I52+'Ötv''siz Deniz'!I52+'Ötv''li Deniz'!I52+DAĞITICI!I52+Perakende!I52+ENDÜSTRİYEL!I52</f>
        <v>0</v>
      </c>
      <c r="J52" s="1941">
        <f>İHALE!J52+'Ötv''siz Deniz'!J52+'Ötv''li Deniz'!J52+DAĞITICI!J52+Perakende!J52+ENDÜSTRİYEL!J52</f>
        <v>0</v>
      </c>
      <c r="K52" s="1941">
        <f>İHALE!K52+'Ötv''siz Deniz'!K52+'Ötv''li Deniz'!K52+DAĞITICI!K52+Perakende!K52+ENDÜSTRİYEL!K52</f>
        <v>0</v>
      </c>
      <c r="L52" s="1941">
        <f>İHALE!L52+'Ötv''siz Deniz'!L52+'Ötv''li Deniz'!L52+DAĞITICI!L52+Perakende!L52+ENDÜSTRİYEL!L52</f>
        <v>0</v>
      </c>
      <c r="M52" s="1941">
        <f>İHALE!M52+'Ötv''siz Deniz'!M52+'Ötv''li Deniz'!M52+DAĞITICI!M52+Perakende!M52+ENDÜSTRİYEL!M52</f>
        <v>0</v>
      </c>
      <c r="N52" s="1941">
        <f>İHALE!N52+'Ötv''siz Deniz'!N52+'Ötv''li Deniz'!N52+DAĞITICI!N52+Perakende!N52+ENDÜSTRİYEL!N52</f>
        <v>0</v>
      </c>
      <c r="O52" s="1942">
        <f>İHALE!O52+'Ötv''siz Deniz'!O52+'Ötv''li Deniz'!O52+DAĞITICI!O52+Perakende!O52+ENDÜSTRİYEL!O52</f>
        <v>0</v>
      </c>
      <c r="P52" s="1943">
        <f>SUM(D52:O52)</f>
        <v>0</v>
      </c>
      <c r="Q52" s="1864" t="str">
        <f t="shared" si="25"/>
        <v>-</v>
      </c>
      <c r="W52" s="3">
        <f>+DAĞITICI!P52+ENDÜSTRİYEL!P52+İHALE!P52+'Deniz Satış &amp; Konsolide'!P52+Perakende!P52</f>
        <v>0</v>
      </c>
      <c r="X52" s="3">
        <f t="shared" si="26"/>
        <v>0</v>
      </c>
    </row>
    <row r="53" spans="1:24" ht="16.5" customHeight="1">
      <c r="A53" s="1213" t="s">
        <v>81</v>
      </c>
      <c r="B53" s="1219">
        <f>İHALE!B53+'Ötv''siz Deniz'!B53+'Ötv''li Deniz'!B53+DAĞITICI!B53+Perakende!B53+ENDÜSTRİYEL!B53</f>
        <v>0</v>
      </c>
      <c r="C53" s="1219">
        <f>İHALE!C53+'Ötv''siz Deniz'!C53+'Ötv''li Deniz'!C53+DAĞITICI!C53+Perakende!C53+ENDÜSTRİYEL!C53</f>
        <v>0</v>
      </c>
      <c r="D53" s="970">
        <f>İHALE!D53+'Ötv''siz Deniz'!D53+'Ötv''li Deniz'!D53+DAĞITICI!D53+Perakende!D53+ENDÜSTRİYEL!D53</f>
        <v>0</v>
      </c>
      <c r="E53" s="971">
        <f>İHALE!E53+'Ötv''siz Deniz'!E53+'Ötv''li Deniz'!E53+DAĞITICI!E53+Perakende!E53+ENDÜSTRİYEL!E53</f>
        <v>0</v>
      </c>
      <c r="F53" s="971">
        <f>İHALE!F53+'Ötv''siz Deniz'!F53+'Ötv''li Deniz'!F53+DAĞITICI!F53+Perakende!F53+ENDÜSTRİYEL!F53</f>
        <v>0</v>
      </c>
      <c r="G53" s="971">
        <f>İHALE!G53+'Ötv''siz Deniz'!G53+'Ötv''li Deniz'!G53+DAĞITICI!G53+Perakende!G53+ENDÜSTRİYEL!G53</f>
        <v>0</v>
      </c>
      <c r="H53" s="971">
        <f>İHALE!H53+'Ötv''siz Deniz'!H53+'Ötv''li Deniz'!H53+DAĞITICI!H53+Perakende!H53+ENDÜSTRİYEL!H53</f>
        <v>0</v>
      </c>
      <c r="I53" s="971">
        <f>İHALE!I53+'Ötv''siz Deniz'!I53+'Ötv''li Deniz'!I53+DAĞITICI!I53+Perakende!I53+ENDÜSTRİYEL!I53</f>
        <v>0</v>
      </c>
      <c r="J53" s="971">
        <f>İHALE!J53+'Ötv''siz Deniz'!J53+'Ötv''li Deniz'!J53+DAĞITICI!J53+Perakende!J53+ENDÜSTRİYEL!J53</f>
        <v>0</v>
      </c>
      <c r="K53" s="971">
        <f>İHALE!K53+'Ötv''siz Deniz'!K53+'Ötv''li Deniz'!K53+DAĞITICI!K53+Perakende!K53+ENDÜSTRİYEL!K53</f>
        <v>0</v>
      </c>
      <c r="L53" s="971">
        <f>İHALE!L53+'Ötv''siz Deniz'!L53+'Ötv''li Deniz'!L53+DAĞITICI!L53+Perakende!L53+ENDÜSTRİYEL!L53</f>
        <v>0</v>
      </c>
      <c r="M53" s="971">
        <f>İHALE!M53+'Ötv''siz Deniz'!M53+'Ötv''li Deniz'!M53+DAĞITICI!M53+Perakende!M53+ENDÜSTRİYEL!M53</f>
        <v>0</v>
      </c>
      <c r="N53" s="971">
        <f>İHALE!N53+'Ötv''siz Deniz'!N53+'Ötv''li Deniz'!N53+DAĞITICI!N53+Perakende!N53+ENDÜSTRİYEL!N53</f>
        <v>0</v>
      </c>
      <c r="O53" s="972">
        <f>İHALE!O53+'Ötv''siz Deniz'!O53+'Ötv''li Deniz'!O53+DAĞITICI!O53+Perakende!O53+ENDÜSTRİYEL!O53</f>
        <v>0</v>
      </c>
      <c r="P53" s="1925">
        <f>SUM(D53:O53)</f>
        <v>0</v>
      </c>
      <c r="Q53" s="57" t="str">
        <f t="shared" si="25"/>
        <v>-</v>
      </c>
      <c r="W53" s="3">
        <f>+DAĞITICI!P53+ENDÜSTRİYEL!P53+İHALE!P53+'Deniz Satış &amp; Konsolide'!P53+Perakende!P53</f>
        <v>0</v>
      </c>
      <c r="X53" s="3">
        <f t="shared" si="26"/>
        <v>0</v>
      </c>
    </row>
    <row r="54" spans="1:24" ht="16.5" customHeight="1">
      <c r="A54" s="1214" t="s">
        <v>82</v>
      </c>
      <c r="B54" s="1217">
        <f>İHALE!B54+'Ötv''siz Deniz'!B54+'Ötv''li Deniz'!B54+DAĞITICI!B54+Perakende!B54+ENDÜSTRİYEL!B54</f>
        <v>0</v>
      </c>
      <c r="C54" s="1217">
        <f>İHALE!C54+'Ötv''siz Deniz'!C54+'Ötv''li Deniz'!C54+DAĞITICI!C54+Perakende!C54+ENDÜSTRİYEL!C54</f>
        <v>0</v>
      </c>
      <c r="D54" s="974">
        <f>İHALE!D54+'Ötv''siz Deniz'!D54+'Ötv''li Deniz'!D54+DAĞITICI!D54+Perakende!D54+ENDÜSTRİYEL!D54</f>
        <v>0</v>
      </c>
      <c r="E54" s="958">
        <f>İHALE!E54+'Ötv''siz Deniz'!E54+'Ötv''li Deniz'!E54+DAĞITICI!E54+Perakende!E54+ENDÜSTRİYEL!E54</f>
        <v>0</v>
      </c>
      <c r="F54" s="958">
        <f>İHALE!F54+'Ötv''siz Deniz'!F54+'Ötv''li Deniz'!F54+DAĞITICI!F54+Perakende!F54+ENDÜSTRİYEL!F54</f>
        <v>0</v>
      </c>
      <c r="G54" s="958">
        <f>İHALE!G54+'Ötv''siz Deniz'!G54+'Ötv''li Deniz'!G54+DAĞITICI!G54+Perakende!G54+ENDÜSTRİYEL!G54</f>
        <v>0</v>
      </c>
      <c r="H54" s="958">
        <f>İHALE!H54+'Ötv''siz Deniz'!H54+'Ötv''li Deniz'!H54+DAĞITICI!H54+Perakende!H54+ENDÜSTRİYEL!H54</f>
        <v>0</v>
      </c>
      <c r="I54" s="958">
        <f>İHALE!I54+'Ötv''siz Deniz'!I54+'Ötv''li Deniz'!I54+DAĞITICI!I54+Perakende!I54+ENDÜSTRİYEL!I54</f>
        <v>0</v>
      </c>
      <c r="J54" s="958">
        <f>İHALE!J54+'Ötv''siz Deniz'!J54+'Ötv''li Deniz'!J54+DAĞITICI!J54+Perakende!J54+ENDÜSTRİYEL!J54</f>
        <v>0</v>
      </c>
      <c r="K54" s="958">
        <f>İHALE!K54+'Ötv''siz Deniz'!K54+'Ötv''li Deniz'!K54+DAĞITICI!K54+Perakende!K54+ENDÜSTRİYEL!K54</f>
        <v>0</v>
      </c>
      <c r="L54" s="958">
        <f>İHALE!L54+'Ötv''siz Deniz'!L54+'Ötv''li Deniz'!L54+DAĞITICI!L54+Perakende!L54+ENDÜSTRİYEL!L54</f>
        <v>0</v>
      </c>
      <c r="M54" s="958">
        <f>İHALE!M54+'Ötv''siz Deniz'!M54+'Ötv''li Deniz'!M54+DAĞITICI!M54+Perakende!M54+ENDÜSTRİYEL!M54</f>
        <v>0</v>
      </c>
      <c r="N54" s="958">
        <f>İHALE!N54+'Ötv''siz Deniz'!N54+'Ötv''li Deniz'!N54+DAĞITICI!N54+Perakende!N54+ENDÜSTRİYEL!N54</f>
        <v>0</v>
      </c>
      <c r="O54" s="959">
        <f>İHALE!O54+'Ötv''siz Deniz'!O54+'Ötv''li Deniz'!O54+DAĞITICI!O54+Perakende!O54+ENDÜSTRİYEL!O54</f>
        <v>0</v>
      </c>
      <c r="P54" s="48">
        <f t="shared" si="24"/>
        <v>0</v>
      </c>
      <c r="Q54" s="35" t="str">
        <f t="shared" si="25"/>
        <v>-</v>
      </c>
      <c r="W54" s="3">
        <f>+DAĞITICI!P54+ENDÜSTRİYEL!P54+İHALE!P54+'Deniz Satış &amp; Konsolide'!P54+Perakende!P54</f>
        <v>0</v>
      </c>
      <c r="X54" s="3">
        <f t="shared" si="26"/>
        <v>0</v>
      </c>
    </row>
    <row r="55" spans="1:24" ht="16.5" customHeight="1">
      <c r="A55" s="1213" t="s">
        <v>83</v>
      </c>
      <c r="B55" s="1219">
        <f>İHALE!B55+'Ötv''siz Deniz'!B55+'Ötv''li Deniz'!B55+DAĞITICI!B55+Perakende!B55+ENDÜSTRİYEL!B55</f>
        <v>0</v>
      </c>
      <c r="C55" s="1219">
        <f>İHALE!C55+'Ötv''siz Deniz'!C55+'Ötv''li Deniz'!C55+DAĞITICI!C55+Perakende!C55+ENDÜSTRİYEL!C55</f>
        <v>0</v>
      </c>
      <c r="D55" s="970">
        <f>İHALE!D55+'Ötv''siz Deniz'!D55+'Ötv''li Deniz'!D55+DAĞITICI!D55+Perakende!D55+ENDÜSTRİYEL!D55</f>
        <v>0</v>
      </c>
      <c r="E55" s="971">
        <f>İHALE!E55+'Ötv''siz Deniz'!E55+'Ötv''li Deniz'!E55+DAĞITICI!E55+Perakende!E55+ENDÜSTRİYEL!E55</f>
        <v>0</v>
      </c>
      <c r="F55" s="971">
        <f>İHALE!F55+'Ötv''siz Deniz'!F55+'Ötv''li Deniz'!F55+DAĞITICI!F55+Perakende!F55+ENDÜSTRİYEL!F55</f>
        <v>0</v>
      </c>
      <c r="G55" s="971">
        <f>İHALE!G55+'Ötv''siz Deniz'!G55+'Ötv''li Deniz'!G55+DAĞITICI!G55+Perakende!G55+ENDÜSTRİYEL!G55</f>
        <v>0</v>
      </c>
      <c r="H55" s="971">
        <f>İHALE!H55+'Ötv''siz Deniz'!H55+'Ötv''li Deniz'!H55+DAĞITICI!H55+Perakende!H55+ENDÜSTRİYEL!H55</f>
        <v>0</v>
      </c>
      <c r="I55" s="971">
        <f>İHALE!I55+'Ötv''siz Deniz'!I55+'Ötv''li Deniz'!I55+DAĞITICI!I55+Perakende!I55+ENDÜSTRİYEL!I55</f>
        <v>0</v>
      </c>
      <c r="J55" s="971">
        <f>İHALE!J55+'Ötv''siz Deniz'!J55+'Ötv''li Deniz'!J55+DAĞITICI!J55+Perakende!J55+ENDÜSTRİYEL!J55</f>
        <v>0</v>
      </c>
      <c r="K55" s="971">
        <f>İHALE!K55+'Ötv''siz Deniz'!K55+'Ötv''li Deniz'!K55+DAĞITICI!K55+Perakende!K55+ENDÜSTRİYEL!K55</f>
        <v>0</v>
      </c>
      <c r="L55" s="971">
        <f>İHALE!L55+'Ötv''siz Deniz'!L55+'Ötv''li Deniz'!L55+DAĞITICI!L55+Perakende!L55+ENDÜSTRİYEL!L55</f>
        <v>0</v>
      </c>
      <c r="M55" s="971">
        <f>İHALE!M55+'Ötv''siz Deniz'!M55+'Ötv''li Deniz'!M55+DAĞITICI!M55+Perakende!M55+ENDÜSTRİYEL!M55</f>
        <v>0</v>
      </c>
      <c r="N55" s="971">
        <f>İHALE!N55+'Ötv''siz Deniz'!N55+'Ötv''li Deniz'!N55+DAĞITICI!N55+Perakende!N55+ENDÜSTRİYEL!N55</f>
        <v>0</v>
      </c>
      <c r="O55" s="972">
        <f>İHALE!O55+'Ötv''siz Deniz'!O55+'Ötv''li Deniz'!O55+DAĞITICI!O55+Perakende!O55+ENDÜSTRİYEL!O55</f>
        <v>0</v>
      </c>
      <c r="P55" s="56">
        <f t="shared" si="24"/>
        <v>0</v>
      </c>
      <c r="Q55" s="57" t="str">
        <f t="shared" si="25"/>
        <v>-</v>
      </c>
      <c r="W55" s="3">
        <f>+DAĞITICI!P55+ENDÜSTRİYEL!P55+İHALE!P55+'Deniz Satış &amp; Konsolide'!P55+Perakende!P55</f>
        <v>0</v>
      </c>
      <c r="X55" s="3">
        <f t="shared" si="26"/>
        <v>0</v>
      </c>
    </row>
    <row r="56" spans="1:24" ht="16.5" hidden="1" customHeight="1">
      <c r="A56" s="1214" t="s">
        <v>84</v>
      </c>
      <c r="B56" s="1217"/>
      <c r="C56" s="1217"/>
      <c r="D56" s="974">
        <f>+$S$56*D33</f>
        <v>0</v>
      </c>
      <c r="E56" s="958">
        <f t="shared" ref="E56:N56" si="29">+$S$56*E33</f>
        <v>0</v>
      </c>
      <c r="F56" s="958">
        <f>+$S$56*F33</f>
        <v>0</v>
      </c>
      <c r="G56" s="958">
        <f t="shared" si="29"/>
        <v>0</v>
      </c>
      <c r="H56" s="958">
        <f t="shared" si="29"/>
        <v>0</v>
      </c>
      <c r="I56" s="958">
        <f t="shared" si="29"/>
        <v>0</v>
      </c>
      <c r="J56" s="958">
        <f t="shared" si="29"/>
        <v>0</v>
      </c>
      <c r="K56" s="958">
        <f t="shared" si="29"/>
        <v>0</v>
      </c>
      <c r="L56" s="958">
        <f t="shared" si="29"/>
        <v>0</v>
      </c>
      <c r="M56" s="958">
        <f t="shared" si="29"/>
        <v>0</v>
      </c>
      <c r="N56" s="958">
        <f t="shared" si="29"/>
        <v>0</v>
      </c>
      <c r="O56" s="959">
        <f>+$S$56*O33</f>
        <v>0</v>
      </c>
      <c r="P56" s="48">
        <f t="shared" si="24"/>
        <v>0</v>
      </c>
      <c r="Q56" s="35" t="str">
        <f t="shared" si="25"/>
        <v>-</v>
      </c>
      <c r="W56" s="3">
        <f>+DAĞITICI!P56+ENDÜSTRİYEL!P56+İHALE!P56+'Deniz Satış &amp; Konsolide'!P56+Perakende!P56</f>
        <v>0</v>
      </c>
      <c r="X56" s="3">
        <f t="shared" si="26"/>
        <v>0</v>
      </c>
    </row>
    <row r="57" spans="1:24" ht="15" customHeight="1" thickBot="1">
      <c r="A57" s="1147" t="s">
        <v>18</v>
      </c>
      <c r="B57" s="1220">
        <f>SUM(B53:B56)</f>
        <v>0</v>
      </c>
      <c r="C57" s="1220">
        <f>SUM(C53:C56)</f>
        <v>0</v>
      </c>
      <c r="D57" s="63">
        <f>SUM(D53:D56)</f>
        <v>0</v>
      </c>
      <c r="E57" s="64">
        <f t="shared" ref="E57:N57" si="30">SUM(E53:E56)</f>
        <v>0</v>
      </c>
      <c r="F57" s="64">
        <f t="shared" si="30"/>
        <v>0</v>
      </c>
      <c r="G57" s="64">
        <f t="shared" si="30"/>
        <v>0</v>
      </c>
      <c r="H57" s="64">
        <f t="shared" si="30"/>
        <v>0</v>
      </c>
      <c r="I57" s="64">
        <f t="shared" si="30"/>
        <v>0</v>
      </c>
      <c r="J57" s="64">
        <f t="shared" si="30"/>
        <v>0</v>
      </c>
      <c r="K57" s="64">
        <f t="shared" si="30"/>
        <v>0</v>
      </c>
      <c r="L57" s="64">
        <f t="shared" si="30"/>
        <v>0</v>
      </c>
      <c r="M57" s="64">
        <f>SUM(M53:M56)</f>
        <v>0</v>
      </c>
      <c r="N57" s="64">
        <f t="shared" si="30"/>
        <v>0</v>
      </c>
      <c r="O57" s="62">
        <f>SUM(O53:O56)</f>
        <v>0</v>
      </c>
      <c r="P57" s="61">
        <f>SUM(D57:O57)</f>
        <v>0</v>
      </c>
      <c r="Q57" s="87" t="str">
        <f t="shared" si="25"/>
        <v>-</v>
      </c>
      <c r="W57" s="3">
        <f>+DAĞITICI!P57+ENDÜSTRİYEL!P57+İHALE!P57+'Deniz Satış &amp; Konsolide'!P57+Perakende!P57</f>
        <v>0</v>
      </c>
      <c r="X57" s="3">
        <f t="shared" si="26"/>
        <v>0</v>
      </c>
    </row>
    <row r="58" spans="1:24" ht="22.5" customHeight="1" thickBot="1">
      <c r="A58" s="1140" t="s">
        <v>29</v>
      </c>
      <c r="B58" s="1221">
        <f t="shared" ref="B58" si="31">SUM(B59:B60)</f>
        <v>0</v>
      </c>
      <c r="C58" s="1221">
        <f t="shared" ref="C58:O58" si="32">SUM(C59:C60)</f>
        <v>0</v>
      </c>
      <c r="D58" s="68">
        <f>SUM(D59:D60)</f>
        <v>0</v>
      </c>
      <c r="E58" s="69">
        <f>SUM(E59:E60)</f>
        <v>0</v>
      </c>
      <c r="F58" s="69">
        <f t="shared" si="32"/>
        <v>0</v>
      </c>
      <c r="G58" s="69">
        <f t="shared" si="32"/>
        <v>0</v>
      </c>
      <c r="H58" s="69">
        <f t="shared" si="32"/>
        <v>0</v>
      </c>
      <c r="I58" s="69">
        <f t="shared" si="32"/>
        <v>0</v>
      </c>
      <c r="J58" s="69">
        <f t="shared" si="32"/>
        <v>0</v>
      </c>
      <c r="K58" s="69">
        <f t="shared" si="32"/>
        <v>0</v>
      </c>
      <c r="L58" s="69">
        <f t="shared" si="32"/>
        <v>0</v>
      </c>
      <c r="M58" s="69">
        <f t="shared" si="32"/>
        <v>0</v>
      </c>
      <c r="N58" s="69">
        <f t="shared" si="32"/>
        <v>0</v>
      </c>
      <c r="O58" s="70">
        <f t="shared" si="32"/>
        <v>0</v>
      </c>
      <c r="P58" s="66">
        <f t="shared" si="24"/>
        <v>0</v>
      </c>
      <c r="Q58" s="71" t="str">
        <f t="shared" si="25"/>
        <v>-</v>
      </c>
      <c r="W58" s="3">
        <f>+DAĞITICI!P58+ENDÜSTRİYEL!P58+İHALE!P58+'Deniz Satış &amp; Konsolide'!P58+Perakende!P58</f>
        <v>0</v>
      </c>
      <c r="X58" s="3">
        <f t="shared" si="26"/>
        <v>0</v>
      </c>
    </row>
    <row r="59" spans="1:24" ht="16.5" customHeight="1">
      <c r="A59" s="72" t="s">
        <v>19</v>
      </c>
      <c r="B59" s="1222">
        <f>İHALE!B59+'Ötv''siz Deniz'!B59+'Ötv''li Deniz'!B59+DAĞITICI!B59+Perakende!B59+ENDÜSTRİYEL!B59</f>
        <v>0</v>
      </c>
      <c r="C59" s="1222">
        <f>İHALE!C59+'Ötv''siz Deniz'!C59+'Ötv''li Deniz'!C59+DAĞITICI!C59+Perakende!C59+ENDÜSTRİYEL!C59</f>
        <v>0</v>
      </c>
      <c r="D59" s="75">
        <f>İHALE!D59+'Ötv''siz Deniz'!D59+'Ötv''li Deniz'!D59+DAĞITICI!D59+Perakende!D59+ENDÜSTRİYEL!D59</f>
        <v>0</v>
      </c>
      <c r="E59" s="76">
        <f>İHALE!E59+'Ötv''siz Deniz'!E59+'Ötv''li Deniz'!E59+DAĞITICI!E59+Perakende!E59+ENDÜSTRİYEL!E59</f>
        <v>0</v>
      </c>
      <c r="F59" s="76">
        <f>İHALE!F59+'Ötv''siz Deniz'!F59+'Ötv''li Deniz'!F59+DAĞITICI!F59+Perakende!F59+ENDÜSTRİYEL!F59</f>
        <v>0</v>
      </c>
      <c r="G59" s="76">
        <f>İHALE!G59+'Ötv''siz Deniz'!G59+'Ötv''li Deniz'!G59+DAĞITICI!G59+Perakende!G59+ENDÜSTRİYEL!G59</f>
        <v>0</v>
      </c>
      <c r="H59" s="76">
        <f>İHALE!H59+'Ötv''siz Deniz'!H59+'Ötv''li Deniz'!H59+DAĞITICI!H59+Perakende!H59+ENDÜSTRİYEL!H59</f>
        <v>0</v>
      </c>
      <c r="I59" s="76">
        <f>İHALE!I59+'Ötv''siz Deniz'!I59+'Ötv''li Deniz'!I59+DAĞITICI!I59+Perakende!I59+ENDÜSTRİYEL!I59</f>
        <v>0</v>
      </c>
      <c r="J59" s="76">
        <f>İHALE!J59+'Ötv''siz Deniz'!J59+'Ötv''li Deniz'!J59+DAĞITICI!J59+Perakende!J59+ENDÜSTRİYEL!J59</f>
        <v>0</v>
      </c>
      <c r="K59" s="76">
        <f>İHALE!K59+'Ötv''siz Deniz'!K59+'Ötv''li Deniz'!K59+DAĞITICI!K59+Perakende!K59+ENDÜSTRİYEL!K59</f>
        <v>0</v>
      </c>
      <c r="L59" s="76">
        <f>İHALE!L59+'Ötv''siz Deniz'!L59+'Ötv''li Deniz'!L59+DAĞITICI!L59+Perakende!L59+ENDÜSTRİYEL!L59</f>
        <v>0</v>
      </c>
      <c r="M59" s="76">
        <f>İHALE!M59+'Ötv''siz Deniz'!M59+'Ötv''li Deniz'!M59+DAĞITICI!M59+Perakende!M59+ENDÜSTRİYEL!M59</f>
        <v>0</v>
      </c>
      <c r="N59" s="76">
        <f>İHALE!N59+'Ötv''siz Deniz'!N59+'Ötv''li Deniz'!N59+DAĞITICI!N59+Perakende!N59+ENDÜSTRİYEL!N59</f>
        <v>0</v>
      </c>
      <c r="O59" s="77">
        <f>İHALE!O59+'Ötv''siz Deniz'!O59+'Ötv''li Deniz'!O59+DAĞITICI!O59+Perakende!O59+ENDÜSTRİYEL!O59</f>
        <v>0</v>
      </c>
      <c r="P59" s="78">
        <f>SUM(D59:O59)</f>
        <v>0</v>
      </c>
      <c r="Q59" s="79" t="str">
        <f t="shared" si="25"/>
        <v>-</v>
      </c>
      <c r="W59" s="3">
        <f>+DAĞITICI!P59+ENDÜSTRİYEL!P59+İHALE!P59+'Deniz Satış &amp; Konsolide'!P59+Perakende!P59</f>
        <v>0</v>
      </c>
      <c r="X59" s="3">
        <f t="shared" si="26"/>
        <v>0</v>
      </c>
    </row>
    <row r="60" spans="1:24" ht="16.5" customHeight="1" thickBot="1">
      <c r="A60" s="80" t="s">
        <v>20</v>
      </c>
      <c r="B60" s="1223">
        <f>İHALE!B60+'Ötv''siz Deniz'!B60+'Ötv''li Deniz'!B60+DAĞITICI!B60+Perakende!B60+ENDÜSTRİYEL!B60</f>
        <v>0</v>
      </c>
      <c r="C60" s="1223">
        <f>İHALE!C60+'Ötv''siz Deniz'!C60+'Ötv''li Deniz'!C60+DAĞITICI!C60+Perakende!C60+ENDÜSTRİYEL!C60</f>
        <v>0</v>
      </c>
      <c r="D60" s="83">
        <f>İHALE!D60+'Ötv''siz Deniz'!D60+'Ötv''li Deniz'!D60+DAĞITICI!D60+Perakende!D60+ENDÜSTRİYEL!D60</f>
        <v>0</v>
      </c>
      <c r="E60" s="84">
        <f>İHALE!E60+'Ötv''siz Deniz'!E60+'Ötv''li Deniz'!E60+DAĞITICI!E60+Perakende!E60+ENDÜSTRİYEL!E60</f>
        <v>0</v>
      </c>
      <c r="F60" s="84">
        <f>İHALE!F60+'Ötv''siz Deniz'!F60+'Ötv''li Deniz'!F60+DAĞITICI!F60+Perakende!F60+ENDÜSTRİYEL!F60</f>
        <v>0</v>
      </c>
      <c r="G60" s="84">
        <f>İHALE!G60+'Ötv''siz Deniz'!G60+'Ötv''li Deniz'!G60+DAĞITICI!G60+Perakende!G60+ENDÜSTRİYEL!G60</f>
        <v>0</v>
      </c>
      <c r="H60" s="84">
        <f>İHALE!H60+'Ötv''siz Deniz'!H60+'Ötv''li Deniz'!H60+DAĞITICI!H60+Perakende!H60+ENDÜSTRİYEL!H60</f>
        <v>0</v>
      </c>
      <c r="I60" s="84">
        <f>İHALE!I60+'Ötv''siz Deniz'!I60+'Ötv''li Deniz'!I60+DAĞITICI!I60+Perakende!I60+ENDÜSTRİYEL!I60</f>
        <v>0</v>
      </c>
      <c r="J60" s="84">
        <f>İHALE!J60+'Ötv''siz Deniz'!J60+'Ötv''li Deniz'!J60+DAĞITICI!J60+Perakende!J60+ENDÜSTRİYEL!J60</f>
        <v>0</v>
      </c>
      <c r="K60" s="84">
        <f>İHALE!K60+'Ötv''siz Deniz'!K60+'Ötv''li Deniz'!K60+DAĞITICI!K60+Perakende!K60+ENDÜSTRİYEL!K60</f>
        <v>0</v>
      </c>
      <c r="L60" s="84">
        <f>İHALE!L60+'Ötv''siz Deniz'!L60+'Ötv''li Deniz'!L60+DAĞITICI!L60+Perakende!L60+ENDÜSTRİYEL!L60</f>
        <v>0</v>
      </c>
      <c r="M60" s="84">
        <f>İHALE!M60+'Ötv''siz Deniz'!M60+'Ötv''li Deniz'!M60+DAĞITICI!M60+Perakende!M60+ENDÜSTRİYEL!M60</f>
        <v>0</v>
      </c>
      <c r="N60" s="84">
        <f>İHALE!N60+'Ötv''siz Deniz'!N60+'Ötv''li Deniz'!N60+DAĞITICI!N60+Perakende!N60+ENDÜSTRİYEL!N60</f>
        <v>0</v>
      </c>
      <c r="O60" s="85">
        <f>İHALE!O60+'Ötv''siz Deniz'!O60+'Ötv''li Deniz'!O60+DAĞITICI!O60+Perakende!O60+ENDÜSTRİYEL!O60</f>
        <v>0</v>
      </c>
      <c r="P60" s="86">
        <f t="shared" si="24"/>
        <v>0</v>
      </c>
      <c r="Q60" s="87" t="str">
        <f t="shared" si="25"/>
        <v>-</v>
      </c>
      <c r="W60" s="3">
        <f>+DAĞITICI!P60+ENDÜSTRİYEL!P60+İHALE!P60+'Deniz Satış &amp; Konsolide'!P60+Perakende!P60</f>
        <v>0</v>
      </c>
      <c r="X60" s="3">
        <f t="shared" si="26"/>
        <v>0</v>
      </c>
    </row>
    <row r="61" spans="1:24" ht="22.5" customHeight="1" thickBot="1">
      <c r="A61" s="1140" t="s">
        <v>30</v>
      </c>
      <c r="B61" s="1221">
        <f t="shared" ref="B61" si="33">SUM(B62:B63)</f>
        <v>0</v>
      </c>
      <c r="C61" s="1221">
        <f t="shared" ref="C61:N61" si="34">SUM(C62:C63)</f>
        <v>0</v>
      </c>
      <c r="D61" s="68">
        <f>SUM(D62:D63)</f>
        <v>0</v>
      </c>
      <c r="E61" s="69">
        <f t="shared" si="34"/>
        <v>0</v>
      </c>
      <c r="F61" s="69">
        <f t="shared" si="34"/>
        <v>0</v>
      </c>
      <c r="G61" s="69">
        <f>SUM(G62:G63)</f>
        <v>0</v>
      </c>
      <c r="H61" s="69">
        <f t="shared" si="34"/>
        <v>0</v>
      </c>
      <c r="I61" s="69">
        <f t="shared" si="34"/>
        <v>0</v>
      </c>
      <c r="J61" s="69">
        <f t="shared" si="34"/>
        <v>0</v>
      </c>
      <c r="K61" s="69">
        <f t="shared" si="34"/>
        <v>0</v>
      </c>
      <c r="L61" s="69">
        <f t="shared" si="34"/>
        <v>0</v>
      </c>
      <c r="M61" s="69">
        <f t="shared" si="34"/>
        <v>0</v>
      </c>
      <c r="N61" s="69">
        <f t="shared" si="34"/>
        <v>0</v>
      </c>
      <c r="O61" s="70">
        <f>SUM(O62:O63)</f>
        <v>0</v>
      </c>
      <c r="P61" s="66">
        <f t="shared" si="24"/>
        <v>0</v>
      </c>
      <c r="Q61" s="71" t="str">
        <f t="shared" si="25"/>
        <v>-</v>
      </c>
      <c r="W61" s="3">
        <f>+DAĞITICI!P61+ENDÜSTRİYEL!P61+İHALE!P61+'Deniz Satış &amp; Konsolide'!P61+Perakende!P61</f>
        <v>0</v>
      </c>
      <c r="X61" s="3">
        <f t="shared" si="26"/>
        <v>0</v>
      </c>
    </row>
    <row r="62" spans="1:24" ht="16.5" customHeight="1">
      <c r="A62" s="72" t="s">
        <v>106</v>
      </c>
      <c r="B62" s="1222">
        <f>İHALE!B62+'Ötv''siz Deniz'!B62+'Ötv''li Deniz'!B62+DAĞITICI!B62+Perakende!B62+ENDÜSTRİYEL!B62</f>
        <v>0</v>
      </c>
      <c r="C62" s="1222">
        <f>İHALE!C62+'Ötv''siz Deniz'!C62+'Ötv''li Deniz'!C62+DAĞITICI!C62+Perakende!C62+ENDÜSTRİYEL!C62</f>
        <v>0</v>
      </c>
      <c r="D62" s="75">
        <f>İHALE!D62+'Ötv''siz Deniz'!D62+'Ötv''li Deniz'!D62+DAĞITICI!D62+Perakende!D62+ENDÜSTRİYEL!D62</f>
        <v>0</v>
      </c>
      <c r="E62" s="76">
        <f>İHALE!E62+'Ötv''siz Deniz'!E62+'Ötv''li Deniz'!E62+DAĞITICI!E62+Perakende!E62+ENDÜSTRİYEL!E62</f>
        <v>0</v>
      </c>
      <c r="F62" s="76">
        <f>İHALE!F62+'Ötv''siz Deniz'!F62+'Ötv''li Deniz'!F62+DAĞITICI!F62+Perakende!F62+ENDÜSTRİYEL!F62</f>
        <v>0</v>
      </c>
      <c r="G62" s="76">
        <f>İHALE!G62+'Ötv''siz Deniz'!G62+'Ötv''li Deniz'!G62+DAĞITICI!G62+Perakende!G62+ENDÜSTRİYEL!G62</f>
        <v>0</v>
      </c>
      <c r="H62" s="76">
        <f>İHALE!H62+'Ötv''siz Deniz'!H62+'Ötv''li Deniz'!H62+DAĞITICI!H62+Perakende!H62+ENDÜSTRİYEL!H62</f>
        <v>0</v>
      </c>
      <c r="I62" s="76">
        <f>İHALE!I62+'Ötv''siz Deniz'!I62+'Ötv''li Deniz'!I62+DAĞITICI!I62+Perakende!I62+ENDÜSTRİYEL!I62</f>
        <v>0</v>
      </c>
      <c r="J62" s="76">
        <f>İHALE!J62+'Ötv''siz Deniz'!J62+'Ötv''li Deniz'!J62+DAĞITICI!J62+Perakende!J62+ENDÜSTRİYEL!J62</f>
        <v>0</v>
      </c>
      <c r="K62" s="76">
        <f>İHALE!K62+'Ötv''siz Deniz'!K62+'Ötv''li Deniz'!K62+DAĞITICI!K62+Perakende!K62+ENDÜSTRİYEL!K62</f>
        <v>0</v>
      </c>
      <c r="L62" s="76">
        <f>İHALE!L62+'Ötv''siz Deniz'!L62+'Ötv''li Deniz'!L62+DAĞITICI!L62+Perakende!L62+ENDÜSTRİYEL!L62</f>
        <v>0</v>
      </c>
      <c r="M62" s="76">
        <f>İHALE!M62+'Ötv''siz Deniz'!M62+'Ötv''li Deniz'!M62+DAĞITICI!M62+Perakende!M62+ENDÜSTRİYEL!M62</f>
        <v>0</v>
      </c>
      <c r="N62" s="76">
        <f>İHALE!N62+'Ötv''siz Deniz'!N62+'Ötv''li Deniz'!N62+DAĞITICI!N62+Perakende!N62+ENDÜSTRİYEL!N62</f>
        <v>0</v>
      </c>
      <c r="O62" s="77">
        <f>İHALE!O62+'Ötv''siz Deniz'!O62+'Ötv''li Deniz'!O62+DAĞITICI!O62+Perakende!O62+ENDÜSTRİYEL!O62</f>
        <v>0</v>
      </c>
      <c r="P62" s="78">
        <f t="shared" si="24"/>
        <v>0</v>
      </c>
      <c r="Q62" s="79" t="str">
        <f t="shared" si="25"/>
        <v>-</v>
      </c>
      <c r="W62" s="3">
        <f>+DAĞITICI!P62+ENDÜSTRİYEL!P62+İHALE!P62+'Deniz Satış &amp; Konsolide'!P62+Perakende!P62</f>
        <v>0</v>
      </c>
      <c r="X62" s="3">
        <f t="shared" si="26"/>
        <v>0</v>
      </c>
    </row>
    <row r="63" spans="1:24" ht="16.5" customHeight="1" thickBot="1">
      <c r="A63" s="122" t="s">
        <v>105</v>
      </c>
      <c r="B63" s="1224">
        <f>İHALE!B63+'Ötv''siz Deniz'!B63+'Ötv''li Deniz'!B63+DAĞITICI!B63+Perakende!B63+ENDÜSTRİYEL!B63</f>
        <v>0</v>
      </c>
      <c r="C63" s="1224">
        <f>İHALE!C63+'Ötv''siz Deniz'!C63+'Ötv''li Deniz'!C63+DAĞITICI!C63+Perakende!C63+ENDÜSTRİYEL!C63</f>
        <v>0</v>
      </c>
      <c r="D63" s="125">
        <f>İHALE!D63+'Ötv''siz Deniz'!D63+'Ötv''li Deniz'!D63+DAĞITICI!D63+Perakende!D63+ENDÜSTRİYEL!D63</f>
        <v>0</v>
      </c>
      <c r="E63" s="126">
        <f>İHALE!E63+'Ötv''siz Deniz'!E63+'Ötv''li Deniz'!E63+DAĞITICI!E63+Perakende!E63+ENDÜSTRİYEL!E63</f>
        <v>0</v>
      </c>
      <c r="F63" s="126">
        <f>İHALE!F63+'Ötv''siz Deniz'!F63+'Ötv''li Deniz'!F63+DAĞITICI!F63+Perakende!F63+ENDÜSTRİYEL!F63</f>
        <v>0</v>
      </c>
      <c r="G63" s="126">
        <f>İHALE!G63+'Ötv''siz Deniz'!G63+'Ötv''li Deniz'!G63+DAĞITICI!G63+Perakende!G63+ENDÜSTRİYEL!G63</f>
        <v>0</v>
      </c>
      <c r="H63" s="126">
        <f>İHALE!H63+'Ötv''siz Deniz'!H63+'Ötv''li Deniz'!H63+DAĞITICI!H63+Perakende!H63+ENDÜSTRİYEL!H63</f>
        <v>0</v>
      </c>
      <c r="I63" s="126">
        <f>İHALE!I63+'Ötv''siz Deniz'!I63+'Ötv''li Deniz'!I63+DAĞITICI!I63+Perakende!I63+ENDÜSTRİYEL!I63</f>
        <v>0</v>
      </c>
      <c r="J63" s="126">
        <f>İHALE!J63+'Ötv''siz Deniz'!J63+'Ötv''li Deniz'!J63+DAĞITICI!J63+Perakende!J63+ENDÜSTRİYEL!J63</f>
        <v>0</v>
      </c>
      <c r="K63" s="126">
        <f>İHALE!K63+'Ötv''siz Deniz'!K63+'Ötv''li Deniz'!K63+DAĞITICI!K63+Perakende!K63+ENDÜSTRİYEL!K63</f>
        <v>0</v>
      </c>
      <c r="L63" s="126">
        <f>İHALE!L63+'Ötv''siz Deniz'!L63+'Ötv''li Deniz'!L63+DAĞITICI!L63+Perakende!L63+ENDÜSTRİYEL!L63</f>
        <v>0</v>
      </c>
      <c r="M63" s="126">
        <f>İHALE!M63+'Ötv''siz Deniz'!M63+'Ötv''li Deniz'!M63+DAĞITICI!M63+Perakende!M63+ENDÜSTRİYEL!M63</f>
        <v>0</v>
      </c>
      <c r="N63" s="126">
        <f>İHALE!N63+'Ötv''siz Deniz'!N63+'Ötv''li Deniz'!N63+DAĞITICI!N63+Perakende!N63+ENDÜSTRİYEL!N63</f>
        <v>0</v>
      </c>
      <c r="O63" s="127">
        <f>İHALE!O63+'Ötv''siz Deniz'!O63+'Ötv''li Deniz'!O63+DAĞITICI!O63+Perakende!O63+ENDÜSTRİYEL!O63</f>
        <v>0</v>
      </c>
      <c r="P63" s="128">
        <f>SUM(D63:O63)</f>
        <v>0</v>
      </c>
      <c r="Q63" s="129" t="str">
        <f t="shared" si="25"/>
        <v>-</v>
      </c>
      <c r="W63" s="3">
        <f>+DAĞITICI!P63+ENDÜSTRİYEL!P63+İHALE!P63+'Deniz Satış &amp; Konsolide'!P63+Perakende!P63</f>
        <v>0</v>
      </c>
      <c r="X63" s="3">
        <f t="shared" si="26"/>
        <v>0</v>
      </c>
    </row>
    <row r="64" spans="1:24" ht="16.5" customHeight="1" thickBot="1">
      <c r="B64" s="353"/>
      <c r="C64" s="353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9"/>
      <c r="W64" s="3">
        <f>+DAĞITICI!P64+ENDÜSTRİYEL!P64+İHALE!P64+'Deniz Satış &amp; Konsolide'!P64+Perakende!P64</f>
        <v>0</v>
      </c>
      <c r="X64" s="3">
        <f t="shared" si="26"/>
        <v>0</v>
      </c>
    </row>
    <row r="65" spans="1:24" ht="22.5" customHeight="1" thickBot="1">
      <c r="A65" s="13" t="s">
        <v>86</v>
      </c>
      <c r="B65" s="1202">
        <f>İHALE!B65+'Ötv''siz Deniz'!B65+'Ötv''li Deniz'!B65+DAĞITICI!B65+Perakende!B65+ENDÜSTRİYEL!B65</f>
        <v>0</v>
      </c>
      <c r="C65" s="1202">
        <f>İHALE!C65+'Ötv''siz Deniz'!C65+'Ötv''li Deniz'!C65+DAĞITICI!C65+Perakende!C65+ENDÜSTRİYEL!C65</f>
        <v>0</v>
      </c>
      <c r="D65" s="16">
        <f>İHALE!D65+'Ötv''siz Deniz'!D65+'Ötv''li Deniz'!D65+DAĞITICI!D65+Perakende!D65+ENDÜSTRİYEL!D65</f>
        <v>0</v>
      </c>
      <c r="E65" s="17">
        <f>İHALE!E65+'Ötv''siz Deniz'!E65+'Ötv''li Deniz'!E65+DAĞITICI!E65+Perakende!E65+ENDÜSTRİYEL!E65</f>
        <v>0</v>
      </c>
      <c r="F65" s="17">
        <f>İHALE!F65+'Ötv''siz Deniz'!F65+'Ötv''li Deniz'!F65+DAĞITICI!F65+Perakende!F65+ENDÜSTRİYEL!F65</f>
        <v>0</v>
      </c>
      <c r="G65" s="17">
        <f>İHALE!G65+'Ötv''siz Deniz'!G65+'Ötv''li Deniz'!G65+DAĞITICI!G65+Perakende!G65+ENDÜSTRİYEL!G65</f>
        <v>0</v>
      </c>
      <c r="H65" s="17">
        <f>İHALE!H65+'Ötv''siz Deniz'!H65+'Ötv''li Deniz'!H65+DAĞITICI!H65+Perakende!H65+ENDÜSTRİYEL!H65</f>
        <v>0</v>
      </c>
      <c r="I65" s="17">
        <f>İHALE!I65+'Ötv''siz Deniz'!I65+'Ötv''li Deniz'!I65+DAĞITICI!I65+Perakende!I65+ENDÜSTRİYEL!I65</f>
        <v>0</v>
      </c>
      <c r="J65" s="17">
        <f>İHALE!J65+'Ötv''siz Deniz'!J65+'Ötv''li Deniz'!J65+DAĞITICI!J65+Perakende!J65+ENDÜSTRİYEL!J65</f>
        <v>0</v>
      </c>
      <c r="K65" s="17">
        <f>İHALE!K65+'Ötv''siz Deniz'!K65+'Ötv''li Deniz'!K65+DAĞITICI!K65+Perakende!K65+ENDÜSTRİYEL!K65</f>
        <v>0</v>
      </c>
      <c r="L65" s="17">
        <f>İHALE!L65+'Ötv''siz Deniz'!L65+'Ötv''li Deniz'!L65+DAĞITICI!L65+Perakende!L65+ENDÜSTRİYEL!L65</f>
        <v>0</v>
      </c>
      <c r="M65" s="17">
        <f>İHALE!M65+'Ötv''siz Deniz'!M65+'Ötv''li Deniz'!M65+DAĞITICI!M65+Perakende!M65+ENDÜSTRİYEL!M65</f>
        <v>0</v>
      </c>
      <c r="N65" s="17">
        <f>İHALE!N65+'Ötv''siz Deniz'!N65+'Ötv''li Deniz'!N65+DAĞITICI!N65+Perakende!N65+ENDÜSTRİYEL!N65</f>
        <v>0</v>
      </c>
      <c r="O65" s="120">
        <f>İHALE!O65+'Ötv''siz Deniz'!O65+'Ötv''li Deniz'!O65+DAĞITICI!O65+Perakende!O65+ENDÜSTRİYEL!O65</f>
        <v>0</v>
      </c>
      <c r="P65" s="14">
        <f>SUM(D65:O65)</f>
        <v>0</v>
      </c>
      <c r="Q65" s="18" t="str">
        <f>IF(P65=0,"-",P65/C65-1)</f>
        <v>-</v>
      </c>
      <c r="W65" s="3">
        <f>+DAĞITICI!P65+ENDÜSTRİYEL!P65+İHALE!P65+'Deniz Satış &amp; Konsolide'!P65+Perakende!P65</f>
        <v>0</v>
      </c>
      <c r="X65" s="3">
        <f t="shared" si="26"/>
        <v>0</v>
      </c>
    </row>
    <row r="66" spans="1:24" ht="16.5" customHeight="1" thickBot="1">
      <c r="A66" s="90"/>
      <c r="B66" s="1205"/>
      <c r="C66" s="1205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>
        <f>SUM(D66:O66)</f>
        <v>0</v>
      </c>
      <c r="Q66" s="92"/>
      <c r="W66" s="3">
        <f>+DAĞITICI!P66+ENDÜSTRİYEL!P66+İHALE!P66+'Deniz Satış &amp; Konsolide'!P66+Perakende!P66</f>
        <v>0</v>
      </c>
      <c r="X66" s="3">
        <f t="shared" si="26"/>
        <v>0</v>
      </c>
    </row>
    <row r="67" spans="1:24" s="93" customFormat="1" ht="23.25" customHeight="1" thickBot="1">
      <c r="A67" s="13" t="s">
        <v>32</v>
      </c>
      <c r="B67" s="1202">
        <f t="shared" ref="B67" si="35">+B48+B58+B61+B65</f>
        <v>0</v>
      </c>
      <c r="C67" s="1202">
        <f t="shared" ref="C67:N67" si="36">+C48+C58+C61+C65</f>
        <v>0</v>
      </c>
      <c r="D67" s="16">
        <f>+D48+D58+D61+D65</f>
        <v>0</v>
      </c>
      <c r="E67" s="17">
        <f>+E48+E58+E61+E65</f>
        <v>0</v>
      </c>
      <c r="F67" s="17">
        <f t="shared" si="36"/>
        <v>0</v>
      </c>
      <c r="G67" s="17">
        <f t="shared" si="36"/>
        <v>0</v>
      </c>
      <c r="H67" s="17">
        <f t="shared" si="36"/>
        <v>0</v>
      </c>
      <c r="I67" s="17">
        <f t="shared" si="36"/>
        <v>0</v>
      </c>
      <c r="J67" s="17">
        <f t="shared" si="36"/>
        <v>0</v>
      </c>
      <c r="K67" s="17">
        <f t="shared" si="36"/>
        <v>0</v>
      </c>
      <c r="L67" s="17">
        <f>+L48+L58+L61+L65</f>
        <v>0</v>
      </c>
      <c r="M67" s="17">
        <f t="shared" si="36"/>
        <v>0</v>
      </c>
      <c r="N67" s="17">
        <f t="shared" si="36"/>
        <v>0</v>
      </c>
      <c r="O67" s="15">
        <f>+O48+O58+O61+O65</f>
        <v>0</v>
      </c>
      <c r="P67" s="14">
        <f>SUM(D67:O67)</f>
        <v>0</v>
      </c>
      <c r="Q67" s="18" t="str">
        <f>IF(P67=0,"-",P67/C67-1)</f>
        <v>-</v>
      </c>
      <c r="S67" s="352"/>
      <c r="T67" s="352"/>
      <c r="U67" s="352"/>
      <c r="V67" s="352"/>
      <c r="W67" s="3">
        <f>+DAĞITICI!P67+ENDÜSTRİYEL!P67+İHALE!P67+'Deniz Satış &amp; Konsolide'!P67+Perakende!P67</f>
        <v>0</v>
      </c>
      <c r="X67" s="3">
        <f t="shared" si="26"/>
        <v>0</v>
      </c>
    </row>
    <row r="68" spans="1:24" ht="15" thickBot="1">
      <c r="W68" s="3">
        <f>+DAĞITICI!P68+ENDÜSTRİYEL!P68+İHALE!P68+'Deniz Satış &amp; Konsolide'!P68+Perakende!P68</f>
        <v>0</v>
      </c>
      <c r="X68" s="3">
        <f t="shared" si="26"/>
        <v>0</v>
      </c>
    </row>
    <row r="69" spans="1:24" ht="33" customHeight="1">
      <c r="A69" s="5"/>
      <c r="B69" s="2357" t="s">
        <v>649</v>
      </c>
      <c r="C69" s="2355" t="s">
        <v>647</v>
      </c>
      <c r="D69" s="2359" t="s">
        <v>642</v>
      </c>
      <c r="E69" s="2360"/>
      <c r="F69" s="2360"/>
      <c r="G69" s="2360"/>
      <c r="H69" s="2360"/>
      <c r="I69" s="2360"/>
      <c r="J69" s="2360"/>
      <c r="K69" s="2360"/>
      <c r="L69" s="2360"/>
      <c r="M69" s="2360"/>
      <c r="N69" s="2360"/>
      <c r="O69" s="2360"/>
      <c r="P69" s="2361"/>
      <c r="Q69" s="937" t="s">
        <v>638</v>
      </c>
    </row>
    <row r="70" spans="1:24" ht="30.75" customHeight="1" thickBot="1">
      <c r="A70" s="7"/>
      <c r="B70" s="2358"/>
      <c r="C70" s="2356"/>
      <c r="D70" s="9" t="s">
        <v>1</v>
      </c>
      <c r="E70" s="10" t="s">
        <v>2</v>
      </c>
      <c r="F70" s="10" t="s">
        <v>3</v>
      </c>
      <c r="G70" s="10" t="s">
        <v>4</v>
      </c>
      <c r="H70" s="10" t="s">
        <v>5</v>
      </c>
      <c r="I70" s="10" t="s">
        <v>6</v>
      </c>
      <c r="J70" s="10" t="s">
        <v>7</v>
      </c>
      <c r="K70" s="10" t="s">
        <v>8</v>
      </c>
      <c r="L70" s="10" t="s">
        <v>9</v>
      </c>
      <c r="M70" s="10" t="s">
        <v>10</v>
      </c>
      <c r="N70" s="10" t="s">
        <v>11</v>
      </c>
      <c r="O70" s="10" t="s">
        <v>12</v>
      </c>
      <c r="P70" s="11" t="s">
        <v>13</v>
      </c>
      <c r="Q70" s="941" t="s">
        <v>619</v>
      </c>
    </row>
    <row r="71" spans="1:24" ht="22.5" customHeight="1" thickBot="1">
      <c r="A71" s="13" t="s">
        <v>28</v>
      </c>
      <c r="B71" s="1202">
        <f>B74+B75+B80</f>
        <v>0</v>
      </c>
      <c r="C71" s="1202">
        <f>C74+C75+C80</f>
        <v>0</v>
      </c>
      <c r="D71" s="16">
        <f t="shared" ref="D71:O71" si="37">D74+D75+D80</f>
        <v>0</v>
      </c>
      <c r="E71" s="17">
        <f t="shared" si="37"/>
        <v>0</v>
      </c>
      <c r="F71" s="17">
        <f t="shared" si="37"/>
        <v>0</v>
      </c>
      <c r="G71" s="17">
        <f t="shared" si="37"/>
        <v>0</v>
      </c>
      <c r="H71" s="17">
        <f t="shared" si="37"/>
        <v>0</v>
      </c>
      <c r="I71" s="17">
        <f t="shared" si="37"/>
        <v>0</v>
      </c>
      <c r="J71" s="17">
        <f t="shared" si="37"/>
        <v>0</v>
      </c>
      <c r="K71" s="17">
        <f t="shared" si="37"/>
        <v>0</v>
      </c>
      <c r="L71" s="17">
        <f t="shared" si="37"/>
        <v>0</v>
      </c>
      <c r="M71" s="17">
        <f t="shared" si="37"/>
        <v>0</v>
      </c>
      <c r="N71" s="17">
        <f t="shared" si="37"/>
        <v>0</v>
      </c>
      <c r="O71" s="15">
        <f t="shared" si="37"/>
        <v>0</v>
      </c>
      <c r="P71" s="14">
        <f t="shared" ref="P71:P86" si="38">SUM(D71:O71)</f>
        <v>0</v>
      </c>
      <c r="Q71" s="18" t="str">
        <f t="shared" ref="Q71:Q86" si="39">IF(P71=0,"-",P71/C71-1)</f>
        <v>-</v>
      </c>
    </row>
    <row r="72" spans="1:24" ht="16.5" customHeight="1">
      <c r="A72" s="949" t="s">
        <v>15</v>
      </c>
      <c r="B72" s="1196">
        <f>+B26-B49</f>
        <v>0</v>
      </c>
      <c r="C72" s="1196">
        <f>+C26-C49</f>
        <v>0</v>
      </c>
      <c r="D72" s="951">
        <f>+D26-D49</f>
        <v>0</v>
      </c>
      <c r="E72" s="952">
        <f t="shared" ref="C72:O84" si="40">+E26-E49</f>
        <v>0</v>
      </c>
      <c r="F72" s="952">
        <f t="shared" si="40"/>
        <v>0</v>
      </c>
      <c r="G72" s="952">
        <f t="shared" si="40"/>
        <v>0</v>
      </c>
      <c r="H72" s="953">
        <f t="shared" si="40"/>
        <v>0</v>
      </c>
      <c r="I72" s="953">
        <f t="shared" si="40"/>
        <v>0</v>
      </c>
      <c r="J72" s="953">
        <f t="shared" si="40"/>
        <v>0</v>
      </c>
      <c r="K72" s="953">
        <f t="shared" si="40"/>
        <v>0</v>
      </c>
      <c r="L72" s="953">
        <f t="shared" si="40"/>
        <v>0</v>
      </c>
      <c r="M72" s="953">
        <f t="shared" si="40"/>
        <v>0</v>
      </c>
      <c r="N72" s="953">
        <f t="shared" si="40"/>
        <v>0</v>
      </c>
      <c r="O72" s="954">
        <f t="shared" si="40"/>
        <v>0</v>
      </c>
      <c r="P72" s="950">
        <f t="shared" si="38"/>
        <v>0</v>
      </c>
      <c r="Q72" s="26" t="str">
        <f t="shared" si="39"/>
        <v>-</v>
      </c>
      <c r="R72" s="27"/>
    </row>
    <row r="73" spans="1:24" ht="16.5" hidden="1" customHeight="1">
      <c r="A73" s="955" t="s">
        <v>16</v>
      </c>
      <c r="B73" s="1197">
        <f t="shared" ref="B73" si="41">+B27-B50</f>
        <v>0</v>
      </c>
      <c r="C73" s="1197">
        <f t="shared" si="40"/>
        <v>0</v>
      </c>
      <c r="D73" s="956">
        <f t="shared" si="40"/>
        <v>0</v>
      </c>
      <c r="E73" s="957">
        <f t="shared" si="40"/>
        <v>0</v>
      </c>
      <c r="F73" s="957">
        <f t="shared" si="40"/>
        <v>0</v>
      </c>
      <c r="G73" s="957">
        <f t="shared" si="40"/>
        <v>0</v>
      </c>
      <c r="H73" s="958">
        <f t="shared" si="40"/>
        <v>0</v>
      </c>
      <c r="I73" s="958">
        <f t="shared" si="40"/>
        <v>0</v>
      </c>
      <c r="J73" s="958">
        <f t="shared" si="40"/>
        <v>0</v>
      </c>
      <c r="K73" s="958">
        <f t="shared" si="40"/>
        <v>0</v>
      </c>
      <c r="L73" s="958">
        <f t="shared" si="40"/>
        <v>0</v>
      </c>
      <c r="M73" s="958">
        <f t="shared" si="40"/>
        <v>0</v>
      </c>
      <c r="N73" s="958">
        <f t="shared" si="40"/>
        <v>0</v>
      </c>
      <c r="O73" s="959">
        <f t="shared" si="40"/>
        <v>0</v>
      </c>
      <c r="P73" s="48">
        <f t="shared" si="38"/>
        <v>0</v>
      </c>
      <c r="Q73" s="35" t="str">
        <f t="shared" si="39"/>
        <v>-</v>
      </c>
    </row>
    <row r="74" spans="1:24" ht="15" customHeight="1">
      <c r="A74" s="36" t="s">
        <v>27</v>
      </c>
      <c r="B74" s="387">
        <f>+B73+B72</f>
        <v>0</v>
      </c>
      <c r="C74" s="387">
        <f>+C73+C72</f>
        <v>0</v>
      </c>
      <c r="D74" s="39">
        <f t="shared" ref="D74:O74" si="42">SUM(D72:D73)</f>
        <v>0</v>
      </c>
      <c r="E74" s="40">
        <f t="shared" si="42"/>
        <v>0</v>
      </c>
      <c r="F74" s="40">
        <f t="shared" si="42"/>
        <v>0</v>
      </c>
      <c r="G74" s="40">
        <f t="shared" si="42"/>
        <v>0</v>
      </c>
      <c r="H74" s="40">
        <f t="shared" si="42"/>
        <v>0</v>
      </c>
      <c r="I74" s="40">
        <f t="shared" si="42"/>
        <v>0</v>
      </c>
      <c r="J74" s="40">
        <f t="shared" si="42"/>
        <v>0</v>
      </c>
      <c r="K74" s="40">
        <f t="shared" si="42"/>
        <v>0</v>
      </c>
      <c r="L74" s="40">
        <f t="shared" si="42"/>
        <v>0</v>
      </c>
      <c r="M74" s="40">
        <f t="shared" si="42"/>
        <v>0</v>
      </c>
      <c r="N74" s="40">
        <f t="shared" si="42"/>
        <v>0</v>
      </c>
      <c r="O74" s="38">
        <f t="shared" si="42"/>
        <v>0</v>
      </c>
      <c r="P74" s="37">
        <f t="shared" si="38"/>
        <v>0</v>
      </c>
      <c r="Q74" s="57" t="str">
        <f t="shared" si="39"/>
        <v>-</v>
      </c>
    </row>
    <row r="75" spans="1:24" ht="16.5" customHeight="1">
      <c r="A75" s="42" t="s">
        <v>17</v>
      </c>
      <c r="B75" s="1865">
        <f t="shared" ref="B75" si="43">+B29-B52</f>
        <v>0</v>
      </c>
      <c r="C75" s="1865">
        <f t="shared" si="40"/>
        <v>0</v>
      </c>
      <c r="D75" s="1866">
        <f t="shared" si="40"/>
        <v>0</v>
      </c>
      <c r="E75" s="1867">
        <f t="shared" si="40"/>
        <v>0</v>
      </c>
      <c r="F75" s="1867">
        <f t="shared" si="40"/>
        <v>0</v>
      </c>
      <c r="G75" s="1867">
        <f t="shared" si="40"/>
        <v>0</v>
      </c>
      <c r="H75" s="1867">
        <f t="shared" si="40"/>
        <v>0</v>
      </c>
      <c r="I75" s="1867">
        <f t="shared" si="40"/>
        <v>0</v>
      </c>
      <c r="J75" s="1867">
        <f t="shared" si="40"/>
        <v>0</v>
      </c>
      <c r="K75" s="1867">
        <f t="shared" si="40"/>
        <v>0</v>
      </c>
      <c r="L75" s="1867">
        <f t="shared" si="40"/>
        <v>0</v>
      </c>
      <c r="M75" s="1867">
        <f t="shared" si="40"/>
        <v>0</v>
      </c>
      <c r="N75" s="1867">
        <f t="shared" si="40"/>
        <v>0</v>
      </c>
      <c r="O75" s="1868">
        <f t="shared" si="40"/>
        <v>0</v>
      </c>
      <c r="P75" s="1869">
        <f t="shared" si="38"/>
        <v>0</v>
      </c>
      <c r="Q75" s="1870" t="str">
        <f t="shared" si="39"/>
        <v>-</v>
      </c>
    </row>
    <row r="76" spans="1:24" ht="16.5" customHeight="1">
      <c r="A76" s="969" t="s">
        <v>81</v>
      </c>
      <c r="B76" s="401">
        <f t="shared" ref="B76" si="44">+B30-B53</f>
        <v>0</v>
      </c>
      <c r="C76" s="401">
        <f t="shared" si="40"/>
        <v>0</v>
      </c>
      <c r="D76" s="39">
        <f t="shared" si="40"/>
        <v>0</v>
      </c>
      <c r="E76" s="40">
        <f t="shared" si="40"/>
        <v>0</v>
      </c>
      <c r="F76" s="40">
        <f t="shared" si="40"/>
        <v>0</v>
      </c>
      <c r="G76" s="40">
        <f t="shared" si="40"/>
        <v>0</v>
      </c>
      <c r="H76" s="40">
        <f t="shared" si="40"/>
        <v>0</v>
      </c>
      <c r="I76" s="40">
        <f t="shared" si="40"/>
        <v>0</v>
      </c>
      <c r="J76" s="40">
        <f t="shared" si="40"/>
        <v>0</v>
      </c>
      <c r="K76" s="40">
        <f t="shared" si="40"/>
        <v>0</v>
      </c>
      <c r="L76" s="40">
        <f t="shared" si="40"/>
        <v>0</v>
      </c>
      <c r="M76" s="40">
        <f t="shared" si="40"/>
        <v>0</v>
      </c>
      <c r="N76" s="40">
        <f t="shared" si="40"/>
        <v>0</v>
      </c>
      <c r="O76" s="38">
        <f t="shared" si="40"/>
        <v>0</v>
      </c>
      <c r="P76" s="56">
        <f t="shared" si="38"/>
        <v>0</v>
      </c>
      <c r="Q76" s="57" t="str">
        <f t="shared" si="39"/>
        <v>-</v>
      </c>
    </row>
    <row r="77" spans="1:24" ht="16.5" hidden="1" customHeight="1">
      <c r="A77" s="973" t="s">
        <v>82</v>
      </c>
      <c r="B77" s="1197">
        <f t="shared" ref="B77" si="45">+B31-B54</f>
        <v>0</v>
      </c>
      <c r="C77" s="1197">
        <f t="shared" si="40"/>
        <v>0</v>
      </c>
      <c r="D77" s="45">
        <f t="shared" si="40"/>
        <v>0</v>
      </c>
      <c r="E77" s="46">
        <f t="shared" si="40"/>
        <v>0</v>
      </c>
      <c r="F77" s="46">
        <f t="shared" si="40"/>
        <v>0</v>
      </c>
      <c r="G77" s="46">
        <f t="shared" si="40"/>
        <v>0</v>
      </c>
      <c r="H77" s="46">
        <f t="shared" si="40"/>
        <v>0</v>
      </c>
      <c r="I77" s="46">
        <f t="shared" si="40"/>
        <v>0</v>
      </c>
      <c r="J77" s="46">
        <f t="shared" si="40"/>
        <v>0</v>
      </c>
      <c r="K77" s="46">
        <f t="shared" si="40"/>
        <v>0</v>
      </c>
      <c r="L77" s="46">
        <f t="shared" si="40"/>
        <v>0</v>
      </c>
      <c r="M77" s="46">
        <f t="shared" si="40"/>
        <v>0</v>
      </c>
      <c r="N77" s="46">
        <f t="shared" si="40"/>
        <v>0</v>
      </c>
      <c r="O77" s="47">
        <f t="shared" si="40"/>
        <v>0</v>
      </c>
      <c r="P77" s="48">
        <f t="shared" si="38"/>
        <v>0</v>
      </c>
      <c r="Q77" s="35" t="str">
        <f t="shared" si="39"/>
        <v>-</v>
      </c>
    </row>
    <row r="78" spans="1:24" ht="16.5" customHeight="1">
      <c r="A78" s="969" t="s">
        <v>83</v>
      </c>
      <c r="B78" s="401">
        <f t="shared" ref="B78" si="46">+B32-B55</f>
        <v>0</v>
      </c>
      <c r="C78" s="401">
        <f t="shared" si="40"/>
        <v>0</v>
      </c>
      <c r="D78" s="970">
        <f t="shared" si="40"/>
        <v>0</v>
      </c>
      <c r="E78" s="971">
        <f t="shared" si="40"/>
        <v>0</v>
      </c>
      <c r="F78" s="971">
        <f t="shared" si="40"/>
        <v>0</v>
      </c>
      <c r="G78" s="971">
        <f t="shared" si="40"/>
        <v>0</v>
      </c>
      <c r="H78" s="971">
        <f t="shared" si="40"/>
        <v>0</v>
      </c>
      <c r="I78" s="971">
        <f t="shared" si="40"/>
        <v>0</v>
      </c>
      <c r="J78" s="971">
        <f t="shared" si="40"/>
        <v>0</v>
      </c>
      <c r="K78" s="971">
        <f t="shared" si="40"/>
        <v>0</v>
      </c>
      <c r="L78" s="971">
        <f t="shared" si="40"/>
        <v>0</v>
      </c>
      <c r="M78" s="971">
        <f t="shared" si="40"/>
        <v>0</v>
      </c>
      <c r="N78" s="971">
        <f t="shared" si="40"/>
        <v>0</v>
      </c>
      <c r="O78" s="972">
        <f t="shared" si="40"/>
        <v>0</v>
      </c>
      <c r="P78" s="56">
        <f t="shared" si="38"/>
        <v>0</v>
      </c>
      <c r="Q78" s="57" t="str">
        <f t="shared" si="39"/>
        <v>-</v>
      </c>
    </row>
    <row r="79" spans="1:24" ht="16.5" hidden="1" customHeight="1">
      <c r="A79" s="973" t="s">
        <v>84</v>
      </c>
      <c r="B79" s="1197">
        <f t="shared" ref="B79" si="47">+B33-B56</f>
        <v>0</v>
      </c>
      <c r="C79" s="1197">
        <f t="shared" si="40"/>
        <v>0</v>
      </c>
      <c r="D79" s="974">
        <f t="shared" si="40"/>
        <v>0</v>
      </c>
      <c r="E79" s="958">
        <f t="shared" si="40"/>
        <v>0</v>
      </c>
      <c r="F79" s="958">
        <f t="shared" si="40"/>
        <v>0</v>
      </c>
      <c r="G79" s="958">
        <f t="shared" si="40"/>
        <v>0</v>
      </c>
      <c r="H79" s="958">
        <f t="shared" si="40"/>
        <v>0</v>
      </c>
      <c r="I79" s="957">
        <f t="shared" si="40"/>
        <v>0</v>
      </c>
      <c r="J79" s="957">
        <f t="shared" si="40"/>
        <v>0</v>
      </c>
      <c r="K79" s="958">
        <f t="shared" si="40"/>
        <v>0</v>
      </c>
      <c r="L79" s="958">
        <f t="shared" si="40"/>
        <v>0</v>
      </c>
      <c r="M79" s="958">
        <f t="shared" si="40"/>
        <v>0</v>
      </c>
      <c r="N79" s="958">
        <f t="shared" si="40"/>
        <v>0</v>
      </c>
      <c r="O79" s="959">
        <f t="shared" si="40"/>
        <v>0</v>
      </c>
      <c r="P79" s="48">
        <f t="shared" si="38"/>
        <v>0</v>
      </c>
      <c r="Q79" s="35" t="str">
        <f t="shared" si="39"/>
        <v>-</v>
      </c>
      <c r="S79" s="353"/>
      <c r="T79" s="353"/>
      <c r="U79" s="353"/>
      <c r="V79" s="353"/>
    </row>
    <row r="80" spans="1:24" ht="15" customHeight="1" thickBot="1">
      <c r="A80" s="60" t="s">
        <v>18</v>
      </c>
      <c r="B80" s="1203">
        <f>SUM(B76:B79)</f>
        <v>0</v>
      </c>
      <c r="C80" s="1203">
        <f>SUM(C76:C79)</f>
        <v>0</v>
      </c>
      <c r="D80" s="63">
        <f t="shared" ref="D80:O80" si="48">SUM(D76:D79)</f>
        <v>0</v>
      </c>
      <c r="E80" s="64">
        <f t="shared" si="48"/>
        <v>0</v>
      </c>
      <c r="F80" s="64">
        <f t="shared" si="48"/>
        <v>0</v>
      </c>
      <c r="G80" s="64">
        <f t="shared" si="48"/>
        <v>0</v>
      </c>
      <c r="H80" s="64">
        <f t="shared" si="48"/>
        <v>0</v>
      </c>
      <c r="I80" s="64">
        <f t="shared" si="48"/>
        <v>0</v>
      </c>
      <c r="J80" s="64">
        <f t="shared" si="48"/>
        <v>0</v>
      </c>
      <c r="K80" s="64">
        <f t="shared" si="48"/>
        <v>0</v>
      </c>
      <c r="L80" s="64">
        <f t="shared" si="48"/>
        <v>0</v>
      </c>
      <c r="M80" s="64">
        <f t="shared" si="48"/>
        <v>0</v>
      </c>
      <c r="N80" s="64">
        <f t="shared" si="48"/>
        <v>0</v>
      </c>
      <c r="O80" s="62">
        <f t="shared" si="48"/>
        <v>0</v>
      </c>
      <c r="P80" s="61">
        <f t="shared" si="38"/>
        <v>0</v>
      </c>
      <c r="Q80" s="87" t="str">
        <f t="shared" si="39"/>
        <v>-</v>
      </c>
    </row>
    <row r="81" spans="1:22" ht="22.5" customHeight="1" thickBot="1">
      <c r="A81" s="13" t="s">
        <v>29</v>
      </c>
      <c r="B81" s="1204">
        <f>+B35-B58</f>
        <v>0</v>
      </c>
      <c r="C81" s="1204">
        <f>+C35-C58</f>
        <v>0</v>
      </c>
      <c r="D81" s="68">
        <f t="shared" si="40"/>
        <v>0</v>
      </c>
      <c r="E81" s="69">
        <f t="shared" si="40"/>
        <v>0</v>
      </c>
      <c r="F81" s="69">
        <f t="shared" si="40"/>
        <v>0</v>
      </c>
      <c r="G81" s="69">
        <f t="shared" si="40"/>
        <v>0</v>
      </c>
      <c r="H81" s="69">
        <f t="shared" si="40"/>
        <v>0</v>
      </c>
      <c r="I81" s="69">
        <f t="shared" si="40"/>
        <v>0</v>
      </c>
      <c r="J81" s="69">
        <f t="shared" si="40"/>
        <v>0</v>
      </c>
      <c r="K81" s="69">
        <f t="shared" si="40"/>
        <v>0</v>
      </c>
      <c r="L81" s="69">
        <f t="shared" si="40"/>
        <v>0</v>
      </c>
      <c r="M81" s="69">
        <f t="shared" si="40"/>
        <v>0</v>
      </c>
      <c r="N81" s="69">
        <f t="shared" si="40"/>
        <v>0</v>
      </c>
      <c r="O81" s="70">
        <f t="shared" si="40"/>
        <v>0</v>
      </c>
      <c r="P81" s="66">
        <f t="shared" si="38"/>
        <v>0</v>
      </c>
      <c r="Q81" s="71" t="str">
        <f t="shared" si="39"/>
        <v>-</v>
      </c>
    </row>
    <row r="82" spans="1:22" ht="16.5" customHeight="1">
      <c r="A82" s="72" t="s">
        <v>19</v>
      </c>
      <c r="B82" s="424">
        <f t="shared" ref="B82" si="49">+B36-B59</f>
        <v>0</v>
      </c>
      <c r="C82" s="424">
        <f t="shared" si="40"/>
        <v>0</v>
      </c>
      <c r="D82" s="75">
        <f t="shared" si="40"/>
        <v>0</v>
      </c>
      <c r="E82" s="76">
        <f t="shared" si="40"/>
        <v>0</v>
      </c>
      <c r="F82" s="76">
        <f t="shared" si="40"/>
        <v>0</v>
      </c>
      <c r="G82" s="76">
        <f t="shared" si="40"/>
        <v>0</v>
      </c>
      <c r="H82" s="76">
        <f t="shared" si="40"/>
        <v>0</v>
      </c>
      <c r="I82" s="76">
        <f t="shared" si="40"/>
        <v>0</v>
      </c>
      <c r="J82" s="76">
        <f t="shared" si="40"/>
        <v>0</v>
      </c>
      <c r="K82" s="76">
        <f t="shared" si="40"/>
        <v>0</v>
      </c>
      <c r="L82" s="76">
        <f t="shared" si="40"/>
        <v>0</v>
      </c>
      <c r="M82" s="76">
        <f t="shared" si="40"/>
        <v>0</v>
      </c>
      <c r="N82" s="76">
        <f t="shared" si="40"/>
        <v>0</v>
      </c>
      <c r="O82" s="77">
        <f t="shared" si="40"/>
        <v>0</v>
      </c>
      <c r="P82" s="78">
        <f t="shared" si="38"/>
        <v>0</v>
      </c>
      <c r="Q82" s="79" t="str">
        <f t="shared" si="39"/>
        <v>-</v>
      </c>
    </row>
    <row r="83" spans="1:22" ht="16.5" customHeight="1" thickBot="1">
      <c r="A83" s="80" t="s">
        <v>20</v>
      </c>
      <c r="B83" s="432">
        <f t="shared" ref="B83" si="50">+B37-B60</f>
        <v>0</v>
      </c>
      <c r="C83" s="432">
        <f t="shared" si="40"/>
        <v>0</v>
      </c>
      <c r="D83" s="83">
        <f t="shared" si="40"/>
        <v>0</v>
      </c>
      <c r="E83" s="84">
        <f t="shared" si="40"/>
        <v>0</v>
      </c>
      <c r="F83" s="84">
        <f t="shared" si="40"/>
        <v>0</v>
      </c>
      <c r="G83" s="84">
        <f t="shared" si="40"/>
        <v>0</v>
      </c>
      <c r="H83" s="84">
        <f t="shared" si="40"/>
        <v>0</v>
      </c>
      <c r="I83" s="84">
        <f t="shared" si="40"/>
        <v>0</v>
      </c>
      <c r="J83" s="84">
        <f t="shared" si="40"/>
        <v>0</v>
      </c>
      <c r="K83" s="84">
        <f t="shared" si="40"/>
        <v>0</v>
      </c>
      <c r="L83" s="84">
        <f t="shared" si="40"/>
        <v>0</v>
      </c>
      <c r="M83" s="84">
        <f t="shared" si="40"/>
        <v>0</v>
      </c>
      <c r="N83" s="84">
        <f t="shared" si="40"/>
        <v>0</v>
      </c>
      <c r="O83" s="85">
        <f t="shared" si="40"/>
        <v>0</v>
      </c>
      <c r="P83" s="86">
        <f t="shared" si="38"/>
        <v>0</v>
      </c>
      <c r="Q83" s="87" t="str">
        <f t="shared" si="39"/>
        <v>-</v>
      </c>
    </row>
    <row r="84" spans="1:22" ht="22.5" customHeight="1" thickBot="1">
      <c r="A84" s="13" t="s">
        <v>30</v>
      </c>
      <c r="B84" s="1202">
        <f t="shared" ref="B84" si="51">+B38-B61</f>
        <v>0.16949</v>
      </c>
      <c r="C84" s="1202">
        <f t="shared" si="40"/>
        <v>0</v>
      </c>
      <c r="D84" s="16">
        <f t="shared" si="40"/>
        <v>0</v>
      </c>
      <c r="E84" s="17">
        <f t="shared" si="40"/>
        <v>0</v>
      </c>
      <c r="F84" s="17">
        <f t="shared" si="40"/>
        <v>0</v>
      </c>
      <c r="G84" s="17">
        <f t="shared" si="40"/>
        <v>0</v>
      </c>
      <c r="H84" s="17">
        <f t="shared" si="40"/>
        <v>0</v>
      </c>
      <c r="I84" s="17">
        <f t="shared" si="40"/>
        <v>0</v>
      </c>
      <c r="J84" s="17">
        <f t="shared" si="40"/>
        <v>0</v>
      </c>
      <c r="K84" s="17">
        <f t="shared" si="40"/>
        <v>0</v>
      </c>
      <c r="L84" s="17">
        <f t="shared" si="40"/>
        <v>0</v>
      </c>
      <c r="M84" s="17">
        <f t="shared" si="40"/>
        <v>0</v>
      </c>
      <c r="N84" s="17">
        <f t="shared" si="40"/>
        <v>0</v>
      </c>
      <c r="O84" s="120">
        <f t="shared" si="40"/>
        <v>0</v>
      </c>
      <c r="P84" s="14">
        <f t="shared" si="38"/>
        <v>0</v>
      </c>
      <c r="Q84" s="18" t="str">
        <f t="shared" si="39"/>
        <v>-</v>
      </c>
    </row>
    <row r="85" spans="1:22" ht="16.5" customHeight="1">
      <c r="A85" s="72" t="s">
        <v>106</v>
      </c>
      <c r="B85" s="424">
        <f t="shared" ref="B85" si="52">+B39-B62</f>
        <v>0.16949</v>
      </c>
      <c r="C85" s="424">
        <f t="shared" ref="C85:O85" si="53">+C39-C62</f>
        <v>0</v>
      </c>
      <c r="D85" s="75">
        <f t="shared" si="53"/>
        <v>0</v>
      </c>
      <c r="E85" s="76">
        <f t="shared" si="53"/>
        <v>0</v>
      </c>
      <c r="F85" s="76">
        <f t="shared" si="53"/>
        <v>0</v>
      </c>
      <c r="G85" s="76">
        <f t="shared" si="53"/>
        <v>0</v>
      </c>
      <c r="H85" s="76">
        <f t="shared" si="53"/>
        <v>0</v>
      </c>
      <c r="I85" s="76">
        <f t="shared" si="53"/>
        <v>0</v>
      </c>
      <c r="J85" s="76">
        <f t="shared" si="53"/>
        <v>0</v>
      </c>
      <c r="K85" s="76">
        <f t="shared" si="53"/>
        <v>0</v>
      </c>
      <c r="L85" s="76">
        <f t="shared" si="53"/>
        <v>0</v>
      </c>
      <c r="M85" s="76">
        <f t="shared" si="53"/>
        <v>0</v>
      </c>
      <c r="N85" s="76">
        <f t="shared" si="53"/>
        <v>0</v>
      </c>
      <c r="O85" s="77">
        <f t="shared" si="53"/>
        <v>0</v>
      </c>
      <c r="P85" s="78">
        <f t="shared" si="38"/>
        <v>0</v>
      </c>
      <c r="Q85" s="79" t="str">
        <f t="shared" si="39"/>
        <v>-</v>
      </c>
    </row>
    <row r="86" spans="1:22" ht="16.5" customHeight="1" thickBot="1">
      <c r="A86" s="122" t="s">
        <v>105</v>
      </c>
      <c r="B86" s="440">
        <f t="shared" ref="B86" si="54">+B40-B63</f>
        <v>0</v>
      </c>
      <c r="C86" s="440">
        <f t="shared" ref="C86:O86" si="55">+C40-C63</f>
        <v>0</v>
      </c>
      <c r="D86" s="125">
        <f t="shared" si="55"/>
        <v>0</v>
      </c>
      <c r="E86" s="126">
        <f t="shared" si="55"/>
        <v>0</v>
      </c>
      <c r="F86" s="126">
        <f t="shared" si="55"/>
        <v>0</v>
      </c>
      <c r="G86" s="126">
        <f t="shared" si="55"/>
        <v>0</v>
      </c>
      <c r="H86" s="126">
        <f t="shared" si="55"/>
        <v>0</v>
      </c>
      <c r="I86" s="126">
        <f t="shared" si="55"/>
        <v>0</v>
      </c>
      <c r="J86" s="126">
        <f t="shared" si="55"/>
        <v>0</v>
      </c>
      <c r="K86" s="126">
        <f t="shared" si="55"/>
        <v>0</v>
      </c>
      <c r="L86" s="126">
        <f t="shared" si="55"/>
        <v>0</v>
      </c>
      <c r="M86" s="126">
        <f t="shared" si="55"/>
        <v>0</v>
      </c>
      <c r="N86" s="126">
        <f t="shared" si="55"/>
        <v>0</v>
      </c>
      <c r="O86" s="127">
        <f t="shared" si="55"/>
        <v>0</v>
      </c>
      <c r="P86" s="128">
        <f t="shared" si="38"/>
        <v>0</v>
      </c>
      <c r="Q86" s="129" t="str">
        <f t="shared" si="39"/>
        <v>-</v>
      </c>
    </row>
    <row r="87" spans="1:22" ht="16.5" customHeight="1" thickBot="1">
      <c r="B87" s="353"/>
      <c r="C87" s="353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9"/>
    </row>
    <row r="88" spans="1:22" ht="22.5" customHeight="1" thickBot="1">
      <c r="A88" s="13" t="s">
        <v>86</v>
      </c>
      <c r="B88" s="1202">
        <f t="shared" ref="B88" si="56">+B42-B65</f>
        <v>0</v>
      </c>
      <c r="C88" s="1202">
        <f t="shared" ref="C88:O88" si="57">+C42-C65</f>
        <v>0</v>
      </c>
      <c r="D88" s="16">
        <f t="shared" si="57"/>
        <v>0</v>
      </c>
      <c r="E88" s="17">
        <f t="shared" si="57"/>
        <v>0</v>
      </c>
      <c r="F88" s="17">
        <f t="shared" si="57"/>
        <v>0</v>
      </c>
      <c r="G88" s="17">
        <f t="shared" si="57"/>
        <v>0</v>
      </c>
      <c r="H88" s="17">
        <f t="shared" si="57"/>
        <v>0</v>
      </c>
      <c r="I88" s="17">
        <f t="shared" si="57"/>
        <v>0</v>
      </c>
      <c r="J88" s="17">
        <f t="shared" si="57"/>
        <v>0</v>
      </c>
      <c r="K88" s="17">
        <f t="shared" si="57"/>
        <v>0</v>
      </c>
      <c r="L88" s="17">
        <f t="shared" si="57"/>
        <v>0</v>
      </c>
      <c r="M88" s="17">
        <f t="shared" si="57"/>
        <v>0</v>
      </c>
      <c r="N88" s="17">
        <f t="shared" si="57"/>
        <v>0</v>
      </c>
      <c r="O88" s="120">
        <f t="shared" si="57"/>
        <v>0</v>
      </c>
      <c r="P88" s="14">
        <f>SUM(D88:O88)</f>
        <v>0</v>
      </c>
      <c r="Q88" s="18" t="str">
        <f>IF(P88=0,"-",P88/C88-1)</f>
        <v>-</v>
      </c>
    </row>
    <row r="89" spans="1:22" s="93" customFormat="1" ht="14.25" customHeight="1" thickBot="1">
      <c r="A89" s="90"/>
      <c r="B89" s="1205"/>
      <c r="C89" s="1205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>
        <f>SUM(D89:O89)</f>
        <v>0</v>
      </c>
      <c r="Q89" s="92"/>
      <c r="S89" s="454"/>
      <c r="T89" s="454"/>
      <c r="U89" s="454"/>
      <c r="V89" s="454"/>
    </row>
    <row r="90" spans="1:22" ht="22.5" customHeight="1" thickBot="1">
      <c r="A90" s="13" t="s">
        <v>72</v>
      </c>
      <c r="B90" s="1202">
        <f>+B71+B81+B84+B88</f>
        <v>0.16949</v>
      </c>
      <c r="C90" s="1202">
        <f t="shared" ref="C90:O90" si="58">+C71+C81+C84+C88</f>
        <v>0</v>
      </c>
      <c r="D90" s="16">
        <f t="shared" si="58"/>
        <v>0</v>
      </c>
      <c r="E90" s="17">
        <f t="shared" si="58"/>
        <v>0</v>
      </c>
      <c r="F90" s="17">
        <f t="shared" si="58"/>
        <v>0</v>
      </c>
      <c r="G90" s="17">
        <f t="shared" si="58"/>
        <v>0</v>
      </c>
      <c r="H90" s="17">
        <f t="shared" si="58"/>
        <v>0</v>
      </c>
      <c r="I90" s="17">
        <f t="shared" si="58"/>
        <v>0</v>
      </c>
      <c r="J90" s="17">
        <f t="shared" si="58"/>
        <v>0</v>
      </c>
      <c r="K90" s="17">
        <f t="shared" si="58"/>
        <v>0</v>
      </c>
      <c r="L90" s="17">
        <f t="shared" si="58"/>
        <v>0</v>
      </c>
      <c r="M90" s="17">
        <f t="shared" si="58"/>
        <v>0</v>
      </c>
      <c r="N90" s="17">
        <f t="shared" si="58"/>
        <v>0</v>
      </c>
      <c r="O90" s="120">
        <f t="shared" si="58"/>
        <v>0</v>
      </c>
      <c r="P90" s="14">
        <f>SUM(D90:O90)</f>
        <v>0</v>
      </c>
      <c r="Q90" s="18" t="str">
        <f>IF(P90=0,"-",P90/C90-1)</f>
        <v>-</v>
      </c>
    </row>
    <row r="91" spans="1:22" ht="15" thickBot="1"/>
    <row r="92" spans="1:22" ht="33" customHeight="1">
      <c r="A92" s="5"/>
      <c r="B92" s="2357" t="s">
        <v>649</v>
      </c>
      <c r="C92" s="2355" t="s">
        <v>647</v>
      </c>
      <c r="D92" s="2359" t="s">
        <v>652</v>
      </c>
      <c r="E92" s="2360"/>
      <c r="F92" s="2360"/>
      <c r="G92" s="2360"/>
      <c r="H92" s="2360"/>
      <c r="I92" s="2360"/>
      <c r="J92" s="2360"/>
      <c r="K92" s="2360"/>
      <c r="L92" s="2360"/>
      <c r="M92" s="2360"/>
      <c r="N92" s="2360"/>
      <c r="O92" s="2360"/>
      <c r="P92" s="2361"/>
      <c r="Q92" s="937" t="s">
        <v>638</v>
      </c>
    </row>
    <row r="93" spans="1:22" ht="30.75" customHeight="1" thickBot="1">
      <c r="A93" s="7"/>
      <c r="B93" s="2358"/>
      <c r="C93" s="2356"/>
      <c r="D93" s="9" t="s">
        <v>1</v>
      </c>
      <c r="E93" s="10" t="s">
        <v>2</v>
      </c>
      <c r="F93" s="10" t="s">
        <v>3</v>
      </c>
      <c r="G93" s="10" t="s">
        <v>4</v>
      </c>
      <c r="H93" s="10" t="s">
        <v>5</v>
      </c>
      <c r="I93" s="10" t="s">
        <v>6</v>
      </c>
      <c r="J93" s="10" t="s">
        <v>7</v>
      </c>
      <c r="K93" s="10" t="s">
        <v>8</v>
      </c>
      <c r="L93" s="10" t="s">
        <v>9</v>
      </c>
      <c r="M93" s="10" t="s">
        <v>10</v>
      </c>
      <c r="N93" s="10" t="s">
        <v>11</v>
      </c>
      <c r="O93" s="10" t="s">
        <v>12</v>
      </c>
      <c r="P93" s="11" t="s">
        <v>13</v>
      </c>
      <c r="Q93" s="941" t="s">
        <v>619</v>
      </c>
    </row>
    <row r="94" spans="1:22" ht="22.5" customHeight="1" thickBot="1">
      <c r="A94" s="13" t="s">
        <v>28</v>
      </c>
      <c r="B94" s="1202">
        <f>İHALE!B94+'Ötv''siz Deniz'!B94+'Ötv''li Deniz'!B94+DAĞITICI!B94+Perakende!B94+ENDÜSTRİYEL!B94</f>
        <v>0</v>
      </c>
      <c r="C94" s="1202">
        <f>İHALE!C94+'Ötv''siz Deniz'!C94+'Ötv''li Deniz'!C94+DAĞITICI!C94+Perakende!C94+ENDÜSTRİYEL!C94</f>
        <v>0</v>
      </c>
      <c r="D94" s="16">
        <f>İHALE!D94+'Ötv''siz Deniz'!D94+'Ötv''li Deniz'!D94+DAĞITICI!D94+Perakende!D94+ENDÜSTRİYEL!D94</f>
        <v>0</v>
      </c>
      <c r="E94" s="17">
        <f>İHALE!E94+'Ötv''siz Deniz'!E94+'Ötv''li Deniz'!E94+DAĞITICI!E94+Perakende!E94+ENDÜSTRİYEL!E94</f>
        <v>0</v>
      </c>
      <c r="F94" s="17">
        <f>İHALE!F94+'Ötv''siz Deniz'!F94+'Ötv''li Deniz'!F94+DAĞITICI!F94+Perakende!F94+ENDÜSTRİYEL!F94</f>
        <v>0</v>
      </c>
      <c r="G94" s="17">
        <f>İHALE!G94+'Ötv''siz Deniz'!G94+'Ötv''li Deniz'!G94+DAĞITICI!G94+Perakende!G94+ENDÜSTRİYEL!G94</f>
        <v>0</v>
      </c>
      <c r="H94" s="17">
        <f>İHALE!H94+'Ötv''siz Deniz'!H94+'Ötv''li Deniz'!H94+DAĞITICI!H94+Perakende!H94+ENDÜSTRİYEL!H94</f>
        <v>0</v>
      </c>
      <c r="I94" s="17">
        <f>İHALE!I94+'Ötv''siz Deniz'!I94+'Ötv''li Deniz'!I94+DAĞITICI!I94+Perakende!I94+ENDÜSTRİYEL!I94</f>
        <v>0</v>
      </c>
      <c r="J94" s="17">
        <f>İHALE!J94+'Ötv''siz Deniz'!J94+'Ötv''li Deniz'!J94+DAĞITICI!J94+Perakende!J94+ENDÜSTRİYEL!J94</f>
        <v>0</v>
      </c>
      <c r="K94" s="17">
        <f>İHALE!K94+'Ötv''siz Deniz'!K94+'Ötv''li Deniz'!K94+DAĞITICI!K94+Perakende!K94+ENDÜSTRİYEL!K94</f>
        <v>0</v>
      </c>
      <c r="L94" s="17">
        <f>İHALE!L94+'Ötv''siz Deniz'!L94+'Ötv''li Deniz'!L94+DAĞITICI!L94+Perakende!L94+ENDÜSTRİYEL!L94</f>
        <v>0</v>
      </c>
      <c r="M94" s="17">
        <f>İHALE!M94+'Ötv''siz Deniz'!M94+'Ötv''li Deniz'!M94+DAĞITICI!M94+Perakende!M94+ENDÜSTRİYEL!M94</f>
        <v>0</v>
      </c>
      <c r="N94" s="17">
        <f>İHALE!N94+'Ötv''siz Deniz'!N94+'Ötv''li Deniz'!N94+DAĞITICI!N94+Perakende!N94+ENDÜSTRİYEL!N94</f>
        <v>0</v>
      </c>
      <c r="O94" s="15">
        <f>İHALE!O94+'Ötv''siz Deniz'!O94+'Ötv''li Deniz'!O94+DAĞITICI!O94+Perakende!O94+ENDÜSTRİYEL!O94</f>
        <v>0</v>
      </c>
      <c r="P94" s="14">
        <f>P97+P98+P103</f>
        <v>0</v>
      </c>
      <c r="Q94" s="18" t="str">
        <f t="shared" ref="Q94:Q109" si="59">IF(P94=0,"-",P94/C94-1)</f>
        <v>-</v>
      </c>
    </row>
    <row r="95" spans="1:22" ht="16.5" customHeight="1">
      <c r="A95" s="949" t="s">
        <v>15</v>
      </c>
      <c r="B95" s="1196">
        <f>İHALE!B95+'Ötv''siz Deniz'!B95+'Ötv''li Deniz'!B95+DAĞITICI!B95+Perakende!B95+ENDÜSTRİYEL!B95</f>
        <v>0</v>
      </c>
      <c r="C95" s="1196">
        <f>İHALE!C95+'Ötv''siz Deniz'!C95+'Ötv''li Deniz'!C95+DAĞITICI!C95+Perakende!C95+ENDÜSTRİYEL!C95</f>
        <v>0</v>
      </c>
      <c r="D95" s="951">
        <f>İHALE!D95+'Ötv''siz Deniz'!D95+'Ötv''li Deniz'!D95+DAĞITICI!D95+Perakende!D95+ENDÜSTRİYEL!D95</f>
        <v>0</v>
      </c>
      <c r="E95" s="952">
        <f>İHALE!E95+'Ötv''siz Deniz'!E95+'Ötv''li Deniz'!E95+DAĞITICI!E95+Perakende!E95+ENDÜSTRİYEL!E95</f>
        <v>0</v>
      </c>
      <c r="F95" s="952">
        <f>İHALE!F95+'Ötv''siz Deniz'!F95+'Ötv''li Deniz'!F95+DAĞITICI!F95+Perakende!F95+ENDÜSTRİYEL!F95</f>
        <v>0</v>
      </c>
      <c r="G95" s="952">
        <f>İHALE!G95+'Ötv''siz Deniz'!G95+'Ötv''li Deniz'!G95+DAĞITICI!G95+Perakende!G95+ENDÜSTRİYEL!G95</f>
        <v>0</v>
      </c>
      <c r="H95" s="953">
        <f>İHALE!H95+'Ötv''siz Deniz'!H95+'Ötv''li Deniz'!H95+DAĞITICI!H95+Perakende!H95+ENDÜSTRİYEL!H95</f>
        <v>0</v>
      </c>
      <c r="I95" s="953">
        <f>İHALE!I95+'Ötv''siz Deniz'!I95+'Ötv''li Deniz'!I95+DAĞITICI!I95+Perakende!I95+ENDÜSTRİYEL!I95</f>
        <v>0</v>
      </c>
      <c r="J95" s="953">
        <f>İHALE!J95+'Ötv''siz Deniz'!J95+'Ötv''li Deniz'!J95+DAĞITICI!J95+Perakende!J95+ENDÜSTRİYEL!J95</f>
        <v>0</v>
      </c>
      <c r="K95" s="953">
        <f>İHALE!K95+'Ötv''siz Deniz'!K95+'Ötv''li Deniz'!K95+DAĞITICI!K95+Perakende!K95+ENDÜSTRİYEL!K95</f>
        <v>0</v>
      </c>
      <c r="L95" s="953">
        <f>İHALE!L95+'Ötv''siz Deniz'!L95+'Ötv''li Deniz'!L95+DAĞITICI!L95+Perakende!L95+ENDÜSTRİYEL!L95</f>
        <v>0</v>
      </c>
      <c r="M95" s="953">
        <f>İHALE!M95+'Ötv''siz Deniz'!M95+'Ötv''li Deniz'!M95+DAĞITICI!M95+Perakende!M95+ENDÜSTRİYEL!M95</f>
        <v>0</v>
      </c>
      <c r="N95" s="953">
        <f>İHALE!N95+'Ötv''siz Deniz'!N95+'Ötv''li Deniz'!N95+DAĞITICI!N95+Perakende!N95+ENDÜSTRİYEL!N95</f>
        <v>0</v>
      </c>
      <c r="O95" s="954">
        <f>İHALE!O95+'Ötv''siz Deniz'!O95+'Ötv''li Deniz'!O95+DAĞITICI!O95+Perakende!O95+ENDÜSTRİYEL!O95</f>
        <v>0</v>
      </c>
      <c r="P95" s="950">
        <f t="shared" ref="P95:P102" si="60">SUM(D95:O95)</f>
        <v>0</v>
      </c>
      <c r="Q95" s="26" t="str">
        <f t="shared" si="59"/>
        <v>-</v>
      </c>
      <c r="R95" s="27"/>
      <c r="S95" s="376"/>
      <c r="T95" s="376"/>
      <c r="U95" s="376"/>
      <c r="V95" s="376"/>
    </row>
    <row r="96" spans="1:22" ht="16.5" hidden="1" customHeight="1">
      <c r="A96" s="955" t="s">
        <v>16</v>
      </c>
      <c r="B96" s="1197">
        <f>İHALE!B96+'Ötv''siz Deniz'!B96+'Ötv''li Deniz'!B96+DAĞITICI!B96+Perakende!B96+ENDÜSTRİYEL!B96</f>
        <v>0</v>
      </c>
      <c r="C96" s="1197">
        <f>İHALE!C96+'Ötv''siz Deniz'!C96+'Ötv''li Deniz'!C96+DAĞITICI!C96+Perakende!C96+ENDÜSTRİYEL!C96</f>
        <v>0</v>
      </c>
      <c r="D96" s="956">
        <f>İHALE!D96+'Ötv''siz Deniz'!D96+'Ötv''li Deniz'!D96+DAĞITICI!D96+Perakende!D96+ENDÜSTRİYEL!D96</f>
        <v>0</v>
      </c>
      <c r="E96" s="957">
        <f>İHALE!E96+'Ötv''siz Deniz'!E96+'Ötv''li Deniz'!E96+DAĞITICI!E96+Perakende!E96+ENDÜSTRİYEL!E96</f>
        <v>0</v>
      </c>
      <c r="F96" s="957">
        <f>İHALE!F96+'Ötv''siz Deniz'!F96+'Ötv''li Deniz'!F96+DAĞITICI!F96+Perakende!F96+ENDÜSTRİYEL!F96</f>
        <v>0</v>
      </c>
      <c r="G96" s="957">
        <f>İHALE!G96+'Ötv''siz Deniz'!G96+'Ötv''li Deniz'!G96+DAĞITICI!G96+Perakende!G96+ENDÜSTRİYEL!G96</f>
        <v>0</v>
      </c>
      <c r="H96" s="958">
        <f>İHALE!H96+'Ötv''siz Deniz'!H96+'Ötv''li Deniz'!H96+DAĞITICI!H96+Perakende!H96+ENDÜSTRİYEL!H96</f>
        <v>0</v>
      </c>
      <c r="I96" s="958">
        <f>İHALE!I96+'Ötv''siz Deniz'!I96+'Ötv''li Deniz'!I96+DAĞITICI!I96+Perakende!I96+ENDÜSTRİYEL!I96</f>
        <v>0</v>
      </c>
      <c r="J96" s="958">
        <f>İHALE!J96+'Ötv''siz Deniz'!J96+'Ötv''li Deniz'!J96+DAĞITICI!J96+Perakende!J96+ENDÜSTRİYEL!J96</f>
        <v>0</v>
      </c>
      <c r="K96" s="958">
        <f>İHALE!K96+'Ötv''siz Deniz'!K96+'Ötv''li Deniz'!K96+DAĞITICI!K96+Perakende!K96+ENDÜSTRİYEL!K96</f>
        <v>0</v>
      </c>
      <c r="L96" s="958">
        <f>İHALE!L96+'Ötv''siz Deniz'!L96+'Ötv''li Deniz'!L96+DAĞITICI!L96+Perakende!L96+ENDÜSTRİYEL!L96</f>
        <v>0</v>
      </c>
      <c r="M96" s="958">
        <f>İHALE!M96+'Ötv''siz Deniz'!M96+'Ötv''li Deniz'!M96+DAĞITICI!M96+Perakende!M96+ENDÜSTRİYEL!M96</f>
        <v>0</v>
      </c>
      <c r="N96" s="958">
        <f>İHALE!N96+'Ötv''siz Deniz'!N96+'Ötv''li Deniz'!N96+DAĞITICI!N96+Perakende!N96+ENDÜSTRİYEL!N96</f>
        <v>0</v>
      </c>
      <c r="O96" s="959">
        <f>İHALE!O96+'Ötv''siz Deniz'!O96+'Ötv''li Deniz'!O96+DAĞITICI!O96+Perakende!O96+ENDÜSTRİYEL!O96</f>
        <v>0</v>
      </c>
      <c r="P96" s="48">
        <f t="shared" si="60"/>
        <v>0</v>
      </c>
      <c r="Q96" s="35" t="str">
        <f t="shared" si="59"/>
        <v>-</v>
      </c>
    </row>
    <row r="97" spans="1:22" ht="15" customHeight="1">
      <c r="A97" s="36" t="s">
        <v>27</v>
      </c>
      <c r="B97" s="387">
        <f>İHALE!B97+'Ötv''siz Deniz'!B97+'Ötv''li Deniz'!B97+DAĞITICI!B97+Perakende!B97+ENDÜSTRİYEL!B97</f>
        <v>0</v>
      </c>
      <c r="C97" s="387">
        <f>İHALE!C97+'Ötv''siz Deniz'!C97+'Ötv''li Deniz'!C97+DAĞITICI!C97+Perakende!C97+ENDÜSTRİYEL!C97</f>
        <v>0</v>
      </c>
      <c r="D97" s="39">
        <f>İHALE!D97+'Ötv''siz Deniz'!D97+'Ötv''li Deniz'!D97+DAĞITICI!D97+Perakende!D97+ENDÜSTRİYEL!D97</f>
        <v>0</v>
      </c>
      <c r="E97" s="40">
        <f>İHALE!E97+'Ötv''siz Deniz'!E97+'Ötv''li Deniz'!E97+DAĞITICI!E97+Perakende!E97+ENDÜSTRİYEL!E97</f>
        <v>0</v>
      </c>
      <c r="F97" s="40">
        <f>İHALE!F97+'Ötv''siz Deniz'!F97+'Ötv''li Deniz'!F97+DAĞITICI!F97+Perakende!F97+ENDÜSTRİYEL!F97</f>
        <v>0</v>
      </c>
      <c r="G97" s="40">
        <f>İHALE!G97+'Ötv''siz Deniz'!G97+'Ötv''li Deniz'!G97+DAĞITICI!G97+Perakende!G97+ENDÜSTRİYEL!G97</f>
        <v>0</v>
      </c>
      <c r="H97" s="40">
        <f>İHALE!H97+'Ötv''siz Deniz'!H97+'Ötv''li Deniz'!H97+DAĞITICI!H97+Perakende!H97+ENDÜSTRİYEL!H97</f>
        <v>0</v>
      </c>
      <c r="I97" s="40">
        <f>İHALE!I97+'Ötv''siz Deniz'!I97+'Ötv''li Deniz'!I97+DAĞITICI!I97+Perakende!I97+ENDÜSTRİYEL!I97</f>
        <v>0</v>
      </c>
      <c r="J97" s="40">
        <f>İHALE!J97+'Ötv''siz Deniz'!J97+'Ötv''li Deniz'!J97+DAĞITICI!J97+Perakende!J97+ENDÜSTRİYEL!J97</f>
        <v>0</v>
      </c>
      <c r="K97" s="40">
        <f>İHALE!K97+'Ötv''siz Deniz'!K97+'Ötv''li Deniz'!K97+DAĞITICI!K97+Perakende!K97+ENDÜSTRİYEL!K97</f>
        <v>0</v>
      </c>
      <c r="L97" s="40">
        <f>İHALE!L97+'Ötv''siz Deniz'!L97+'Ötv''li Deniz'!L97+DAĞITICI!L97+Perakende!L97+ENDÜSTRİYEL!L97</f>
        <v>0</v>
      </c>
      <c r="M97" s="40">
        <f>İHALE!M97+'Ötv''siz Deniz'!M97+'Ötv''li Deniz'!M97+DAĞITICI!M97+Perakende!M97+ENDÜSTRİYEL!M97</f>
        <v>0</v>
      </c>
      <c r="N97" s="40">
        <f>İHALE!N97+'Ötv''siz Deniz'!N97+'Ötv''li Deniz'!N97+DAĞITICI!N97+Perakende!N97+ENDÜSTRİYEL!N97</f>
        <v>0</v>
      </c>
      <c r="O97" s="38">
        <f>İHALE!O97+'Ötv''siz Deniz'!O97+'Ötv''li Deniz'!O97+DAĞITICI!O97+Perakende!O97+ENDÜSTRİYEL!O97</f>
        <v>0</v>
      </c>
      <c r="P97" s="37">
        <f t="shared" si="60"/>
        <v>0</v>
      </c>
      <c r="Q97" s="57" t="str">
        <f t="shared" si="59"/>
        <v>-</v>
      </c>
    </row>
    <row r="98" spans="1:22" ht="16.5" customHeight="1">
      <c r="A98" s="42" t="s">
        <v>17</v>
      </c>
      <c r="B98" s="1197">
        <f>İHALE!B98+'Ötv''siz Deniz'!B98+'Ötv''li Deniz'!B98+DAĞITICI!B98+Perakende!B98+ENDÜSTRİYEL!B98</f>
        <v>0</v>
      </c>
      <c r="C98" s="1197">
        <f>İHALE!C98+'Ötv''siz Deniz'!C98+'Ötv''li Deniz'!C98+DAĞITICI!C98+Perakende!C98+ENDÜSTRİYEL!C98</f>
        <v>0</v>
      </c>
      <c r="D98" s="45">
        <f>İHALE!D98+'Ötv''siz Deniz'!D98+'Ötv''li Deniz'!D98+DAĞITICI!D98+Perakende!D98+ENDÜSTRİYEL!D98</f>
        <v>0</v>
      </c>
      <c r="E98" s="46">
        <f>İHALE!E98+'Ötv''siz Deniz'!E98+'Ötv''li Deniz'!E98+DAĞITICI!E98+Perakende!E98+ENDÜSTRİYEL!E98</f>
        <v>0</v>
      </c>
      <c r="F98" s="46">
        <f>İHALE!F98+'Ötv''siz Deniz'!F98+'Ötv''li Deniz'!F98+DAĞITICI!F98+Perakende!F98+ENDÜSTRİYEL!F98</f>
        <v>0</v>
      </c>
      <c r="G98" s="46">
        <f>İHALE!G98+'Ötv''siz Deniz'!G98+'Ötv''li Deniz'!G98+DAĞITICI!G98+Perakende!G98+ENDÜSTRİYEL!G98</f>
        <v>0</v>
      </c>
      <c r="H98" s="46">
        <f>İHALE!H98+'Ötv''siz Deniz'!H98+'Ötv''li Deniz'!H98+DAĞITICI!H98+Perakende!H98+ENDÜSTRİYEL!H98</f>
        <v>0</v>
      </c>
      <c r="I98" s="46">
        <f>İHALE!I98+'Ötv''siz Deniz'!I98+'Ötv''li Deniz'!I98+DAĞITICI!I98+Perakende!I98+ENDÜSTRİYEL!I98</f>
        <v>0</v>
      </c>
      <c r="J98" s="46">
        <f>İHALE!J98+'Ötv''siz Deniz'!J98+'Ötv''li Deniz'!J98+DAĞITICI!J98+Perakende!J98+ENDÜSTRİYEL!J98</f>
        <v>0</v>
      </c>
      <c r="K98" s="46">
        <f>İHALE!K98+'Ötv''siz Deniz'!K98+'Ötv''li Deniz'!K98+DAĞITICI!K98+Perakende!K98+ENDÜSTRİYEL!K98</f>
        <v>0</v>
      </c>
      <c r="L98" s="46">
        <f>İHALE!L98+'Ötv''siz Deniz'!L98+'Ötv''li Deniz'!L98+DAĞITICI!L98+Perakende!L98+ENDÜSTRİYEL!L98</f>
        <v>0</v>
      </c>
      <c r="M98" s="46">
        <f>İHALE!M98+'Ötv''siz Deniz'!M98+'Ötv''li Deniz'!M98+DAĞITICI!M98+Perakende!M98+ENDÜSTRİYEL!M98</f>
        <v>0</v>
      </c>
      <c r="N98" s="46">
        <f>İHALE!N98+'Ötv''siz Deniz'!N98+'Ötv''li Deniz'!N98+DAĞITICI!N98+Perakende!N98+ENDÜSTRİYEL!N98</f>
        <v>0</v>
      </c>
      <c r="O98" s="47">
        <f>İHALE!O98+'Ötv''siz Deniz'!O98+'Ötv''li Deniz'!O98+DAĞITICI!O98+Perakende!O98+ENDÜSTRİYEL!O98</f>
        <v>0</v>
      </c>
      <c r="P98" s="48">
        <f t="shared" si="60"/>
        <v>0</v>
      </c>
      <c r="Q98" s="35" t="str">
        <f t="shared" si="59"/>
        <v>-</v>
      </c>
    </row>
    <row r="99" spans="1:22" ht="16.5" customHeight="1">
      <c r="A99" s="969" t="s">
        <v>81</v>
      </c>
      <c r="B99" s="401">
        <f>İHALE!B99+'Ötv''siz Deniz'!B99+'Ötv''li Deniz'!B99+DAĞITICI!B99+Perakende!B99+ENDÜSTRİYEL!B99</f>
        <v>0</v>
      </c>
      <c r="C99" s="401">
        <f>İHALE!C99+'Ötv''siz Deniz'!C99+'Ötv''li Deniz'!C99+DAĞITICI!C99+Perakende!C99+ENDÜSTRİYEL!C99</f>
        <v>0</v>
      </c>
      <c r="D99" s="39">
        <f>İHALE!D99+'Ötv''siz Deniz'!D99+'Ötv''li Deniz'!D99+DAĞITICI!D99+Perakende!D99+ENDÜSTRİYEL!D99</f>
        <v>0</v>
      </c>
      <c r="E99" s="40">
        <f>İHALE!E99+'Ötv''siz Deniz'!E99+'Ötv''li Deniz'!E99+DAĞITICI!E99+Perakende!E99+ENDÜSTRİYEL!E99</f>
        <v>0</v>
      </c>
      <c r="F99" s="40">
        <f>İHALE!F99+'Ötv''siz Deniz'!F99+'Ötv''li Deniz'!F99+DAĞITICI!F99+Perakende!F99+ENDÜSTRİYEL!F99</f>
        <v>0</v>
      </c>
      <c r="G99" s="40">
        <f>İHALE!G99+'Ötv''siz Deniz'!G99+'Ötv''li Deniz'!G99+DAĞITICI!G99+Perakende!G99+ENDÜSTRİYEL!G99</f>
        <v>0</v>
      </c>
      <c r="H99" s="40">
        <f>İHALE!H99+'Ötv''siz Deniz'!H99+'Ötv''li Deniz'!H99+DAĞITICI!H99+Perakende!H99+ENDÜSTRİYEL!H99</f>
        <v>0</v>
      </c>
      <c r="I99" s="40">
        <f>İHALE!I99+'Ötv''siz Deniz'!I99+'Ötv''li Deniz'!I99+DAĞITICI!I99+Perakende!I99+ENDÜSTRİYEL!I99</f>
        <v>0</v>
      </c>
      <c r="J99" s="40">
        <f>İHALE!J99+'Ötv''siz Deniz'!J99+'Ötv''li Deniz'!J99+DAĞITICI!J99+Perakende!J99+ENDÜSTRİYEL!J99</f>
        <v>0</v>
      </c>
      <c r="K99" s="40">
        <f>İHALE!K99+'Ötv''siz Deniz'!K99+'Ötv''li Deniz'!K99+DAĞITICI!K99+Perakende!K99+ENDÜSTRİYEL!K99</f>
        <v>0</v>
      </c>
      <c r="L99" s="40">
        <f>İHALE!L99+'Ötv''siz Deniz'!L99+'Ötv''li Deniz'!L99+DAĞITICI!L99+Perakende!L99+ENDÜSTRİYEL!L99</f>
        <v>0</v>
      </c>
      <c r="M99" s="40">
        <f>İHALE!M99+'Ötv''siz Deniz'!M99+'Ötv''li Deniz'!M99+DAĞITICI!M99+Perakende!M99+ENDÜSTRİYEL!M99</f>
        <v>0</v>
      </c>
      <c r="N99" s="40">
        <f>İHALE!N99+'Ötv''siz Deniz'!N99+'Ötv''li Deniz'!N99+DAĞITICI!N99+Perakende!N99+ENDÜSTRİYEL!N99</f>
        <v>0</v>
      </c>
      <c r="O99" s="38">
        <f>İHALE!O99+'Ötv''siz Deniz'!O99+'Ötv''li Deniz'!O99+DAĞITICI!O99+Perakende!O99+ENDÜSTRİYEL!O99</f>
        <v>0</v>
      </c>
      <c r="P99" s="56">
        <f t="shared" si="60"/>
        <v>0</v>
      </c>
      <c r="Q99" s="57" t="str">
        <f>IF(P99=0,"-",P99/C99-1)</f>
        <v>-</v>
      </c>
    </row>
    <row r="100" spans="1:22" ht="16.5" hidden="1" customHeight="1">
      <c r="A100" s="973" t="s">
        <v>82</v>
      </c>
      <c r="B100" s="1197">
        <f>İHALE!B100+'Ötv''siz Deniz'!B100+'Ötv''li Deniz'!B100+DAĞITICI!B100+Perakende!B100+ENDÜSTRİYEL!B100</f>
        <v>0</v>
      </c>
      <c r="C100" s="1197">
        <f>İHALE!C100+'Ötv''siz Deniz'!C100+'Ötv''li Deniz'!C100+DAĞITICI!C100+Perakende!C100+ENDÜSTRİYEL!C100</f>
        <v>0</v>
      </c>
      <c r="D100" s="45">
        <f>İHALE!D100+'Ötv''siz Deniz'!D100+'Ötv''li Deniz'!D100+DAĞITICI!D100+Perakende!D100+ENDÜSTRİYEL!D100</f>
        <v>0</v>
      </c>
      <c r="E100" s="46">
        <f>İHALE!E100+'Ötv''siz Deniz'!E100+'Ötv''li Deniz'!E100+DAĞITICI!E100+Perakende!E100+ENDÜSTRİYEL!E100</f>
        <v>0</v>
      </c>
      <c r="F100" s="46">
        <f>İHALE!F100+'Ötv''siz Deniz'!F100+'Ötv''li Deniz'!F100+DAĞITICI!F100+Perakende!F100+ENDÜSTRİYEL!F100</f>
        <v>0</v>
      </c>
      <c r="G100" s="46">
        <f>İHALE!G100+'Ötv''siz Deniz'!G100+'Ötv''li Deniz'!G100+DAĞITICI!G100+Perakende!G100+ENDÜSTRİYEL!G100</f>
        <v>0</v>
      </c>
      <c r="H100" s="46">
        <f>İHALE!H100+'Ötv''siz Deniz'!H100+'Ötv''li Deniz'!H100+DAĞITICI!H100+Perakende!H100+ENDÜSTRİYEL!H100</f>
        <v>0</v>
      </c>
      <c r="I100" s="46">
        <f>İHALE!I100+'Ötv''siz Deniz'!I100+'Ötv''li Deniz'!I100+DAĞITICI!I100+Perakende!I100+ENDÜSTRİYEL!I100</f>
        <v>0</v>
      </c>
      <c r="J100" s="46">
        <f>İHALE!J100+'Ötv''siz Deniz'!J100+'Ötv''li Deniz'!J100+DAĞITICI!J100+Perakende!J100+ENDÜSTRİYEL!J100</f>
        <v>0</v>
      </c>
      <c r="K100" s="46">
        <f>İHALE!K100+'Ötv''siz Deniz'!K100+'Ötv''li Deniz'!K100+DAĞITICI!K100+Perakende!K100+ENDÜSTRİYEL!K100</f>
        <v>0</v>
      </c>
      <c r="L100" s="46">
        <f>İHALE!L100+'Ötv''siz Deniz'!L100+'Ötv''li Deniz'!L100+DAĞITICI!L100+Perakende!L100+ENDÜSTRİYEL!L100</f>
        <v>0</v>
      </c>
      <c r="M100" s="46">
        <f>İHALE!M100+'Ötv''siz Deniz'!M100+'Ötv''li Deniz'!M100+DAĞITICI!M100+Perakende!M100+ENDÜSTRİYEL!M100</f>
        <v>0</v>
      </c>
      <c r="N100" s="46">
        <f>İHALE!N100+'Ötv''siz Deniz'!N100+'Ötv''li Deniz'!N100+DAĞITICI!N100+Perakende!N100+ENDÜSTRİYEL!N100</f>
        <v>0</v>
      </c>
      <c r="O100" s="47">
        <f>İHALE!O100+'Ötv''siz Deniz'!O100+'Ötv''li Deniz'!O100+DAĞITICI!O100+Perakende!O100+ENDÜSTRİYEL!O100</f>
        <v>0</v>
      </c>
      <c r="P100" s="48">
        <f t="shared" si="60"/>
        <v>0</v>
      </c>
      <c r="Q100" s="35" t="str">
        <f t="shared" si="59"/>
        <v>-</v>
      </c>
    </row>
    <row r="101" spans="1:22" ht="16.5" customHeight="1">
      <c r="A101" s="969" t="s">
        <v>83</v>
      </c>
      <c r="B101" s="401">
        <f>İHALE!B101+'Ötv''siz Deniz'!B101+'Ötv''li Deniz'!B101+DAĞITICI!B101+Perakende!B101+ENDÜSTRİYEL!B101</f>
        <v>0</v>
      </c>
      <c r="C101" s="401">
        <f>İHALE!C101+'Ötv''siz Deniz'!C101+'Ötv''li Deniz'!C101+DAĞITICI!C101+Perakende!C101+ENDÜSTRİYEL!C101</f>
        <v>0</v>
      </c>
      <c r="D101" s="970">
        <f>İHALE!D101+'Ötv''siz Deniz'!D101+'Ötv''li Deniz'!D101+DAĞITICI!D101+Perakende!D101+ENDÜSTRİYEL!D101</f>
        <v>0</v>
      </c>
      <c r="E101" s="971">
        <f>İHALE!E101+'Ötv''siz Deniz'!E101+'Ötv''li Deniz'!E101+DAĞITICI!E101+Perakende!E101+ENDÜSTRİYEL!E101</f>
        <v>0</v>
      </c>
      <c r="F101" s="1002">
        <f>İHALE!F101+'Ötv''siz Deniz'!F101+'Ötv''li Deniz'!F101+DAĞITICI!F101+Perakende!F101+ENDÜSTRİYEL!F101</f>
        <v>0</v>
      </c>
      <c r="G101" s="971">
        <f>İHALE!G101+'Ötv''siz Deniz'!G101+'Ötv''li Deniz'!G101+DAĞITICI!G101+Perakende!G101+ENDÜSTRİYEL!G101</f>
        <v>0</v>
      </c>
      <c r="H101" s="971">
        <f>İHALE!H101+'Ötv''siz Deniz'!H101+'Ötv''li Deniz'!H101+DAĞITICI!H101+Perakende!H101+ENDÜSTRİYEL!H101</f>
        <v>0</v>
      </c>
      <c r="I101" s="971">
        <f>İHALE!I101+'Ötv''siz Deniz'!I101+'Ötv''li Deniz'!I101+DAĞITICI!I101+Perakende!I101+ENDÜSTRİYEL!I101</f>
        <v>0</v>
      </c>
      <c r="J101" s="971">
        <f>İHALE!J101+'Ötv''siz Deniz'!J101+'Ötv''li Deniz'!J101+DAĞITICI!J101+Perakende!J101+ENDÜSTRİYEL!J101</f>
        <v>0</v>
      </c>
      <c r="K101" s="971">
        <f>İHALE!K101+'Ötv''siz Deniz'!K101+'Ötv''li Deniz'!K101+DAĞITICI!K101+Perakende!K101+ENDÜSTRİYEL!K101</f>
        <v>0</v>
      </c>
      <c r="L101" s="971">
        <f>İHALE!L101+'Ötv''siz Deniz'!L101+'Ötv''li Deniz'!L101+DAĞITICI!L101+Perakende!L101+ENDÜSTRİYEL!L101</f>
        <v>0</v>
      </c>
      <c r="M101" s="971">
        <f>İHALE!M101+'Ötv''siz Deniz'!M101+'Ötv''li Deniz'!M101+DAĞITICI!M101+Perakende!M101+ENDÜSTRİYEL!M101</f>
        <v>0</v>
      </c>
      <c r="N101" s="971">
        <f>İHALE!N101+'Ötv''siz Deniz'!N101+'Ötv''li Deniz'!N101+DAĞITICI!N101+Perakende!N101+ENDÜSTRİYEL!N101</f>
        <v>0</v>
      </c>
      <c r="O101" s="972">
        <f>İHALE!O101+'Ötv''siz Deniz'!O101+'Ötv''li Deniz'!O101+DAĞITICI!O101+Perakende!O101+ENDÜSTRİYEL!O101</f>
        <v>0</v>
      </c>
      <c r="P101" s="56">
        <f t="shared" si="60"/>
        <v>0</v>
      </c>
      <c r="Q101" s="57" t="str">
        <f t="shared" si="59"/>
        <v>-</v>
      </c>
    </row>
    <row r="102" spans="1:22" ht="16.5" hidden="1" customHeight="1">
      <c r="A102" s="973" t="s">
        <v>84</v>
      </c>
      <c r="B102" s="1197">
        <f>İHALE!B102+'Ötv''siz Deniz'!B102+'Ötv''li Deniz'!B102+DAĞITICI!B102+Perakende!B102+ENDÜSTRİYEL!B102</f>
        <v>0</v>
      </c>
      <c r="C102" s="1197">
        <f>İHALE!C102+'Ötv''siz Deniz'!C102+'Ötv''li Deniz'!C102+DAĞITICI!C102+Perakende!C102+ENDÜSTRİYEL!C102</f>
        <v>0</v>
      </c>
      <c r="D102" s="974">
        <f>İHALE!D102+'Ötv''siz Deniz'!D102+'Ötv''li Deniz'!D102+DAĞITICI!D102+Perakende!D102+ENDÜSTRİYEL!D102</f>
        <v>0</v>
      </c>
      <c r="E102" s="958">
        <f>İHALE!E102+'Ötv''siz Deniz'!E102+'Ötv''li Deniz'!E102+DAĞITICI!E102+Perakende!E102+ENDÜSTRİYEL!E102</f>
        <v>0</v>
      </c>
      <c r="F102" s="958">
        <f>İHALE!F102+'Ötv''siz Deniz'!F102+'Ötv''li Deniz'!F102+DAĞITICI!F102+Perakende!F102+ENDÜSTRİYEL!F102</f>
        <v>0</v>
      </c>
      <c r="G102" s="958">
        <f>İHALE!G102+'Ötv''siz Deniz'!G102+'Ötv''li Deniz'!G102+DAĞITICI!G102+Perakende!G102+ENDÜSTRİYEL!G102</f>
        <v>0</v>
      </c>
      <c r="H102" s="958">
        <f>İHALE!H102+'Ötv''siz Deniz'!H102+'Ötv''li Deniz'!H102+DAĞITICI!H102+Perakende!H102+ENDÜSTRİYEL!H102</f>
        <v>0</v>
      </c>
      <c r="I102" s="957">
        <f>İHALE!I102+'Ötv''siz Deniz'!I102+'Ötv''li Deniz'!I102+DAĞITICI!I102+Perakende!I102+ENDÜSTRİYEL!I102</f>
        <v>0</v>
      </c>
      <c r="J102" s="957">
        <f>İHALE!J102+'Ötv''siz Deniz'!J102+'Ötv''li Deniz'!J102+DAĞITICI!J102+Perakende!J102+ENDÜSTRİYEL!J102</f>
        <v>0</v>
      </c>
      <c r="K102" s="958">
        <f>İHALE!K102+'Ötv''siz Deniz'!K102+'Ötv''li Deniz'!K102+DAĞITICI!K102+Perakende!K102+ENDÜSTRİYEL!K102</f>
        <v>0</v>
      </c>
      <c r="L102" s="958">
        <f>İHALE!L102+'Ötv''siz Deniz'!L102+'Ötv''li Deniz'!L102+DAĞITICI!L102+Perakende!L102+ENDÜSTRİYEL!L102</f>
        <v>0</v>
      </c>
      <c r="M102" s="958">
        <f>İHALE!M102+'Ötv''siz Deniz'!M102+'Ötv''li Deniz'!M102+DAĞITICI!M102+Perakende!M102+ENDÜSTRİYEL!M102</f>
        <v>0</v>
      </c>
      <c r="N102" s="958">
        <f>İHALE!N102+'Ötv''siz Deniz'!N102+'Ötv''li Deniz'!N102+DAĞITICI!N102+Perakende!N102+ENDÜSTRİYEL!N102</f>
        <v>0</v>
      </c>
      <c r="O102" s="959">
        <f>İHALE!O102+'Ötv''siz Deniz'!O102+'Ötv''li Deniz'!O102+DAĞITICI!O102+Perakende!O102+ENDÜSTRİYEL!O102</f>
        <v>0</v>
      </c>
      <c r="P102" s="48">
        <f t="shared" si="60"/>
        <v>0</v>
      </c>
      <c r="Q102" s="35" t="str">
        <f t="shared" si="59"/>
        <v>-</v>
      </c>
      <c r="S102" s="353"/>
      <c r="T102" s="353"/>
      <c r="U102" s="353"/>
      <c r="V102" s="353"/>
    </row>
    <row r="103" spans="1:22" ht="15" customHeight="1" thickBot="1">
      <c r="A103" s="60" t="s">
        <v>18</v>
      </c>
      <c r="B103" s="1203">
        <f>İHALE!B103+'Ötv''siz Deniz'!B103+'Ötv''li Deniz'!B103+DAĞITICI!B103+Perakende!B103+ENDÜSTRİYEL!B103</f>
        <v>0</v>
      </c>
      <c r="C103" s="1203">
        <f>İHALE!C103+'Ötv''siz Deniz'!C103+'Ötv''li Deniz'!C103+DAĞITICI!C103+Perakende!C103+ENDÜSTRİYEL!C103</f>
        <v>0</v>
      </c>
      <c r="D103" s="63">
        <f>İHALE!D103+'Ötv''siz Deniz'!D103+'Ötv''li Deniz'!D103+DAĞITICI!D103+Perakende!D103+ENDÜSTRİYEL!D103</f>
        <v>0</v>
      </c>
      <c r="E103" s="64">
        <f>İHALE!E103+'Ötv''siz Deniz'!E103+'Ötv''li Deniz'!E103+DAĞITICI!E103+Perakende!E103+ENDÜSTRİYEL!E103</f>
        <v>0</v>
      </c>
      <c r="F103" s="64">
        <f>İHALE!F103+'Ötv''siz Deniz'!F103+'Ötv''li Deniz'!F103+DAĞITICI!F103+Perakende!F103+ENDÜSTRİYEL!F103</f>
        <v>0</v>
      </c>
      <c r="G103" s="64">
        <f>İHALE!G103+'Ötv''siz Deniz'!G103+'Ötv''li Deniz'!G103+DAĞITICI!G103+Perakende!G103+ENDÜSTRİYEL!G103</f>
        <v>0</v>
      </c>
      <c r="H103" s="64">
        <f>İHALE!H103+'Ötv''siz Deniz'!H103+'Ötv''li Deniz'!H103+DAĞITICI!H103+Perakende!H103+ENDÜSTRİYEL!H103</f>
        <v>0</v>
      </c>
      <c r="I103" s="64">
        <f>İHALE!I103+'Ötv''siz Deniz'!I103+'Ötv''li Deniz'!I103+DAĞITICI!I103+Perakende!I103+ENDÜSTRİYEL!I103</f>
        <v>0</v>
      </c>
      <c r="J103" s="64">
        <f>İHALE!J103+'Ötv''siz Deniz'!J103+'Ötv''li Deniz'!J103+DAĞITICI!J103+Perakende!J103+ENDÜSTRİYEL!J103</f>
        <v>0</v>
      </c>
      <c r="K103" s="64">
        <f>İHALE!K103+'Ötv''siz Deniz'!K103+'Ötv''li Deniz'!K103+DAĞITICI!K103+Perakende!K103+ENDÜSTRİYEL!K103</f>
        <v>0</v>
      </c>
      <c r="L103" s="64">
        <f>İHALE!L103+'Ötv''siz Deniz'!L103+'Ötv''li Deniz'!L103+DAĞITICI!L103+Perakende!L103+ENDÜSTRİYEL!L103</f>
        <v>0</v>
      </c>
      <c r="M103" s="64">
        <f>İHALE!M103+'Ötv''siz Deniz'!M103+'Ötv''li Deniz'!M103+DAĞITICI!M103+Perakende!M103+ENDÜSTRİYEL!M103</f>
        <v>0</v>
      </c>
      <c r="N103" s="64">
        <f>İHALE!N103+'Ötv''siz Deniz'!N103+'Ötv''li Deniz'!N103+DAĞITICI!N103+Perakende!N103+ENDÜSTRİYEL!N103</f>
        <v>0</v>
      </c>
      <c r="O103" s="62">
        <f>İHALE!O103+'Ötv''siz Deniz'!O103+'Ötv''li Deniz'!O103+DAĞITICI!O103+Perakende!O103+ENDÜSTRİYEL!O103</f>
        <v>0</v>
      </c>
      <c r="P103" s="61">
        <f>SUM(P99:P102)</f>
        <v>0</v>
      </c>
      <c r="Q103" s="87" t="str">
        <f t="shared" si="59"/>
        <v>-</v>
      </c>
    </row>
    <row r="104" spans="1:22" ht="22.5" customHeight="1" thickBot="1">
      <c r="A104" s="13" t="s">
        <v>29</v>
      </c>
      <c r="B104" s="1204">
        <f>İHALE!B104+'Ötv''siz Deniz'!B104+'Ötv''li Deniz'!B104+DAĞITICI!B104+Perakende!B104+ENDÜSTRİYEL!B104</f>
        <v>0</v>
      </c>
      <c r="C104" s="1204">
        <f>İHALE!C104+'Ötv''siz Deniz'!C104+'Ötv''li Deniz'!C104+DAĞITICI!C104+Perakende!C104+ENDÜSTRİYEL!C104</f>
        <v>0</v>
      </c>
      <c r="D104" s="68">
        <f>İHALE!D104+'Ötv''siz Deniz'!D104+'Ötv''li Deniz'!D104+DAĞITICI!D104+Perakende!D104+ENDÜSTRİYEL!D104</f>
        <v>0</v>
      </c>
      <c r="E104" s="69">
        <f>İHALE!E104+'Ötv''siz Deniz'!E104+'Ötv''li Deniz'!E104+DAĞITICI!E104+Perakende!E104+ENDÜSTRİYEL!E104</f>
        <v>0</v>
      </c>
      <c r="F104" s="69">
        <f>İHALE!F104+'Ötv''siz Deniz'!F104+'Ötv''li Deniz'!F104+DAĞITICI!F104+Perakende!F104+ENDÜSTRİYEL!F104</f>
        <v>0</v>
      </c>
      <c r="G104" s="69">
        <f>İHALE!G104+'Ötv''siz Deniz'!G104+'Ötv''li Deniz'!G104+DAĞITICI!G104+Perakende!G104+ENDÜSTRİYEL!G104</f>
        <v>0</v>
      </c>
      <c r="H104" s="69">
        <f>İHALE!H104+'Ötv''siz Deniz'!H104+'Ötv''li Deniz'!H104+DAĞITICI!H104+Perakende!H104+ENDÜSTRİYEL!H104</f>
        <v>0</v>
      </c>
      <c r="I104" s="69">
        <f>İHALE!I104+'Ötv''siz Deniz'!I104+'Ötv''li Deniz'!I104+DAĞITICI!I104+Perakende!I104+ENDÜSTRİYEL!I104</f>
        <v>0</v>
      </c>
      <c r="J104" s="69">
        <f>İHALE!J104+'Ötv''siz Deniz'!J104+'Ötv''li Deniz'!J104+DAĞITICI!J104+Perakende!J104+ENDÜSTRİYEL!J104</f>
        <v>0</v>
      </c>
      <c r="K104" s="69">
        <f>İHALE!K104+'Ötv''siz Deniz'!K104+'Ötv''li Deniz'!K104+DAĞITICI!K104+Perakende!K104+ENDÜSTRİYEL!K104</f>
        <v>0</v>
      </c>
      <c r="L104" s="69">
        <f>İHALE!L104+'Ötv''siz Deniz'!L104+'Ötv''li Deniz'!L104+DAĞITICI!L104+Perakende!L104+ENDÜSTRİYEL!L104</f>
        <v>0</v>
      </c>
      <c r="M104" s="69">
        <f>İHALE!M104+'Ötv''siz Deniz'!M104+'Ötv''li Deniz'!M104+DAĞITICI!M104+Perakende!M104+ENDÜSTRİYEL!M104</f>
        <v>0</v>
      </c>
      <c r="N104" s="69">
        <f>İHALE!N104+'Ötv''siz Deniz'!N104+'Ötv''li Deniz'!N104+DAĞITICI!N104+Perakende!N104+ENDÜSTRİYEL!N104</f>
        <v>0</v>
      </c>
      <c r="O104" s="70">
        <f>İHALE!O104+'Ötv''siz Deniz'!O104+'Ötv''li Deniz'!O104+DAĞITICI!O104+Perakende!O104+ENDÜSTRİYEL!O104</f>
        <v>0</v>
      </c>
      <c r="P104" s="66">
        <f>SUM(P105:P106)</f>
        <v>0</v>
      </c>
      <c r="Q104" s="71" t="str">
        <f t="shared" si="59"/>
        <v>-</v>
      </c>
    </row>
    <row r="105" spans="1:22" ht="16.5" customHeight="1">
      <c r="A105" s="72" t="s">
        <v>19</v>
      </c>
      <c r="B105" s="424">
        <f>İHALE!B105+'Ötv''siz Deniz'!B105+'Ötv''li Deniz'!B105+DAĞITICI!B105+Perakende!B105+ENDÜSTRİYEL!B105</f>
        <v>0</v>
      </c>
      <c r="C105" s="424">
        <f>İHALE!C105+'Ötv''siz Deniz'!C105+'Ötv''li Deniz'!C105+DAĞITICI!C105+Perakende!C105+ENDÜSTRİYEL!C105</f>
        <v>0</v>
      </c>
      <c r="D105" s="75">
        <f>İHALE!D105+'Ötv''siz Deniz'!D105+'Ötv''li Deniz'!D105+DAĞITICI!D105+Perakende!D105+ENDÜSTRİYEL!D105</f>
        <v>0</v>
      </c>
      <c r="E105" s="76">
        <f>İHALE!E105+'Ötv''siz Deniz'!E105+'Ötv''li Deniz'!E105+DAĞITICI!E105+Perakende!E105+ENDÜSTRİYEL!E105</f>
        <v>0</v>
      </c>
      <c r="F105" s="76">
        <f>İHALE!F105+'Ötv''siz Deniz'!F105+'Ötv''li Deniz'!F105+DAĞITICI!F105+Perakende!F105+ENDÜSTRİYEL!F105</f>
        <v>0</v>
      </c>
      <c r="G105" s="76">
        <f>İHALE!G105+'Ötv''siz Deniz'!G105+'Ötv''li Deniz'!G105+DAĞITICI!G105+Perakende!G105+ENDÜSTRİYEL!G105</f>
        <v>0</v>
      </c>
      <c r="H105" s="76">
        <f>İHALE!H105+'Ötv''siz Deniz'!H105+'Ötv''li Deniz'!H105+DAĞITICI!H105+Perakende!H105+ENDÜSTRİYEL!H105</f>
        <v>0</v>
      </c>
      <c r="I105" s="76">
        <f>İHALE!I105+'Ötv''siz Deniz'!I105+'Ötv''li Deniz'!I105+DAĞITICI!I105+Perakende!I105+ENDÜSTRİYEL!I105</f>
        <v>0</v>
      </c>
      <c r="J105" s="76">
        <f>İHALE!J105+'Ötv''siz Deniz'!J105+'Ötv''li Deniz'!J105+DAĞITICI!J105+Perakende!J105+ENDÜSTRİYEL!J105</f>
        <v>0</v>
      </c>
      <c r="K105" s="76">
        <f>İHALE!K105+'Ötv''siz Deniz'!K105+'Ötv''li Deniz'!K105+DAĞITICI!K105+Perakende!K105+ENDÜSTRİYEL!K105</f>
        <v>0</v>
      </c>
      <c r="L105" s="76">
        <f>İHALE!L105+'Ötv''siz Deniz'!L105+'Ötv''li Deniz'!L105+DAĞITICI!L105+Perakende!L105+ENDÜSTRİYEL!L105</f>
        <v>0</v>
      </c>
      <c r="M105" s="76">
        <f>İHALE!M105+'Ötv''siz Deniz'!M105+'Ötv''li Deniz'!M105+DAĞITICI!M105+Perakende!M105+ENDÜSTRİYEL!M105</f>
        <v>0</v>
      </c>
      <c r="N105" s="76">
        <f>İHALE!N105+'Ötv''siz Deniz'!N105+'Ötv''li Deniz'!N105+DAĞITICI!N105+Perakende!N105+ENDÜSTRİYEL!N105</f>
        <v>0</v>
      </c>
      <c r="O105" s="77">
        <f>İHALE!O105+'Ötv''siz Deniz'!O105+'Ötv''li Deniz'!O105+DAĞITICI!O105+Perakende!O105+ENDÜSTRİYEL!O105</f>
        <v>0</v>
      </c>
      <c r="P105" s="78">
        <f>SUM(D105:O105)</f>
        <v>0</v>
      </c>
      <c r="Q105" s="79" t="str">
        <f t="shared" si="59"/>
        <v>-</v>
      </c>
    </row>
    <row r="106" spans="1:22" ht="16.5" customHeight="1" thickBot="1">
      <c r="A106" s="80" t="s">
        <v>20</v>
      </c>
      <c r="B106" s="432">
        <f>İHALE!B106+'Ötv''siz Deniz'!B106+'Ötv''li Deniz'!B106+DAĞITICI!B106+Perakende!B106+ENDÜSTRİYEL!B106</f>
        <v>0</v>
      </c>
      <c r="C106" s="432">
        <f>İHALE!C106+'Ötv''siz Deniz'!C106+'Ötv''li Deniz'!C106+DAĞITICI!C106+Perakende!C106+ENDÜSTRİYEL!C106</f>
        <v>0</v>
      </c>
      <c r="D106" s="83">
        <f>İHALE!D106+'Ötv''siz Deniz'!D106+'Ötv''li Deniz'!D106+DAĞITICI!D106+Perakende!D106+ENDÜSTRİYEL!D106</f>
        <v>0</v>
      </c>
      <c r="E106" s="84">
        <f>İHALE!E106+'Ötv''siz Deniz'!E106+'Ötv''li Deniz'!E106+DAĞITICI!E106+Perakende!E106+ENDÜSTRİYEL!E106</f>
        <v>0</v>
      </c>
      <c r="F106" s="84">
        <f>İHALE!F106+'Ötv''siz Deniz'!F106+'Ötv''li Deniz'!F106+DAĞITICI!F106+Perakende!F106+ENDÜSTRİYEL!F106</f>
        <v>0</v>
      </c>
      <c r="G106" s="84">
        <f>İHALE!G106+'Ötv''siz Deniz'!G106+'Ötv''li Deniz'!G106+DAĞITICI!G106+Perakende!G106+ENDÜSTRİYEL!G106</f>
        <v>0</v>
      </c>
      <c r="H106" s="84">
        <f>İHALE!H106+'Ötv''siz Deniz'!H106+'Ötv''li Deniz'!H106+DAĞITICI!H106+Perakende!H106+ENDÜSTRİYEL!H106</f>
        <v>0</v>
      </c>
      <c r="I106" s="84">
        <f>İHALE!I106+'Ötv''siz Deniz'!I106+'Ötv''li Deniz'!I106+DAĞITICI!I106+Perakende!I106+ENDÜSTRİYEL!I106</f>
        <v>0</v>
      </c>
      <c r="J106" s="84">
        <f>İHALE!J106+'Ötv''siz Deniz'!J106+'Ötv''li Deniz'!J106+DAĞITICI!J106+Perakende!J106+ENDÜSTRİYEL!J106</f>
        <v>0</v>
      </c>
      <c r="K106" s="84">
        <f>İHALE!K106+'Ötv''siz Deniz'!K106+'Ötv''li Deniz'!K106+DAĞITICI!K106+Perakende!K106+ENDÜSTRİYEL!K106</f>
        <v>0</v>
      </c>
      <c r="L106" s="84">
        <f>İHALE!L106+'Ötv''siz Deniz'!L106+'Ötv''li Deniz'!L106+DAĞITICI!L106+Perakende!L106+ENDÜSTRİYEL!L106</f>
        <v>0</v>
      </c>
      <c r="M106" s="84">
        <f>İHALE!M106+'Ötv''siz Deniz'!M106+'Ötv''li Deniz'!M106+DAĞITICI!M106+Perakende!M106+ENDÜSTRİYEL!M106</f>
        <v>0</v>
      </c>
      <c r="N106" s="84">
        <f>İHALE!N106+'Ötv''siz Deniz'!N106+'Ötv''li Deniz'!N106+DAĞITICI!N106+Perakende!N106+ENDÜSTRİYEL!N106</f>
        <v>0</v>
      </c>
      <c r="O106" s="85">
        <f>İHALE!O106+'Ötv''siz Deniz'!O106+'Ötv''li Deniz'!O106+DAĞITICI!O106+Perakende!O106+ENDÜSTRİYEL!O106</f>
        <v>0</v>
      </c>
      <c r="P106" s="86">
        <f>SUM(D106:O106)</f>
        <v>0</v>
      </c>
      <c r="Q106" s="87" t="str">
        <f t="shared" si="59"/>
        <v>-</v>
      </c>
    </row>
    <row r="107" spans="1:22" ht="22.5" customHeight="1" thickBot="1">
      <c r="A107" s="13" t="s">
        <v>30</v>
      </c>
      <c r="B107" s="1204">
        <f>İHALE!B107+'Ötv''siz Deniz'!B107+'Ötv''li Deniz'!B107+DAĞITICI!B107+Perakende!B107+ENDÜSTRİYEL!B107</f>
        <v>0.12118642995000001</v>
      </c>
      <c r="C107" s="1204">
        <f>İHALE!C107+'Ötv''siz Deniz'!C107+'Ötv''li Deniz'!C107+DAĞITICI!C107+Perakende!C107+ENDÜSTRİYEL!C107</f>
        <v>0</v>
      </c>
      <c r="D107" s="68">
        <f>İHALE!D107+'Ötv''siz Deniz'!D107+'Ötv''li Deniz'!D107+DAĞITICI!D107+Perakende!D107+ENDÜSTRİYEL!D107</f>
        <v>0</v>
      </c>
      <c r="E107" s="69">
        <f>İHALE!E107+'Ötv''siz Deniz'!E107+'Ötv''li Deniz'!E107+DAĞITICI!E107+Perakende!E107+ENDÜSTRİYEL!E107</f>
        <v>0</v>
      </c>
      <c r="F107" s="69">
        <f>İHALE!F107+'Ötv''siz Deniz'!F107+'Ötv''li Deniz'!F107+DAĞITICI!F107+Perakende!F107+ENDÜSTRİYEL!F107</f>
        <v>0</v>
      </c>
      <c r="G107" s="69">
        <f>İHALE!G107+'Ötv''siz Deniz'!G107+'Ötv''li Deniz'!G107+DAĞITICI!G107+Perakende!G107+ENDÜSTRİYEL!G107</f>
        <v>0</v>
      </c>
      <c r="H107" s="69">
        <f>İHALE!H107+'Ötv''siz Deniz'!H107+'Ötv''li Deniz'!H107+DAĞITICI!H107+Perakende!H107+ENDÜSTRİYEL!H107</f>
        <v>0</v>
      </c>
      <c r="I107" s="69">
        <f>İHALE!I107+'Ötv''siz Deniz'!I107+'Ötv''li Deniz'!I107+DAĞITICI!I107+Perakende!I107+ENDÜSTRİYEL!I107</f>
        <v>0</v>
      </c>
      <c r="J107" s="69">
        <f>İHALE!J107+'Ötv''siz Deniz'!J107+'Ötv''li Deniz'!J107+DAĞITICI!J107+Perakende!J107+ENDÜSTRİYEL!J107</f>
        <v>0</v>
      </c>
      <c r="K107" s="69">
        <f>İHALE!K107+'Ötv''siz Deniz'!K107+'Ötv''li Deniz'!K107+DAĞITICI!K107+Perakende!K107+ENDÜSTRİYEL!K107</f>
        <v>0</v>
      </c>
      <c r="L107" s="69">
        <f>İHALE!L107+'Ötv''siz Deniz'!L107+'Ötv''li Deniz'!L107+DAĞITICI!L107+Perakende!L107+ENDÜSTRİYEL!L107</f>
        <v>0</v>
      </c>
      <c r="M107" s="69">
        <f>İHALE!M107+'Ötv''siz Deniz'!M107+'Ötv''li Deniz'!M107+DAĞITICI!M107+Perakende!M107+ENDÜSTRİYEL!M107</f>
        <v>0</v>
      </c>
      <c r="N107" s="69">
        <f>İHALE!N107+'Ötv''siz Deniz'!N107+'Ötv''li Deniz'!N107+DAĞITICI!N107+Perakende!N107+ENDÜSTRİYEL!N107</f>
        <v>0</v>
      </c>
      <c r="O107" s="70">
        <f>İHALE!O107+'Ötv''siz Deniz'!O107+'Ötv''li Deniz'!O107+DAĞITICI!O107+Perakende!O107+ENDÜSTRİYEL!O107</f>
        <v>0</v>
      </c>
      <c r="P107" s="66">
        <f>SUM(P108:P109)</f>
        <v>0</v>
      </c>
      <c r="Q107" s="71" t="str">
        <f t="shared" si="59"/>
        <v>-</v>
      </c>
    </row>
    <row r="108" spans="1:22" ht="16.5" customHeight="1">
      <c r="A108" s="72" t="s">
        <v>106</v>
      </c>
      <c r="B108" s="424">
        <f>İHALE!B108+'Ötv''siz Deniz'!B108+'Ötv''li Deniz'!B108+DAĞITICI!B108+Perakende!B108+ENDÜSTRİYEL!B108</f>
        <v>0.12118642995000001</v>
      </c>
      <c r="C108" s="424">
        <f>İHALE!C108+'Ötv''siz Deniz'!C108+'Ötv''li Deniz'!C108+DAĞITICI!C108+Perakende!C108+ENDÜSTRİYEL!C108</f>
        <v>0</v>
      </c>
      <c r="D108" s="75">
        <f>İHALE!D108+'Ötv''siz Deniz'!D108+'Ötv''li Deniz'!D108+DAĞITICI!D108+Perakende!D108+ENDÜSTRİYEL!D108</f>
        <v>0</v>
      </c>
      <c r="E108" s="76">
        <f>İHALE!E108+'Ötv''siz Deniz'!E108+'Ötv''li Deniz'!E108+DAĞITICI!E108+Perakende!E108+ENDÜSTRİYEL!E108</f>
        <v>0</v>
      </c>
      <c r="F108" s="76">
        <f>İHALE!F108+'Ötv''siz Deniz'!F108+'Ötv''li Deniz'!F108+DAĞITICI!F108+Perakende!F108+ENDÜSTRİYEL!F108</f>
        <v>0</v>
      </c>
      <c r="G108" s="76">
        <f>İHALE!G108+'Ötv''siz Deniz'!G108+'Ötv''li Deniz'!G108+DAĞITICI!G108+Perakende!G108+ENDÜSTRİYEL!G108</f>
        <v>0</v>
      </c>
      <c r="H108" s="76">
        <f>İHALE!H108+'Ötv''siz Deniz'!H108+'Ötv''li Deniz'!H108+DAĞITICI!H108+Perakende!H108+ENDÜSTRİYEL!H108</f>
        <v>0</v>
      </c>
      <c r="I108" s="76">
        <f>İHALE!I108+'Ötv''siz Deniz'!I108+'Ötv''li Deniz'!I108+DAĞITICI!I108+Perakende!I108+ENDÜSTRİYEL!I108</f>
        <v>0</v>
      </c>
      <c r="J108" s="76">
        <f>İHALE!J108+'Ötv''siz Deniz'!J108+'Ötv''li Deniz'!J108+DAĞITICI!J108+Perakende!J108+ENDÜSTRİYEL!J108</f>
        <v>0</v>
      </c>
      <c r="K108" s="76">
        <f>İHALE!K108+'Ötv''siz Deniz'!K108+'Ötv''li Deniz'!K108+DAĞITICI!K108+Perakende!K108+ENDÜSTRİYEL!K108</f>
        <v>0</v>
      </c>
      <c r="L108" s="76">
        <f>İHALE!L108+'Ötv''siz Deniz'!L108+'Ötv''li Deniz'!L108+DAĞITICI!L108+Perakende!L108+ENDÜSTRİYEL!L108</f>
        <v>0</v>
      </c>
      <c r="M108" s="76">
        <f>İHALE!M108+'Ötv''siz Deniz'!M108+'Ötv''li Deniz'!M108+DAĞITICI!M108+Perakende!M108+ENDÜSTRİYEL!M108</f>
        <v>0</v>
      </c>
      <c r="N108" s="76">
        <f>İHALE!N108+'Ötv''siz Deniz'!N108+'Ötv''li Deniz'!N108+DAĞITICI!N108+Perakende!N108+ENDÜSTRİYEL!N108</f>
        <v>0</v>
      </c>
      <c r="O108" s="77">
        <f>İHALE!O108+'Ötv''siz Deniz'!O108+'Ötv''li Deniz'!O108+DAĞITICI!O108+Perakende!O108+ENDÜSTRİYEL!O108</f>
        <v>0</v>
      </c>
      <c r="P108" s="78">
        <f>SUM(D108:O108)</f>
        <v>0</v>
      </c>
      <c r="Q108" s="79" t="str">
        <f t="shared" si="59"/>
        <v>-</v>
      </c>
    </row>
    <row r="109" spans="1:22" ht="16.5" customHeight="1" thickBot="1">
      <c r="A109" s="122" t="s">
        <v>105</v>
      </c>
      <c r="B109" s="440">
        <f>İHALE!B109+'Ötv''siz Deniz'!B109+'Ötv''li Deniz'!B109+DAĞITICI!B109+Perakende!B109+ENDÜSTRİYEL!B109</f>
        <v>0</v>
      </c>
      <c r="C109" s="440">
        <f>İHALE!C109+'Ötv''siz Deniz'!C109+'Ötv''li Deniz'!C109+DAĞITICI!C109+Perakende!C109+ENDÜSTRİYEL!C109</f>
        <v>0</v>
      </c>
      <c r="D109" s="125">
        <f>İHALE!D109+'Ötv''siz Deniz'!D109+'Ötv''li Deniz'!D109+DAĞITICI!D109+Perakende!D109+ENDÜSTRİYEL!D109</f>
        <v>0</v>
      </c>
      <c r="E109" s="126">
        <f>İHALE!E109+'Ötv''siz Deniz'!E109+'Ötv''li Deniz'!E109+DAĞITICI!E109+Perakende!E109+ENDÜSTRİYEL!E109</f>
        <v>0</v>
      </c>
      <c r="F109" s="126">
        <f>İHALE!F109+'Ötv''siz Deniz'!F109+'Ötv''li Deniz'!F109+DAĞITICI!F109+Perakende!F109+ENDÜSTRİYEL!F109</f>
        <v>0</v>
      </c>
      <c r="G109" s="126">
        <f>İHALE!G109+'Ötv''siz Deniz'!G109+'Ötv''li Deniz'!G109+DAĞITICI!G109+Perakende!G109+ENDÜSTRİYEL!G109</f>
        <v>0</v>
      </c>
      <c r="H109" s="126">
        <f>İHALE!H109+'Ötv''siz Deniz'!H109+'Ötv''li Deniz'!H109+DAĞITICI!H109+Perakende!H109+ENDÜSTRİYEL!H109</f>
        <v>0</v>
      </c>
      <c r="I109" s="126">
        <f>İHALE!I109+'Ötv''siz Deniz'!I109+'Ötv''li Deniz'!I109+DAĞITICI!I109+Perakende!I109+ENDÜSTRİYEL!I109</f>
        <v>0</v>
      </c>
      <c r="J109" s="126">
        <f>İHALE!J109+'Ötv''siz Deniz'!J109+'Ötv''li Deniz'!J109+DAĞITICI!J109+Perakende!J109+ENDÜSTRİYEL!J109</f>
        <v>0</v>
      </c>
      <c r="K109" s="126">
        <f>İHALE!K109+'Ötv''siz Deniz'!K109+'Ötv''li Deniz'!K109+DAĞITICI!K109+Perakende!K109+ENDÜSTRİYEL!K109</f>
        <v>0</v>
      </c>
      <c r="L109" s="126">
        <f>İHALE!L109+'Ötv''siz Deniz'!L109+'Ötv''li Deniz'!L109+DAĞITICI!L109+Perakende!L109+ENDÜSTRİYEL!L109</f>
        <v>0</v>
      </c>
      <c r="M109" s="126">
        <f>İHALE!M109+'Ötv''siz Deniz'!M109+'Ötv''li Deniz'!M109+DAĞITICI!M109+Perakende!M109+ENDÜSTRİYEL!M109</f>
        <v>0</v>
      </c>
      <c r="N109" s="126">
        <f>İHALE!N109+'Ötv''siz Deniz'!N109+'Ötv''li Deniz'!N109+DAĞITICI!N109+Perakende!N109+ENDÜSTRİYEL!N109</f>
        <v>0</v>
      </c>
      <c r="O109" s="127">
        <f>İHALE!O109+'Ötv''siz Deniz'!O109+'Ötv''li Deniz'!O109+DAĞITICI!O109+Perakende!O109+ENDÜSTRİYEL!O109</f>
        <v>0</v>
      </c>
      <c r="P109" s="128">
        <f>SUM(D109:O109)</f>
        <v>0</v>
      </c>
      <c r="Q109" s="129" t="str">
        <f t="shared" si="59"/>
        <v>-</v>
      </c>
    </row>
    <row r="110" spans="1:22" ht="16.5" customHeight="1" thickBot="1">
      <c r="B110" s="353">
        <f>İHALE!B110+'Ötv''siz Deniz'!B110+'Ötv''li Deniz'!B110+DAĞITICI!B110+Perakende!B110+ENDÜSTRİYEL!B110</f>
        <v>0</v>
      </c>
      <c r="C110" s="353">
        <f>İHALE!C110+'Ötv''siz Deniz'!C110+'Ötv''li Deniz'!C110+DAĞITICI!C110+Perakende!C110+ENDÜSTRİYEL!C110</f>
        <v>0</v>
      </c>
      <c r="D110" s="88">
        <f>İHALE!D110+'Ötv''siz Deniz'!D110+'Ötv''li Deniz'!D110+DAĞITICI!D110+Perakende!D110+ENDÜSTRİYEL!D110</f>
        <v>0</v>
      </c>
      <c r="E110" s="88">
        <f>İHALE!E110+'Ötv''siz Deniz'!E110+'Ötv''li Deniz'!E110+DAĞITICI!E110+Perakende!E110+ENDÜSTRİYEL!E110</f>
        <v>0</v>
      </c>
      <c r="F110" s="88">
        <f>İHALE!F110+'Ötv''siz Deniz'!F110+'Ötv''li Deniz'!F110+DAĞITICI!F110+Perakende!F110+ENDÜSTRİYEL!F110</f>
        <v>0</v>
      </c>
      <c r="G110" s="88">
        <f>İHALE!G110+'Ötv''siz Deniz'!G110+'Ötv''li Deniz'!G110+DAĞITICI!G110+Perakende!G110+ENDÜSTRİYEL!G110</f>
        <v>0</v>
      </c>
      <c r="H110" s="88">
        <f>İHALE!H110+'Ötv''siz Deniz'!H110+'Ötv''li Deniz'!H110+DAĞITICI!H110+Perakende!H110+ENDÜSTRİYEL!H110</f>
        <v>0</v>
      </c>
      <c r="I110" s="88">
        <f>İHALE!I110+'Ötv''siz Deniz'!I110+'Ötv''li Deniz'!I110+DAĞITICI!I110+Perakende!I110+ENDÜSTRİYEL!I110</f>
        <v>0</v>
      </c>
      <c r="J110" s="88">
        <f>İHALE!J110+'Ötv''siz Deniz'!J110+'Ötv''li Deniz'!J110+DAĞITICI!J110+Perakende!J110+ENDÜSTRİYEL!J110</f>
        <v>0</v>
      </c>
      <c r="K110" s="88">
        <f>İHALE!K110+'Ötv''siz Deniz'!K110+'Ötv''li Deniz'!K110+DAĞITICI!K110+Perakende!K110+ENDÜSTRİYEL!K110</f>
        <v>0</v>
      </c>
      <c r="L110" s="88">
        <f>İHALE!L110+'Ötv''siz Deniz'!L110+'Ötv''li Deniz'!L110+DAĞITICI!L110+Perakende!L110+ENDÜSTRİYEL!L110</f>
        <v>0</v>
      </c>
      <c r="M110" s="88">
        <f>İHALE!M110+'Ötv''siz Deniz'!M110+'Ötv''li Deniz'!M110+DAĞITICI!M110+Perakende!M110+ENDÜSTRİYEL!M110</f>
        <v>0</v>
      </c>
      <c r="N110" s="88">
        <f>İHALE!N110+'Ötv''siz Deniz'!N110+'Ötv''li Deniz'!N110+DAĞITICI!N110+Perakende!N110+ENDÜSTRİYEL!N110</f>
        <v>0</v>
      </c>
      <c r="O110" s="88">
        <f>İHALE!O110+'Ötv''siz Deniz'!O110+'Ötv''li Deniz'!O110+DAĞITICI!O110+Perakende!O110+ENDÜSTRİYEL!O110</f>
        <v>0</v>
      </c>
      <c r="P110" s="88"/>
      <c r="Q110" s="89"/>
    </row>
    <row r="111" spans="1:22" ht="22.5" customHeight="1" thickBot="1">
      <c r="A111" s="13" t="s">
        <v>86</v>
      </c>
      <c r="B111" s="1202">
        <f>İHALE!B111+'Ötv''siz Deniz'!B111+'Ötv''li Deniz'!B111+DAĞITICI!B111+Perakende!B111+ENDÜSTRİYEL!B111</f>
        <v>0</v>
      </c>
      <c r="C111" s="1202">
        <f>İHALE!C111+'Ötv''siz Deniz'!C111+'Ötv''li Deniz'!C111+DAĞITICI!C111+Perakende!C111+ENDÜSTRİYEL!C111</f>
        <v>0</v>
      </c>
      <c r="D111" s="16">
        <f>İHALE!D111+'Ötv''siz Deniz'!D111+'Ötv''li Deniz'!D111+DAĞITICI!D111+Perakende!D111+ENDÜSTRİYEL!D111</f>
        <v>0</v>
      </c>
      <c r="E111" s="17">
        <f>İHALE!E111+'Ötv''siz Deniz'!E111+'Ötv''li Deniz'!E111+DAĞITICI!E111+Perakende!E111+ENDÜSTRİYEL!E111</f>
        <v>0</v>
      </c>
      <c r="F111" s="17">
        <f>İHALE!F111+'Ötv''siz Deniz'!F111+'Ötv''li Deniz'!F111+DAĞITICI!F111+Perakende!F111+ENDÜSTRİYEL!F111</f>
        <v>0</v>
      </c>
      <c r="G111" s="17">
        <f>İHALE!G111+'Ötv''siz Deniz'!G111+'Ötv''li Deniz'!G111+DAĞITICI!G111+Perakende!G111+ENDÜSTRİYEL!G111</f>
        <v>0</v>
      </c>
      <c r="H111" s="17">
        <f>İHALE!H111+'Ötv''siz Deniz'!H111+'Ötv''li Deniz'!H111+DAĞITICI!H111+Perakende!H111+ENDÜSTRİYEL!H111</f>
        <v>0</v>
      </c>
      <c r="I111" s="17">
        <f>İHALE!I111+'Ötv''siz Deniz'!I111+'Ötv''li Deniz'!I111+DAĞITICI!I111+Perakende!I111+ENDÜSTRİYEL!I111</f>
        <v>0</v>
      </c>
      <c r="J111" s="17">
        <f>İHALE!J111+'Ötv''siz Deniz'!J111+'Ötv''li Deniz'!J111+DAĞITICI!J111+Perakende!J111+ENDÜSTRİYEL!J111</f>
        <v>0</v>
      </c>
      <c r="K111" s="17">
        <f>İHALE!K111+'Ötv''siz Deniz'!K111+'Ötv''li Deniz'!K111+DAĞITICI!K111+Perakende!K111+ENDÜSTRİYEL!K111</f>
        <v>0</v>
      </c>
      <c r="L111" s="17">
        <f>İHALE!L111+'Ötv''siz Deniz'!L111+'Ötv''li Deniz'!L111+DAĞITICI!L111+Perakende!L111+ENDÜSTRİYEL!L111</f>
        <v>0</v>
      </c>
      <c r="M111" s="17">
        <f>İHALE!M111+'Ötv''siz Deniz'!M111+'Ötv''li Deniz'!M111+DAĞITICI!M111+Perakende!M111+ENDÜSTRİYEL!M111</f>
        <v>0</v>
      </c>
      <c r="N111" s="17">
        <f>İHALE!N111+'Ötv''siz Deniz'!N111+'Ötv''li Deniz'!N111+DAĞITICI!N111+Perakende!N111+ENDÜSTRİYEL!N111</f>
        <v>0</v>
      </c>
      <c r="O111" s="120">
        <f>İHALE!O111+'Ötv''siz Deniz'!O111+'Ötv''li Deniz'!O111+DAĞITICI!O111+Perakende!O111+ENDÜSTRİYEL!O111</f>
        <v>0</v>
      </c>
      <c r="P111" s="14">
        <f>SUM(D111:O111)</f>
        <v>0</v>
      </c>
      <c r="Q111" s="18" t="str">
        <f>IF(P111=0,"-",P111/C111-1)</f>
        <v>-</v>
      </c>
    </row>
    <row r="112" spans="1:22" s="93" customFormat="1" ht="14.25" customHeight="1" thickBot="1">
      <c r="A112" s="90"/>
      <c r="B112" s="1205"/>
      <c r="C112" s="1205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2"/>
      <c r="S112" s="454"/>
      <c r="T112" s="454"/>
      <c r="U112" s="454"/>
      <c r="V112" s="454"/>
    </row>
    <row r="113" spans="1:22" ht="22.5" customHeight="1" thickBot="1">
      <c r="A113" s="13" t="s">
        <v>35</v>
      </c>
      <c r="B113" s="1202">
        <f>+B94+B104+B107+B111</f>
        <v>0.12118642995000001</v>
      </c>
      <c r="C113" s="1202">
        <f>+C94+C104+C107+C111</f>
        <v>0</v>
      </c>
      <c r="D113" s="16">
        <f t="shared" ref="D113:P113" si="61">+D94+D104+D107+D111</f>
        <v>0</v>
      </c>
      <c r="E113" s="17">
        <f t="shared" si="61"/>
        <v>0</v>
      </c>
      <c r="F113" s="17">
        <f t="shared" si="61"/>
        <v>0</v>
      </c>
      <c r="G113" s="17">
        <f t="shared" si="61"/>
        <v>0</v>
      </c>
      <c r="H113" s="17">
        <f t="shared" si="61"/>
        <v>0</v>
      </c>
      <c r="I113" s="17">
        <f t="shared" si="61"/>
        <v>0</v>
      </c>
      <c r="J113" s="17">
        <f t="shared" si="61"/>
        <v>0</v>
      </c>
      <c r="K113" s="17">
        <f t="shared" si="61"/>
        <v>0</v>
      </c>
      <c r="L113" s="17">
        <f t="shared" si="61"/>
        <v>0</v>
      </c>
      <c r="M113" s="17">
        <f t="shared" si="61"/>
        <v>0</v>
      </c>
      <c r="N113" s="17">
        <f t="shared" si="61"/>
        <v>0</v>
      </c>
      <c r="O113" s="120">
        <f t="shared" si="61"/>
        <v>0</v>
      </c>
      <c r="P113" s="14">
        <f t="shared" si="61"/>
        <v>0</v>
      </c>
      <c r="Q113" s="18" t="str">
        <f>IF(P113=0,"-",P113/C113-1)</f>
        <v>-</v>
      </c>
    </row>
    <row r="114" spans="1:22" ht="15" thickBot="1"/>
    <row r="115" spans="1:22" ht="33" customHeight="1">
      <c r="A115" s="5"/>
      <c r="B115" s="2357" t="s">
        <v>649</v>
      </c>
      <c r="C115" s="2355" t="s">
        <v>647</v>
      </c>
      <c r="D115" s="2359" t="s">
        <v>644</v>
      </c>
      <c r="E115" s="2360"/>
      <c r="F115" s="2360"/>
      <c r="G115" s="2360"/>
      <c r="H115" s="2360"/>
      <c r="I115" s="2360"/>
      <c r="J115" s="2360"/>
      <c r="K115" s="2360"/>
      <c r="L115" s="2360"/>
      <c r="M115" s="2360"/>
      <c r="N115" s="2360"/>
      <c r="O115" s="2360"/>
      <c r="P115" s="2361"/>
      <c r="Q115" s="937" t="s">
        <v>638</v>
      </c>
    </row>
    <row r="116" spans="1:22" ht="30.75" customHeight="1" thickBot="1">
      <c r="A116" s="7"/>
      <c r="B116" s="2358"/>
      <c r="C116" s="2356"/>
      <c r="D116" s="9" t="s">
        <v>1</v>
      </c>
      <c r="E116" s="10" t="s">
        <v>2</v>
      </c>
      <c r="F116" s="10" t="s">
        <v>3</v>
      </c>
      <c r="G116" s="10" t="s">
        <v>4</v>
      </c>
      <c r="H116" s="10" t="s">
        <v>5</v>
      </c>
      <c r="I116" s="10" t="s">
        <v>6</v>
      </c>
      <c r="J116" s="10" t="s">
        <v>7</v>
      </c>
      <c r="K116" s="10" t="s">
        <v>8</v>
      </c>
      <c r="L116" s="10" t="s">
        <v>9</v>
      </c>
      <c r="M116" s="10" t="s">
        <v>10</v>
      </c>
      <c r="N116" s="10" t="s">
        <v>11</v>
      </c>
      <c r="O116" s="10" t="s">
        <v>12</v>
      </c>
      <c r="P116" s="11" t="s">
        <v>13</v>
      </c>
      <c r="Q116" s="941" t="s">
        <v>619</v>
      </c>
    </row>
    <row r="117" spans="1:22" ht="22.5" customHeight="1" thickBot="1">
      <c r="A117" s="13" t="s">
        <v>28</v>
      </c>
      <c r="B117" s="1202">
        <f>B120+B121+B126</f>
        <v>0</v>
      </c>
      <c r="C117" s="1202">
        <f>C120+C121+C126</f>
        <v>0</v>
      </c>
      <c r="D117" s="16">
        <f t="shared" ref="D117:O117" si="62">D120+D121+D126</f>
        <v>0</v>
      </c>
      <c r="E117" s="17">
        <f t="shared" si="62"/>
        <v>0</v>
      </c>
      <c r="F117" s="17">
        <f t="shared" si="62"/>
        <v>0</v>
      </c>
      <c r="G117" s="17">
        <f t="shared" si="62"/>
        <v>0</v>
      </c>
      <c r="H117" s="17">
        <f t="shared" si="62"/>
        <v>0</v>
      </c>
      <c r="I117" s="17">
        <f t="shared" si="62"/>
        <v>0</v>
      </c>
      <c r="J117" s="17">
        <f t="shared" si="62"/>
        <v>0</v>
      </c>
      <c r="K117" s="17">
        <f t="shared" si="62"/>
        <v>0</v>
      </c>
      <c r="L117" s="17">
        <f t="shared" si="62"/>
        <v>0</v>
      </c>
      <c r="M117" s="17">
        <f t="shared" si="62"/>
        <v>0</v>
      </c>
      <c r="N117" s="17">
        <f t="shared" si="62"/>
        <v>0</v>
      </c>
      <c r="O117" s="15">
        <f t="shared" si="62"/>
        <v>0</v>
      </c>
      <c r="P117" s="14">
        <f>P120+P121+P126</f>
        <v>0</v>
      </c>
      <c r="Q117" s="18" t="str">
        <f t="shared" ref="Q117:Q132" si="63">IF(P117=0,"-",P117/C117-1)</f>
        <v>-</v>
      </c>
    </row>
    <row r="118" spans="1:22" ht="17.25" customHeight="1">
      <c r="A118" s="949" t="s">
        <v>15</v>
      </c>
      <c r="B118" s="1196">
        <f>+B72-B95</f>
        <v>0</v>
      </c>
      <c r="C118" s="1196">
        <f>+C72-C95</f>
        <v>0</v>
      </c>
      <c r="D118" s="951">
        <f>+D72-D95</f>
        <v>0</v>
      </c>
      <c r="E118" s="952">
        <f t="shared" ref="C118:O129" si="64">+E72-E95</f>
        <v>0</v>
      </c>
      <c r="F118" s="952">
        <f t="shared" si="64"/>
        <v>0</v>
      </c>
      <c r="G118" s="952">
        <f t="shared" si="64"/>
        <v>0</v>
      </c>
      <c r="H118" s="953">
        <f t="shared" si="64"/>
        <v>0</v>
      </c>
      <c r="I118" s="953">
        <f t="shared" si="64"/>
        <v>0</v>
      </c>
      <c r="J118" s="953">
        <f t="shared" si="64"/>
        <v>0</v>
      </c>
      <c r="K118" s="953">
        <f t="shared" si="64"/>
        <v>0</v>
      </c>
      <c r="L118" s="953">
        <f t="shared" si="64"/>
        <v>0</v>
      </c>
      <c r="M118" s="953">
        <f t="shared" si="64"/>
        <v>0</v>
      </c>
      <c r="N118" s="953">
        <f t="shared" si="64"/>
        <v>0</v>
      </c>
      <c r="O118" s="954">
        <f t="shared" si="64"/>
        <v>0</v>
      </c>
      <c r="P118" s="950">
        <f t="shared" ref="P118:P125" si="65">SUM(D118:O118)</f>
        <v>0</v>
      </c>
      <c r="Q118" s="26" t="str">
        <f t="shared" si="63"/>
        <v>-</v>
      </c>
      <c r="R118" s="27"/>
      <c r="S118" s="376"/>
      <c r="T118" s="376"/>
      <c r="U118" s="376"/>
      <c r="V118" s="376"/>
    </row>
    <row r="119" spans="1:22" ht="17.25" hidden="1" customHeight="1">
      <c r="A119" s="955" t="s">
        <v>16</v>
      </c>
      <c r="B119" s="1197">
        <f>+B73-B96</f>
        <v>0</v>
      </c>
      <c r="C119" s="1197">
        <f>+C73-C96</f>
        <v>0</v>
      </c>
      <c r="D119" s="956">
        <f t="shared" si="64"/>
        <v>0</v>
      </c>
      <c r="E119" s="957">
        <f t="shared" si="64"/>
        <v>0</v>
      </c>
      <c r="F119" s="957">
        <f t="shared" si="64"/>
        <v>0</v>
      </c>
      <c r="G119" s="957">
        <f t="shared" si="64"/>
        <v>0</v>
      </c>
      <c r="H119" s="958">
        <f t="shared" si="64"/>
        <v>0</v>
      </c>
      <c r="I119" s="958">
        <f t="shared" si="64"/>
        <v>0</v>
      </c>
      <c r="J119" s="958">
        <f t="shared" si="64"/>
        <v>0</v>
      </c>
      <c r="K119" s="958">
        <f t="shared" si="64"/>
        <v>0</v>
      </c>
      <c r="L119" s="958">
        <f t="shared" si="64"/>
        <v>0</v>
      </c>
      <c r="M119" s="958">
        <f t="shared" si="64"/>
        <v>0</v>
      </c>
      <c r="N119" s="958">
        <f t="shared" si="64"/>
        <v>0</v>
      </c>
      <c r="O119" s="959">
        <f t="shared" si="64"/>
        <v>0</v>
      </c>
      <c r="P119" s="48">
        <f t="shared" si="65"/>
        <v>0</v>
      </c>
      <c r="Q119" s="35" t="str">
        <f t="shared" si="63"/>
        <v>-</v>
      </c>
    </row>
    <row r="120" spans="1:22" ht="17.25" customHeight="1">
      <c r="A120" s="36" t="s">
        <v>27</v>
      </c>
      <c r="B120" s="387">
        <f>+B119+B118</f>
        <v>0</v>
      </c>
      <c r="C120" s="387">
        <f>+C119+C118</f>
        <v>0</v>
      </c>
      <c r="D120" s="39">
        <f t="shared" ref="D120:O120" si="66">SUM(D118:D119)</f>
        <v>0</v>
      </c>
      <c r="E120" s="40">
        <f t="shared" si="66"/>
        <v>0</v>
      </c>
      <c r="F120" s="40">
        <f t="shared" si="66"/>
        <v>0</v>
      </c>
      <c r="G120" s="40">
        <f t="shared" si="66"/>
        <v>0</v>
      </c>
      <c r="H120" s="40">
        <f t="shared" si="66"/>
        <v>0</v>
      </c>
      <c r="I120" s="40">
        <f t="shared" si="66"/>
        <v>0</v>
      </c>
      <c r="J120" s="40">
        <f t="shared" si="66"/>
        <v>0</v>
      </c>
      <c r="K120" s="40">
        <f t="shared" si="66"/>
        <v>0</v>
      </c>
      <c r="L120" s="40">
        <f t="shared" si="66"/>
        <v>0</v>
      </c>
      <c r="M120" s="40">
        <f t="shared" si="66"/>
        <v>0</v>
      </c>
      <c r="N120" s="40">
        <f t="shared" si="66"/>
        <v>0</v>
      </c>
      <c r="O120" s="38">
        <f t="shared" si="66"/>
        <v>0</v>
      </c>
      <c r="P120" s="37">
        <f t="shared" si="65"/>
        <v>0</v>
      </c>
      <c r="Q120" s="57" t="str">
        <f t="shared" si="63"/>
        <v>-</v>
      </c>
    </row>
    <row r="121" spans="1:22" ht="17.25" customHeight="1">
      <c r="A121" s="42" t="s">
        <v>17</v>
      </c>
      <c r="B121" s="1197">
        <f t="shared" ref="B121" si="67">+B75-B98</f>
        <v>0</v>
      </c>
      <c r="C121" s="1197">
        <f t="shared" si="64"/>
        <v>0</v>
      </c>
      <c r="D121" s="45">
        <f t="shared" si="64"/>
        <v>0</v>
      </c>
      <c r="E121" s="46">
        <f t="shared" si="64"/>
        <v>0</v>
      </c>
      <c r="F121" s="46">
        <f t="shared" si="64"/>
        <v>0</v>
      </c>
      <c r="G121" s="46">
        <f t="shared" si="64"/>
        <v>0</v>
      </c>
      <c r="H121" s="46">
        <f t="shared" si="64"/>
        <v>0</v>
      </c>
      <c r="I121" s="46">
        <f t="shared" si="64"/>
        <v>0</v>
      </c>
      <c r="J121" s="46">
        <f t="shared" si="64"/>
        <v>0</v>
      </c>
      <c r="K121" s="46">
        <f t="shared" si="64"/>
        <v>0</v>
      </c>
      <c r="L121" s="46">
        <f t="shared" si="64"/>
        <v>0</v>
      </c>
      <c r="M121" s="46">
        <f t="shared" si="64"/>
        <v>0</v>
      </c>
      <c r="N121" s="46">
        <f t="shared" si="64"/>
        <v>0</v>
      </c>
      <c r="O121" s="47">
        <f t="shared" si="64"/>
        <v>0</v>
      </c>
      <c r="P121" s="48">
        <f t="shared" si="65"/>
        <v>0</v>
      </c>
      <c r="Q121" s="35" t="str">
        <f t="shared" si="63"/>
        <v>-</v>
      </c>
    </row>
    <row r="122" spans="1:22" ht="17.25" customHeight="1">
      <c r="A122" s="969" t="s">
        <v>81</v>
      </c>
      <c r="B122" s="401">
        <f t="shared" ref="B122" si="68">+B76-B99</f>
        <v>0</v>
      </c>
      <c r="C122" s="401">
        <f t="shared" si="64"/>
        <v>0</v>
      </c>
      <c r="D122" s="970">
        <f t="shared" si="64"/>
        <v>0</v>
      </c>
      <c r="E122" s="971">
        <f t="shared" si="64"/>
        <v>0</v>
      </c>
      <c r="F122" s="971">
        <f t="shared" si="64"/>
        <v>0</v>
      </c>
      <c r="G122" s="971">
        <f t="shared" si="64"/>
        <v>0</v>
      </c>
      <c r="H122" s="971">
        <f t="shared" si="64"/>
        <v>0</v>
      </c>
      <c r="I122" s="971">
        <f t="shared" si="64"/>
        <v>0</v>
      </c>
      <c r="J122" s="971">
        <f t="shared" si="64"/>
        <v>0</v>
      </c>
      <c r="K122" s="971">
        <f t="shared" si="64"/>
        <v>0</v>
      </c>
      <c r="L122" s="971">
        <f t="shared" si="64"/>
        <v>0</v>
      </c>
      <c r="M122" s="971">
        <f t="shared" si="64"/>
        <v>0</v>
      </c>
      <c r="N122" s="971">
        <f t="shared" si="64"/>
        <v>0</v>
      </c>
      <c r="O122" s="972">
        <f t="shared" si="64"/>
        <v>0</v>
      </c>
      <c r="P122" s="56">
        <f t="shared" si="65"/>
        <v>0</v>
      </c>
      <c r="Q122" s="57" t="str">
        <f t="shared" si="63"/>
        <v>-</v>
      </c>
    </row>
    <row r="123" spans="1:22" ht="17.25" hidden="1" customHeight="1">
      <c r="A123" s="973" t="s">
        <v>82</v>
      </c>
      <c r="B123" s="1197">
        <f t="shared" ref="B123" si="69">+B77-B100</f>
        <v>0</v>
      </c>
      <c r="C123" s="1197">
        <f t="shared" si="64"/>
        <v>0</v>
      </c>
      <c r="D123" s="974">
        <f t="shared" si="64"/>
        <v>0</v>
      </c>
      <c r="E123" s="958">
        <f t="shared" si="64"/>
        <v>0</v>
      </c>
      <c r="F123" s="958">
        <f t="shared" si="64"/>
        <v>0</v>
      </c>
      <c r="G123" s="958">
        <f t="shared" si="64"/>
        <v>0</v>
      </c>
      <c r="H123" s="958">
        <f t="shared" si="64"/>
        <v>0</v>
      </c>
      <c r="I123" s="958">
        <f t="shared" si="64"/>
        <v>0</v>
      </c>
      <c r="J123" s="958">
        <f t="shared" si="64"/>
        <v>0</v>
      </c>
      <c r="K123" s="958">
        <f t="shared" si="64"/>
        <v>0</v>
      </c>
      <c r="L123" s="958">
        <f t="shared" si="64"/>
        <v>0</v>
      </c>
      <c r="M123" s="958">
        <f t="shared" si="64"/>
        <v>0</v>
      </c>
      <c r="N123" s="958">
        <f t="shared" si="64"/>
        <v>0</v>
      </c>
      <c r="O123" s="959">
        <f t="shared" si="64"/>
        <v>0</v>
      </c>
      <c r="P123" s="48">
        <f t="shared" si="65"/>
        <v>0</v>
      </c>
      <c r="Q123" s="35" t="str">
        <f t="shared" si="63"/>
        <v>-</v>
      </c>
    </row>
    <row r="124" spans="1:22" ht="17.25" customHeight="1">
      <c r="A124" s="969" t="s">
        <v>83</v>
      </c>
      <c r="B124" s="401">
        <f t="shared" ref="B124" si="70">+B78-B101</f>
        <v>0</v>
      </c>
      <c r="C124" s="401">
        <f t="shared" si="64"/>
        <v>0</v>
      </c>
      <c r="D124" s="970">
        <f t="shared" si="64"/>
        <v>0</v>
      </c>
      <c r="E124" s="971">
        <f t="shared" si="64"/>
        <v>0</v>
      </c>
      <c r="F124" s="971">
        <f t="shared" si="64"/>
        <v>0</v>
      </c>
      <c r="G124" s="971">
        <f t="shared" si="64"/>
        <v>0</v>
      </c>
      <c r="H124" s="971">
        <f t="shared" si="64"/>
        <v>0</v>
      </c>
      <c r="I124" s="971">
        <f t="shared" si="64"/>
        <v>0</v>
      </c>
      <c r="J124" s="971">
        <f t="shared" si="64"/>
        <v>0</v>
      </c>
      <c r="K124" s="971">
        <f t="shared" si="64"/>
        <v>0</v>
      </c>
      <c r="L124" s="971">
        <f t="shared" si="64"/>
        <v>0</v>
      </c>
      <c r="M124" s="971">
        <f t="shared" si="64"/>
        <v>0</v>
      </c>
      <c r="N124" s="971">
        <f t="shared" si="64"/>
        <v>0</v>
      </c>
      <c r="O124" s="972">
        <f t="shared" si="64"/>
        <v>0</v>
      </c>
      <c r="P124" s="56">
        <f t="shared" si="65"/>
        <v>0</v>
      </c>
      <c r="Q124" s="57" t="str">
        <f t="shared" si="63"/>
        <v>-</v>
      </c>
    </row>
    <row r="125" spans="1:22" ht="17.25" hidden="1" customHeight="1">
      <c r="A125" s="973" t="s">
        <v>84</v>
      </c>
      <c r="B125" s="1197">
        <f t="shared" ref="B125" si="71">+B79-B102</f>
        <v>0</v>
      </c>
      <c r="C125" s="1197">
        <f t="shared" si="64"/>
        <v>0</v>
      </c>
      <c r="D125" s="974">
        <f t="shared" si="64"/>
        <v>0</v>
      </c>
      <c r="E125" s="958">
        <f t="shared" si="64"/>
        <v>0</v>
      </c>
      <c r="F125" s="958">
        <f t="shared" si="64"/>
        <v>0</v>
      </c>
      <c r="G125" s="958">
        <f t="shared" si="64"/>
        <v>0</v>
      </c>
      <c r="H125" s="958">
        <f t="shared" si="64"/>
        <v>0</v>
      </c>
      <c r="I125" s="957">
        <f t="shared" si="64"/>
        <v>0</v>
      </c>
      <c r="J125" s="957">
        <f t="shared" si="64"/>
        <v>0</v>
      </c>
      <c r="K125" s="958">
        <f t="shared" si="64"/>
        <v>0</v>
      </c>
      <c r="L125" s="958">
        <f t="shared" si="64"/>
        <v>0</v>
      </c>
      <c r="M125" s="958">
        <f t="shared" si="64"/>
        <v>0</v>
      </c>
      <c r="N125" s="958">
        <f t="shared" si="64"/>
        <v>0</v>
      </c>
      <c r="O125" s="959">
        <f t="shared" si="64"/>
        <v>0</v>
      </c>
      <c r="P125" s="48">
        <f t="shared" si="65"/>
        <v>0</v>
      </c>
      <c r="Q125" s="35" t="str">
        <f t="shared" si="63"/>
        <v>-</v>
      </c>
      <c r="S125" s="353"/>
      <c r="T125" s="353"/>
      <c r="U125" s="353"/>
      <c r="V125" s="353"/>
    </row>
    <row r="126" spans="1:22" ht="17.25" customHeight="1" thickBot="1">
      <c r="A126" s="60" t="s">
        <v>18</v>
      </c>
      <c r="B126" s="1203">
        <f t="shared" ref="B126" si="72">SUM(B122:B125)</f>
        <v>0</v>
      </c>
      <c r="C126" s="1203">
        <f t="shared" ref="C126:P126" si="73">SUM(C122:C125)</f>
        <v>0</v>
      </c>
      <c r="D126" s="63">
        <f t="shared" si="73"/>
        <v>0</v>
      </c>
      <c r="E126" s="64">
        <f t="shared" si="73"/>
        <v>0</v>
      </c>
      <c r="F126" s="64">
        <f t="shared" si="73"/>
        <v>0</v>
      </c>
      <c r="G126" s="64">
        <f t="shared" si="73"/>
        <v>0</v>
      </c>
      <c r="H126" s="64">
        <f t="shared" si="73"/>
        <v>0</v>
      </c>
      <c r="I126" s="64">
        <f t="shared" si="73"/>
        <v>0</v>
      </c>
      <c r="J126" s="64">
        <f t="shared" si="73"/>
        <v>0</v>
      </c>
      <c r="K126" s="64">
        <f t="shared" si="73"/>
        <v>0</v>
      </c>
      <c r="L126" s="64">
        <f t="shared" si="73"/>
        <v>0</v>
      </c>
      <c r="M126" s="64">
        <f t="shared" si="73"/>
        <v>0</v>
      </c>
      <c r="N126" s="64">
        <f t="shared" si="73"/>
        <v>0</v>
      </c>
      <c r="O126" s="62">
        <f t="shared" si="73"/>
        <v>0</v>
      </c>
      <c r="P126" s="61">
        <f t="shared" si="73"/>
        <v>0</v>
      </c>
      <c r="Q126" s="87" t="str">
        <f t="shared" si="63"/>
        <v>-</v>
      </c>
    </row>
    <row r="127" spans="1:22" ht="17.25" customHeight="1" thickBot="1">
      <c r="A127" s="13" t="s">
        <v>29</v>
      </c>
      <c r="B127" s="1204">
        <f t="shared" ref="B127" si="74">+B81-B104</f>
        <v>0</v>
      </c>
      <c r="C127" s="1204">
        <f t="shared" si="64"/>
        <v>0</v>
      </c>
      <c r="D127" s="68">
        <f t="shared" si="64"/>
        <v>0</v>
      </c>
      <c r="E127" s="69">
        <f t="shared" si="64"/>
        <v>0</v>
      </c>
      <c r="F127" s="69">
        <f t="shared" si="64"/>
        <v>0</v>
      </c>
      <c r="G127" s="69">
        <f t="shared" si="64"/>
        <v>0</v>
      </c>
      <c r="H127" s="69">
        <f t="shared" si="64"/>
        <v>0</v>
      </c>
      <c r="I127" s="69">
        <f t="shared" si="64"/>
        <v>0</v>
      </c>
      <c r="J127" s="69">
        <f t="shared" si="64"/>
        <v>0</v>
      </c>
      <c r="K127" s="69">
        <f t="shared" si="64"/>
        <v>0</v>
      </c>
      <c r="L127" s="69">
        <f t="shared" si="64"/>
        <v>0</v>
      </c>
      <c r="M127" s="69">
        <f t="shared" si="64"/>
        <v>0</v>
      </c>
      <c r="N127" s="69">
        <f t="shared" si="64"/>
        <v>0</v>
      </c>
      <c r="O127" s="70">
        <f t="shared" si="64"/>
        <v>0</v>
      </c>
      <c r="P127" s="66">
        <f>SUM(P128:P129)</f>
        <v>0</v>
      </c>
      <c r="Q127" s="71" t="str">
        <f t="shared" si="63"/>
        <v>-</v>
      </c>
    </row>
    <row r="128" spans="1:22" ht="17.25" customHeight="1">
      <c r="A128" s="72" t="s">
        <v>19</v>
      </c>
      <c r="B128" s="424">
        <f t="shared" ref="B128" si="75">+B82-B105</f>
        <v>0</v>
      </c>
      <c r="C128" s="424">
        <f t="shared" si="64"/>
        <v>0</v>
      </c>
      <c r="D128" s="75">
        <f t="shared" si="64"/>
        <v>0</v>
      </c>
      <c r="E128" s="76">
        <f t="shared" si="64"/>
        <v>0</v>
      </c>
      <c r="F128" s="76">
        <f t="shared" si="64"/>
        <v>0</v>
      </c>
      <c r="G128" s="76">
        <f t="shared" si="64"/>
        <v>0</v>
      </c>
      <c r="H128" s="76">
        <f t="shared" si="64"/>
        <v>0</v>
      </c>
      <c r="I128" s="76">
        <f t="shared" si="64"/>
        <v>0</v>
      </c>
      <c r="J128" s="76">
        <f t="shared" si="64"/>
        <v>0</v>
      </c>
      <c r="K128" s="76">
        <f t="shared" si="64"/>
        <v>0</v>
      </c>
      <c r="L128" s="76">
        <f t="shared" si="64"/>
        <v>0</v>
      </c>
      <c r="M128" s="76">
        <f t="shared" si="64"/>
        <v>0</v>
      </c>
      <c r="N128" s="76">
        <f t="shared" si="64"/>
        <v>0</v>
      </c>
      <c r="O128" s="77">
        <f t="shared" si="64"/>
        <v>0</v>
      </c>
      <c r="P128" s="78">
        <f>SUM(D128:O128)</f>
        <v>0</v>
      </c>
      <c r="Q128" s="79" t="str">
        <f t="shared" si="63"/>
        <v>-</v>
      </c>
    </row>
    <row r="129" spans="1:22" ht="17.25" customHeight="1" thickBot="1">
      <c r="A129" s="80" t="s">
        <v>20</v>
      </c>
      <c r="B129" s="432">
        <f t="shared" ref="B129" si="76">+B83-B106</f>
        <v>0</v>
      </c>
      <c r="C129" s="432">
        <f t="shared" si="64"/>
        <v>0</v>
      </c>
      <c r="D129" s="83">
        <f t="shared" si="64"/>
        <v>0</v>
      </c>
      <c r="E129" s="84">
        <f t="shared" si="64"/>
        <v>0</v>
      </c>
      <c r="F129" s="84">
        <f t="shared" si="64"/>
        <v>0</v>
      </c>
      <c r="G129" s="84">
        <f t="shared" si="64"/>
        <v>0</v>
      </c>
      <c r="H129" s="84">
        <f t="shared" si="64"/>
        <v>0</v>
      </c>
      <c r="I129" s="84">
        <f t="shared" si="64"/>
        <v>0</v>
      </c>
      <c r="J129" s="84">
        <f t="shared" si="64"/>
        <v>0</v>
      </c>
      <c r="K129" s="84">
        <f t="shared" si="64"/>
        <v>0</v>
      </c>
      <c r="L129" s="84">
        <f t="shared" si="64"/>
        <v>0</v>
      </c>
      <c r="M129" s="84">
        <f t="shared" si="64"/>
        <v>0</v>
      </c>
      <c r="N129" s="84">
        <f t="shared" si="64"/>
        <v>0</v>
      </c>
      <c r="O129" s="85">
        <f t="shared" si="64"/>
        <v>0</v>
      </c>
      <c r="P129" s="86">
        <f>SUM(D129:O129)</f>
        <v>0</v>
      </c>
      <c r="Q129" s="87" t="str">
        <f t="shared" si="63"/>
        <v>-</v>
      </c>
    </row>
    <row r="130" spans="1:22" ht="17.25" customHeight="1" thickBot="1">
      <c r="A130" s="13" t="s">
        <v>30</v>
      </c>
      <c r="B130" s="1204">
        <f t="shared" ref="B130" si="77">SUM(B131:B132)</f>
        <v>4.8303570049999994E-2</v>
      </c>
      <c r="C130" s="1204">
        <f t="shared" ref="C130:P130" si="78">SUM(C131:C132)</f>
        <v>0</v>
      </c>
      <c r="D130" s="68">
        <f t="shared" si="78"/>
        <v>0</v>
      </c>
      <c r="E130" s="69">
        <f t="shared" si="78"/>
        <v>0</v>
      </c>
      <c r="F130" s="69">
        <f t="shared" si="78"/>
        <v>0</v>
      </c>
      <c r="G130" s="69">
        <f t="shared" si="78"/>
        <v>0</v>
      </c>
      <c r="H130" s="69">
        <f t="shared" si="78"/>
        <v>0</v>
      </c>
      <c r="I130" s="69">
        <f t="shared" si="78"/>
        <v>0</v>
      </c>
      <c r="J130" s="69">
        <f t="shared" si="78"/>
        <v>0</v>
      </c>
      <c r="K130" s="69">
        <f t="shared" si="78"/>
        <v>0</v>
      </c>
      <c r="L130" s="69">
        <f t="shared" si="78"/>
        <v>0</v>
      </c>
      <c r="M130" s="69">
        <f t="shared" si="78"/>
        <v>0</v>
      </c>
      <c r="N130" s="69">
        <f t="shared" si="78"/>
        <v>0</v>
      </c>
      <c r="O130" s="70">
        <f t="shared" si="78"/>
        <v>0</v>
      </c>
      <c r="P130" s="66">
        <f t="shared" si="78"/>
        <v>0</v>
      </c>
      <c r="Q130" s="71" t="str">
        <f t="shared" si="63"/>
        <v>-</v>
      </c>
    </row>
    <row r="131" spans="1:22" ht="17.25" customHeight="1">
      <c r="A131" s="72" t="s">
        <v>106</v>
      </c>
      <c r="B131" s="424">
        <f t="shared" ref="B131" si="79">+B85-B108</f>
        <v>4.8303570049999994E-2</v>
      </c>
      <c r="C131" s="424">
        <f t="shared" ref="C131:O131" si="80">+C85-C108</f>
        <v>0</v>
      </c>
      <c r="D131" s="75">
        <f t="shared" si="80"/>
        <v>0</v>
      </c>
      <c r="E131" s="76">
        <f t="shared" si="80"/>
        <v>0</v>
      </c>
      <c r="F131" s="76">
        <f t="shared" si="80"/>
        <v>0</v>
      </c>
      <c r="G131" s="76">
        <f t="shared" si="80"/>
        <v>0</v>
      </c>
      <c r="H131" s="76">
        <f t="shared" si="80"/>
        <v>0</v>
      </c>
      <c r="I131" s="76">
        <f t="shared" si="80"/>
        <v>0</v>
      </c>
      <c r="J131" s="76">
        <f t="shared" si="80"/>
        <v>0</v>
      </c>
      <c r="K131" s="76">
        <f t="shared" si="80"/>
        <v>0</v>
      </c>
      <c r="L131" s="76">
        <f t="shared" si="80"/>
        <v>0</v>
      </c>
      <c r="M131" s="76">
        <f t="shared" si="80"/>
        <v>0</v>
      </c>
      <c r="N131" s="76">
        <f t="shared" si="80"/>
        <v>0</v>
      </c>
      <c r="O131" s="77">
        <f t="shared" si="80"/>
        <v>0</v>
      </c>
      <c r="P131" s="78">
        <f>SUM(D131:O131)</f>
        <v>0</v>
      </c>
      <c r="Q131" s="79" t="str">
        <f t="shared" si="63"/>
        <v>-</v>
      </c>
    </row>
    <row r="132" spans="1:22" ht="17.25" customHeight="1" thickBot="1">
      <c r="A132" s="122" t="s">
        <v>105</v>
      </c>
      <c r="B132" s="440">
        <f t="shared" ref="B132" si="81">+B86-B109</f>
        <v>0</v>
      </c>
      <c r="C132" s="440">
        <f t="shared" ref="C132:O132" si="82">+C86-C109</f>
        <v>0</v>
      </c>
      <c r="D132" s="125">
        <f t="shared" si="82"/>
        <v>0</v>
      </c>
      <c r="E132" s="126">
        <f t="shared" si="82"/>
        <v>0</v>
      </c>
      <c r="F132" s="126">
        <f t="shared" si="82"/>
        <v>0</v>
      </c>
      <c r="G132" s="126">
        <f t="shared" si="82"/>
        <v>0</v>
      </c>
      <c r="H132" s="126">
        <f t="shared" si="82"/>
        <v>0</v>
      </c>
      <c r="I132" s="126">
        <f t="shared" si="82"/>
        <v>0</v>
      </c>
      <c r="J132" s="126">
        <f t="shared" si="82"/>
        <v>0</v>
      </c>
      <c r="K132" s="126">
        <f t="shared" si="82"/>
        <v>0</v>
      </c>
      <c r="L132" s="126">
        <f t="shared" si="82"/>
        <v>0</v>
      </c>
      <c r="M132" s="126">
        <f t="shared" si="82"/>
        <v>0</v>
      </c>
      <c r="N132" s="126">
        <f t="shared" si="82"/>
        <v>0</v>
      </c>
      <c r="O132" s="127">
        <f t="shared" si="82"/>
        <v>0</v>
      </c>
      <c r="P132" s="128">
        <f>SUM(D132:O132)</f>
        <v>0</v>
      </c>
      <c r="Q132" s="129" t="str">
        <f t="shared" si="63"/>
        <v>-</v>
      </c>
    </row>
    <row r="133" spans="1:22" ht="17.25" customHeight="1" thickBot="1">
      <c r="B133" s="353"/>
      <c r="C133" s="353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9"/>
    </row>
    <row r="134" spans="1:22" ht="17.25" customHeight="1" thickBot="1">
      <c r="A134" s="13" t="s">
        <v>86</v>
      </c>
      <c r="B134" s="1202">
        <f t="shared" ref="B134" si="83">+B88-B111</f>
        <v>0</v>
      </c>
      <c r="C134" s="1202">
        <f t="shared" ref="C134:O134" si="84">+C88-C111</f>
        <v>0</v>
      </c>
      <c r="D134" s="16">
        <f t="shared" si="84"/>
        <v>0</v>
      </c>
      <c r="E134" s="17">
        <f t="shared" si="84"/>
        <v>0</v>
      </c>
      <c r="F134" s="17">
        <f t="shared" si="84"/>
        <v>0</v>
      </c>
      <c r="G134" s="17">
        <f t="shared" si="84"/>
        <v>0</v>
      </c>
      <c r="H134" s="17">
        <f t="shared" si="84"/>
        <v>0</v>
      </c>
      <c r="I134" s="17">
        <f t="shared" si="84"/>
        <v>0</v>
      </c>
      <c r="J134" s="17">
        <f t="shared" si="84"/>
        <v>0</v>
      </c>
      <c r="K134" s="17">
        <f t="shared" si="84"/>
        <v>0</v>
      </c>
      <c r="L134" s="17">
        <f t="shared" si="84"/>
        <v>0</v>
      </c>
      <c r="M134" s="17">
        <f t="shared" si="84"/>
        <v>0</v>
      </c>
      <c r="N134" s="17">
        <f t="shared" si="84"/>
        <v>0</v>
      </c>
      <c r="O134" s="120">
        <f t="shared" si="84"/>
        <v>0</v>
      </c>
      <c r="P134" s="14">
        <f>SUM(D134:O134)</f>
        <v>0</v>
      </c>
      <c r="Q134" s="18" t="str">
        <f>IF(P134=0,"-",P134/C134-1)</f>
        <v>-</v>
      </c>
    </row>
    <row r="135" spans="1:22" s="93" customFormat="1" ht="17.25" customHeight="1" thickBot="1">
      <c r="A135" s="90"/>
      <c r="B135" s="1205"/>
      <c r="C135" s="1205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2"/>
      <c r="S135" s="454"/>
      <c r="T135" s="454"/>
      <c r="U135" s="454"/>
      <c r="V135" s="454"/>
    </row>
    <row r="136" spans="1:22" s="93" customFormat="1" ht="17.25" customHeight="1" thickBot="1">
      <c r="A136" s="13" t="s">
        <v>36</v>
      </c>
      <c r="B136" s="1202">
        <f>+B117+B127+B130+B134</f>
        <v>4.8303570049999994E-2</v>
      </c>
      <c r="C136" s="1202">
        <f>+C117+C127+C130+C134</f>
        <v>0</v>
      </c>
      <c r="D136" s="16">
        <f t="shared" ref="D136:P136" si="85">+D117+D127+D130+D134</f>
        <v>0</v>
      </c>
      <c r="E136" s="17">
        <f t="shared" si="85"/>
        <v>0</v>
      </c>
      <c r="F136" s="17">
        <f t="shared" si="85"/>
        <v>0</v>
      </c>
      <c r="G136" s="17">
        <f t="shared" si="85"/>
        <v>0</v>
      </c>
      <c r="H136" s="17">
        <f t="shared" si="85"/>
        <v>0</v>
      </c>
      <c r="I136" s="17">
        <f t="shared" si="85"/>
        <v>0</v>
      </c>
      <c r="J136" s="17">
        <f t="shared" si="85"/>
        <v>0</v>
      </c>
      <c r="K136" s="17">
        <f t="shared" si="85"/>
        <v>0</v>
      </c>
      <c r="L136" s="17">
        <f t="shared" si="85"/>
        <v>0</v>
      </c>
      <c r="M136" s="17">
        <f t="shared" si="85"/>
        <v>0</v>
      </c>
      <c r="N136" s="17">
        <f t="shared" si="85"/>
        <v>0</v>
      </c>
      <c r="O136" s="15">
        <f t="shared" si="85"/>
        <v>0</v>
      </c>
      <c r="P136" s="14">
        <f t="shared" si="85"/>
        <v>0</v>
      </c>
      <c r="Q136" s="18" t="str">
        <f>IF(P136=0,"-",P136/C136-1)</f>
        <v>-</v>
      </c>
      <c r="S136" s="454"/>
      <c r="T136" s="454"/>
      <c r="U136" s="454"/>
      <c r="V136" s="454"/>
    </row>
    <row r="137" spans="1:22" ht="17.25" customHeight="1" thickBot="1"/>
    <row r="138" spans="1:22" ht="26.25" customHeight="1">
      <c r="A138" s="5"/>
      <c r="B138" s="2355" t="s">
        <v>649</v>
      </c>
      <c r="C138" s="2355" t="s">
        <v>647</v>
      </c>
      <c r="D138" s="2359" t="s">
        <v>653</v>
      </c>
      <c r="E138" s="2360"/>
      <c r="F138" s="2360"/>
      <c r="G138" s="2360"/>
      <c r="H138" s="2360"/>
      <c r="I138" s="2360"/>
      <c r="J138" s="2360"/>
      <c r="K138" s="2360"/>
      <c r="L138" s="2360"/>
      <c r="M138" s="2360"/>
      <c r="N138" s="2360"/>
      <c r="O138" s="2360"/>
      <c r="P138" s="2361"/>
      <c r="Q138" s="937" t="s">
        <v>638</v>
      </c>
      <c r="R138" s="249"/>
    </row>
    <row r="139" spans="1:22" ht="26.25" customHeight="1" thickBot="1">
      <c r="A139" s="7"/>
      <c r="B139" s="2356"/>
      <c r="C139" s="2356"/>
      <c r="D139" s="9" t="s">
        <v>1</v>
      </c>
      <c r="E139" s="10" t="s">
        <v>2</v>
      </c>
      <c r="F139" s="10" t="s">
        <v>3</v>
      </c>
      <c r="G139" s="10" t="s">
        <v>4</v>
      </c>
      <c r="H139" s="10" t="s">
        <v>5</v>
      </c>
      <c r="I139" s="10" t="s">
        <v>6</v>
      </c>
      <c r="J139" s="10" t="s">
        <v>7</v>
      </c>
      <c r="K139" s="10" t="s">
        <v>8</v>
      </c>
      <c r="L139" s="10" t="s">
        <v>9</v>
      </c>
      <c r="M139" s="10" t="s">
        <v>10</v>
      </c>
      <c r="N139" s="10" t="s">
        <v>11</v>
      </c>
      <c r="O139" s="10" t="s">
        <v>12</v>
      </c>
      <c r="P139" s="10" t="s">
        <v>13</v>
      </c>
      <c r="Q139" s="941" t="s">
        <v>619</v>
      </c>
      <c r="R139" s="249"/>
    </row>
    <row r="140" spans="1:22" ht="17.25" customHeight="1" thickBot="1">
      <c r="A140" s="13" t="s">
        <v>37</v>
      </c>
      <c r="B140" s="1041">
        <f>SUM(B141:B173)</f>
        <v>0</v>
      </c>
      <c r="C140" s="2256">
        <f>(B140/10)*12</f>
        <v>0</v>
      </c>
      <c r="D140" s="68">
        <f>SUM(D141:D173)</f>
        <v>0</v>
      </c>
      <c r="E140" s="68">
        <f t="shared" ref="E140:P140" si="86">SUM(E141:E173)</f>
        <v>0</v>
      </c>
      <c r="F140" s="68">
        <f t="shared" si="86"/>
        <v>0</v>
      </c>
      <c r="G140" s="68">
        <f t="shared" si="86"/>
        <v>0</v>
      </c>
      <c r="H140" s="68">
        <f t="shared" si="86"/>
        <v>0</v>
      </c>
      <c r="I140" s="68">
        <f t="shared" si="86"/>
        <v>0</v>
      </c>
      <c r="J140" s="68">
        <f t="shared" si="86"/>
        <v>0</v>
      </c>
      <c r="K140" s="68">
        <f t="shared" si="86"/>
        <v>0</v>
      </c>
      <c r="L140" s="68">
        <f t="shared" si="86"/>
        <v>0</v>
      </c>
      <c r="M140" s="68">
        <f t="shared" si="86"/>
        <v>0</v>
      </c>
      <c r="N140" s="68">
        <f t="shared" si="86"/>
        <v>0</v>
      </c>
      <c r="O140" s="68">
        <f t="shared" si="86"/>
        <v>0</v>
      </c>
      <c r="P140" s="68">
        <f t="shared" si="86"/>
        <v>0</v>
      </c>
      <c r="Q140" s="71" t="str">
        <f t="shared" ref="Q140:Q173" si="87">IF(P140=0,"-",P140/C140-1)</f>
        <v>-</v>
      </c>
      <c r="R140" s="249">
        <f>+P140+'Genel Yönetim Giderleri'!Q4</f>
        <v>0</v>
      </c>
      <c r="S140" s="1884"/>
      <c r="T140" s="1884"/>
      <c r="U140" s="1884"/>
    </row>
    <row r="141" spans="1:22" ht="17.25" customHeight="1">
      <c r="A141" s="102" t="s">
        <v>38</v>
      </c>
      <c r="B141" s="1040">
        <f>'Pazarlama&amp;Satış(d+a) GMY+MDR'!B5+'MADENİ YAĞ GİDER BÜTÇESİ'!B5</f>
        <v>0</v>
      </c>
      <c r="C141" s="2255">
        <f t="shared" ref="C141" si="88">(B141/10)*12</f>
        <v>0</v>
      </c>
      <c r="D141" s="260">
        <f>'Pazarlama&amp;Satış(d+a) GMY+MDR'!D5+'MADENİ YAĞ GİDER BÜTÇESİ'!D5</f>
        <v>0</v>
      </c>
      <c r="E141" s="261">
        <f>'Pazarlama&amp;Satış(d+a) GMY+MDR'!E5+'MADENİ YAĞ GİDER BÜTÇESİ'!E5</f>
        <v>0</v>
      </c>
      <c r="F141" s="261">
        <f>'Pazarlama&amp;Satış(d+a) GMY+MDR'!F5+'MADENİ YAĞ GİDER BÜTÇESİ'!F5</f>
        <v>0</v>
      </c>
      <c r="G141" s="261">
        <f>'Pazarlama&amp;Satış(d+a) GMY+MDR'!G5+'MADENİ YAĞ GİDER BÜTÇESİ'!G5</f>
        <v>0</v>
      </c>
      <c r="H141" s="261">
        <f>'Pazarlama&amp;Satış(d+a) GMY+MDR'!H5+'MADENİ YAĞ GİDER BÜTÇESİ'!H5</f>
        <v>0</v>
      </c>
      <c r="I141" s="261">
        <f>'Pazarlama&amp;Satış(d+a) GMY+MDR'!I5+'MADENİ YAĞ GİDER BÜTÇESİ'!I5</f>
        <v>0</v>
      </c>
      <c r="J141" s="261">
        <f>'Pazarlama&amp;Satış(d+a) GMY+MDR'!J5+'MADENİ YAĞ GİDER BÜTÇESİ'!J5</f>
        <v>0</v>
      </c>
      <c r="K141" s="261">
        <f>'Pazarlama&amp;Satış(d+a) GMY+MDR'!K5+'MADENİ YAĞ GİDER BÜTÇESİ'!K5</f>
        <v>0</v>
      </c>
      <c r="L141" s="261">
        <f>'Pazarlama&amp;Satış(d+a) GMY+MDR'!L5+'MADENİ YAĞ GİDER BÜTÇESİ'!L5</f>
        <v>0</v>
      </c>
      <c r="M141" s="261">
        <f>'Pazarlama&amp;Satış(d+a) GMY+MDR'!M5+'MADENİ YAĞ GİDER BÜTÇESİ'!M5</f>
        <v>0</v>
      </c>
      <c r="N141" s="261">
        <f>'Pazarlama&amp;Satış(d+a) GMY+MDR'!N5+'MADENİ YAĞ GİDER BÜTÇESİ'!N5</f>
        <v>0</v>
      </c>
      <c r="O141" s="261">
        <f>'Pazarlama&amp;Satış(d+a) GMY+MDR'!O5+'MADENİ YAĞ GİDER BÜTÇESİ'!O5</f>
        <v>0</v>
      </c>
      <c r="P141" s="261">
        <f t="shared" ref="P141:P173" si="89">SUM(D141:O141)</f>
        <v>0</v>
      </c>
      <c r="Q141" s="229" t="str">
        <f t="shared" si="87"/>
        <v>-</v>
      </c>
      <c r="R141" s="249"/>
      <c r="S141" s="1884"/>
      <c r="T141" s="1884"/>
      <c r="U141" s="1884"/>
    </row>
    <row r="142" spans="1:22" ht="17.25" customHeight="1">
      <c r="A142" s="111" t="s">
        <v>39</v>
      </c>
      <c r="B142" s="1041">
        <f>'Pazarlama&amp;Satış(d+a) GMY+MDR'!B6+'MADENİ YAĞ GİDER BÜTÇESİ'!B6</f>
        <v>0</v>
      </c>
      <c r="C142" s="2256">
        <f>(B142/9)*12</f>
        <v>0</v>
      </c>
      <c r="D142" s="263">
        <f>'Pazarlama&amp;Satış(d+a) GMY+MDR'!D6+'MADENİ YAĞ GİDER BÜTÇESİ'!D6</f>
        <v>0</v>
      </c>
      <c r="E142" s="263">
        <f>'Pazarlama&amp;Satış(d+a) GMY+MDR'!E6+'MADENİ YAĞ GİDER BÜTÇESİ'!E6</f>
        <v>0</v>
      </c>
      <c r="F142" s="263">
        <f>'Pazarlama&amp;Satış(d+a) GMY+MDR'!F6+'MADENİ YAĞ GİDER BÜTÇESİ'!F6</f>
        <v>0</v>
      </c>
      <c r="G142" s="263">
        <f>'Pazarlama&amp;Satış(d+a) GMY+MDR'!G6+'MADENİ YAĞ GİDER BÜTÇESİ'!G6</f>
        <v>0</v>
      </c>
      <c r="H142" s="263">
        <f>'Pazarlama&amp;Satış(d+a) GMY+MDR'!H6+'MADENİ YAĞ GİDER BÜTÇESİ'!H6</f>
        <v>0</v>
      </c>
      <c r="I142" s="263">
        <f>'Pazarlama&amp;Satış(d+a) GMY+MDR'!I6+'MADENİ YAĞ GİDER BÜTÇESİ'!I6</f>
        <v>0</v>
      </c>
      <c r="J142" s="263">
        <f>'Pazarlama&amp;Satış(d+a) GMY+MDR'!J6+'MADENİ YAĞ GİDER BÜTÇESİ'!J6</f>
        <v>0</v>
      </c>
      <c r="K142" s="263">
        <f>'Pazarlama&amp;Satış(d+a) GMY+MDR'!K6+'MADENİ YAĞ GİDER BÜTÇESİ'!K6</f>
        <v>0</v>
      </c>
      <c r="L142" s="263">
        <f>'Pazarlama&amp;Satış(d+a) GMY+MDR'!L6+'MADENİ YAĞ GİDER BÜTÇESİ'!L6</f>
        <v>0</v>
      </c>
      <c r="M142" s="263">
        <f>'Pazarlama&amp;Satış(d+a) GMY+MDR'!M6+'MADENİ YAĞ GİDER BÜTÇESİ'!M6</f>
        <v>0</v>
      </c>
      <c r="N142" s="263">
        <f>'Pazarlama&amp;Satış(d+a) GMY+MDR'!N6+'MADENİ YAĞ GİDER BÜTÇESİ'!N6</f>
        <v>0</v>
      </c>
      <c r="O142" s="263">
        <f>'Pazarlama&amp;Satış(d+a) GMY+MDR'!O6+'MADENİ YAĞ GİDER BÜTÇESİ'!O6</f>
        <v>0</v>
      </c>
      <c r="P142" s="263">
        <f t="shared" si="89"/>
        <v>0</v>
      </c>
      <c r="Q142" s="230" t="str">
        <f t="shared" si="87"/>
        <v>-</v>
      </c>
      <c r="R142" s="249"/>
      <c r="S142" s="1884"/>
      <c r="T142" s="1884"/>
      <c r="U142" s="1884"/>
    </row>
    <row r="143" spans="1:22" ht="17.25" customHeight="1">
      <c r="A143" s="95" t="s">
        <v>562</v>
      </c>
      <c r="B143" s="1040">
        <f>'Pazarlama&amp;Satış(d+a) GMY+MDR'!B7+'MADENİ YAĞ GİDER BÜTÇESİ'!B7</f>
        <v>0</v>
      </c>
      <c r="C143" s="2255">
        <f t="shared" ref="C143:C173" si="90">(B143/9)*12</f>
        <v>0</v>
      </c>
      <c r="D143" s="260">
        <f>'Pazarlama&amp;Satış(d+a) GMY+MDR'!D7+'MADENİ YAĞ GİDER BÜTÇESİ'!D7</f>
        <v>0</v>
      </c>
      <c r="E143" s="261">
        <f>'Pazarlama&amp;Satış(d+a) GMY+MDR'!E7+'MADENİ YAĞ GİDER BÜTÇESİ'!E7</f>
        <v>0</v>
      </c>
      <c r="F143" s="261">
        <f>'Pazarlama&amp;Satış(d+a) GMY+MDR'!F7+'MADENİ YAĞ GİDER BÜTÇESİ'!F7</f>
        <v>0</v>
      </c>
      <c r="G143" s="261">
        <f>'Pazarlama&amp;Satış(d+a) GMY+MDR'!G7+'MADENİ YAĞ GİDER BÜTÇESİ'!G7</f>
        <v>0</v>
      </c>
      <c r="H143" s="261">
        <f>'Pazarlama&amp;Satış(d+a) GMY+MDR'!H7+'MADENİ YAĞ GİDER BÜTÇESİ'!H7</f>
        <v>0</v>
      </c>
      <c r="I143" s="261">
        <f>'Pazarlama&amp;Satış(d+a) GMY+MDR'!I7+'MADENİ YAĞ GİDER BÜTÇESİ'!I7</f>
        <v>0</v>
      </c>
      <c r="J143" s="261">
        <f>'Pazarlama&amp;Satış(d+a) GMY+MDR'!J7+'MADENİ YAĞ GİDER BÜTÇESİ'!J7</f>
        <v>0</v>
      </c>
      <c r="K143" s="261">
        <f>'Pazarlama&amp;Satış(d+a) GMY+MDR'!K7+'MADENİ YAĞ GİDER BÜTÇESİ'!K7</f>
        <v>0</v>
      </c>
      <c r="L143" s="261">
        <f>'Pazarlama&amp;Satış(d+a) GMY+MDR'!L7+'MADENİ YAĞ GİDER BÜTÇESİ'!L7</f>
        <v>0</v>
      </c>
      <c r="M143" s="261">
        <f>'Pazarlama&amp;Satış(d+a) GMY+MDR'!M7+'MADENİ YAĞ GİDER BÜTÇESİ'!M7</f>
        <v>0</v>
      </c>
      <c r="N143" s="261">
        <f>'Pazarlama&amp;Satış(d+a) GMY+MDR'!N7+'MADENİ YAĞ GİDER BÜTÇESİ'!N7</f>
        <v>0</v>
      </c>
      <c r="O143" s="261">
        <f>'Pazarlama&amp;Satış(d+a) GMY+MDR'!O7+'MADENİ YAĞ GİDER BÜTÇESİ'!O7</f>
        <v>0</v>
      </c>
      <c r="P143" s="261">
        <f t="shared" si="89"/>
        <v>0</v>
      </c>
      <c r="Q143" s="231" t="str">
        <f t="shared" si="87"/>
        <v>-</v>
      </c>
      <c r="R143" s="249"/>
      <c r="S143" s="1884"/>
      <c r="T143" s="1884"/>
      <c r="U143" s="1884"/>
    </row>
    <row r="144" spans="1:22" ht="17.25" customHeight="1">
      <c r="A144" s="111" t="s">
        <v>40</v>
      </c>
      <c r="B144" s="1041">
        <f>'Pazarlama&amp;Satış(d+a) GMY+MDR'!B8+'MADENİ YAĞ GİDER BÜTÇESİ'!B8</f>
        <v>0</v>
      </c>
      <c r="C144" s="2256">
        <f t="shared" si="90"/>
        <v>0</v>
      </c>
      <c r="D144" s="263">
        <f>'Pazarlama&amp;Satış(d+a) GMY+MDR'!D8+'MADENİ YAĞ GİDER BÜTÇESİ'!D8</f>
        <v>0</v>
      </c>
      <c r="E144" s="263">
        <f>'Pazarlama&amp;Satış(d+a) GMY+MDR'!E8+'MADENİ YAĞ GİDER BÜTÇESİ'!E8</f>
        <v>0</v>
      </c>
      <c r="F144" s="263">
        <f>'Pazarlama&amp;Satış(d+a) GMY+MDR'!F8+'MADENİ YAĞ GİDER BÜTÇESİ'!F8</f>
        <v>0</v>
      </c>
      <c r="G144" s="263">
        <f>'Pazarlama&amp;Satış(d+a) GMY+MDR'!G8+'MADENİ YAĞ GİDER BÜTÇESİ'!G8</f>
        <v>0</v>
      </c>
      <c r="H144" s="263">
        <f>'Pazarlama&amp;Satış(d+a) GMY+MDR'!H8+'MADENİ YAĞ GİDER BÜTÇESİ'!H8</f>
        <v>0</v>
      </c>
      <c r="I144" s="263">
        <f>'Pazarlama&amp;Satış(d+a) GMY+MDR'!I8+'MADENİ YAĞ GİDER BÜTÇESİ'!I8</f>
        <v>0</v>
      </c>
      <c r="J144" s="263">
        <f>'Pazarlama&amp;Satış(d+a) GMY+MDR'!J8+'MADENİ YAĞ GİDER BÜTÇESİ'!J8</f>
        <v>0</v>
      </c>
      <c r="K144" s="263">
        <f>'Pazarlama&amp;Satış(d+a) GMY+MDR'!K8+'MADENİ YAĞ GİDER BÜTÇESİ'!K8</f>
        <v>0</v>
      </c>
      <c r="L144" s="263">
        <f>'Pazarlama&amp;Satış(d+a) GMY+MDR'!L8+'MADENİ YAĞ GİDER BÜTÇESİ'!L8</f>
        <v>0</v>
      </c>
      <c r="M144" s="263">
        <f>'Pazarlama&amp;Satış(d+a) GMY+MDR'!M8+'MADENİ YAĞ GİDER BÜTÇESİ'!M8</f>
        <v>0</v>
      </c>
      <c r="N144" s="263">
        <f>'Pazarlama&amp;Satış(d+a) GMY+MDR'!N8+'MADENİ YAĞ GİDER BÜTÇESİ'!N8</f>
        <v>0</v>
      </c>
      <c r="O144" s="263">
        <f>'Pazarlama&amp;Satış(d+a) GMY+MDR'!O8+'MADENİ YAĞ GİDER BÜTÇESİ'!O8</f>
        <v>0</v>
      </c>
      <c r="P144" s="263">
        <f t="shared" si="89"/>
        <v>0</v>
      </c>
      <c r="Q144" s="230" t="str">
        <f t="shared" si="87"/>
        <v>-</v>
      </c>
      <c r="R144" s="249"/>
      <c r="S144" s="1884"/>
      <c r="T144" s="1884"/>
      <c r="U144" s="1884"/>
    </row>
    <row r="145" spans="1:21" ht="17.25" customHeight="1">
      <c r="A145" s="95" t="s">
        <v>41</v>
      </c>
      <c r="B145" s="1040">
        <f>'Pazarlama&amp;Satış(d+a) GMY+MDR'!B9+'MADENİ YAĞ GİDER BÜTÇESİ'!B9</f>
        <v>0</v>
      </c>
      <c r="C145" s="2255">
        <f t="shared" si="90"/>
        <v>0</v>
      </c>
      <c r="D145" s="260">
        <f>'Pazarlama&amp;Satış(d+a) GMY+MDR'!D9+'MADENİ YAĞ GİDER BÜTÇESİ'!D9</f>
        <v>0</v>
      </c>
      <c r="E145" s="261">
        <f>'Pazarlama&amp;Satış(d+a) GMY+MDR'!E9+'MADENİ YAĞ GİDER BÜTÇESİ'!E9</f>
        <v>0</v>
      </c>
      <c r="F145" s="261">
        <f>'Pazarlama&amp;Satış(d+a) GMY+MDR'!F9+'MADENİ YAĞ GİDER BÜTÇESİ'!F9</f>
        <v>0</v>
      </c>
      <c r="G145" s="261">
        <f>'Pazarlama&amp;Satış(d+a) GMY+MDR'!G9+'MADENİ YAĞ GİDER BÜTÇESİ'!G9</f>
        <v>0</v>
      </c>
      <c r="H145" s="261">
        <f>'Pazarlama&amp;Satış(d+a) GMY+MDR'!H9+'MADENİ YAĞ GİDER BÜTÇESİ'!H9</f>
        <v>0</v>
      </c>
      <c r="I145" s="261">
        <f>'Pazarlama&amp;Satış(d+a) GMY+MDR'!I9+'MADENİ YAĞ GİDER BÜTÇESİ'!I9</f>
        <v>0</v>
      </c>
      <c r="J145" s="261">
        <f>'Pazarlama&amp;Satış(d+a) GMY+MDR'!J9+'MADENİ YAĞ GİDER BÜTÇESİ'!J9</f>
        <v>0</v>
      </c>
      <c r="K145" s="261">
        <f>'Pazarlama&amp;Satış(d+a) GMY+MDR'!K9+'MADENİ YAĞ GİDER BÜTÇESİ'!K9</f>
        <v>0</v>
      </c>
      <c r="L145" s="261">
        <f>'Pazarlama&amp;Satış(d+a) GMY+MDR'!L9+'MADENİ YAĞ GİDER BÜTÇESİ'!L9</f>
        <v>0</v>
      </c>
      <c r="M145" s="261">
        <f>'Pazarlama&amp;Satış(d+a) GMY+MDR'!M9+'MADENİ YAĞ GİDER BÜTÇESİ'!M9</f>
        <v>0</v>
      </c>
      <c r="N145" s="261">
        <f>'Pazarlama&amp;Satış(d+a) GMY+MDR'!N9+'MADENİ YAĞ GİDER BÜTÇESİ'!N9</f>
        <v>0</v>
      </c>
      <c r="O145" s="261">
        <f>'Pazarlama&amp;Satış(d+a) GMY+MDR'!O9+'MADENİ YAĞ GİDER BÜTÇESİ'!O9</f>
        <v>0</v>
      </c>
      <c r="P145" s="261">
        <f t="shared" si="89"/>
        <v>0</v>
      </c>
      <c r="Q145" s="231" t="str">
        <f t="shared" si="87"/>
        <v>-</v>
      </c>
      <c r="R145" s="249"/>
      <c r="S145" s="1884"/>
      <c r="T145" s="1884"/>
      <c r="U145" s="1884"/>
    </row>
    <row r="146" spans="1:21" ht="17.25" customHeight="1">
      <c r="A146" s="111" t="s">
        <v>42</v>
      </c>
      <c r="B146" s="1041">
        <f>'Pazarlama&amp;Satış(d+a) GMY+MDR'!B10+'MADENİ YAĞ GİDER BÜTÇESİ'!B10</f>
        <v>0</v>
      </c>
      <c r="C146" s="2256">
        <f t="shared" si="90"/>
        <v>0</v>
      </c>
      <c r="D146" s="263">
        <f>'Pazarlama&amp;Satış(d+a) GMY+MDR'!D10+'MADENİ YAĞ GİDER BÜTÇESİ'!D10</f>
        <v>0</v>
      </c>
      <c r="E146" s="263">
        <f>'Pazarlama&amp;Satış(d+a) GMY+MDR'!E10+'MADENİ YAĞ GİDER BÜTÇESİ'!E10</f>
        <v>0</v>
      </c>
      <c r="F146" s="263">
        <f>'Pazarlama&amp;Satış(d+a) GMY+MDR'!F10+'MADENİ YAĞ GİDER BÜTÇESİ'!F10</f>
        <v>0</v>
      </c>
      <c r="G146" s="263">
        <f>'Pazarlama&amp;Satış(d+a) GMY+MDR'!G10+'MADENİ YAĞ GİDER BÜTÇESİ'!G10</f>
        <v>0</v>
      </c>
      <c r="H146" s="263">
        <f>'Pazarlama&amp;Satış(d+a) GMY+MDR'!H10+'MADENİ YAĞ GİDER BÜTÇESİ'!H10</f>
        <v>0</v>
      </c>
      <c r="I146" s="263">
        <f>'Pazarlama&amp;Satış(d+a) GMY+MDR'!I10+'MADENİ YAĞ GİDER BÜTÇESİ'!I10</f>
        <v>0</v>
      </c>
      <c r="J146" s="263">
        <f>'Pazarlama&amp;Satış(d+a) GMY+MDR'!J10+'MADENİ YAĞ GİDER BÜTÇESİ'!J10</f>
        <v>0</v>
      </c>
      <c r="K146" s="263">
        <f>'Pazarlama&amp;Satış(d+a) GMY+MDR'!K10+'MADENİ YAĞ GİDER BÜTÇESİ'!K10</f>
        <v>0</v>
      </c>
      <c r="L146" s="263">
        <f>'Pazarlama&amp;Satış(d+a) GMY+MDR'!L10+'MADENİ YAĞ GİDER BÜTÇESİ'!L10</f>
        <v>0</v>
      </c>
      <c r="M146" s="263">
        <f>'Pazarlama&amp;Satış(d+a) GMY+MDR'!M10+'MADENİ YAĞ GİDER BÜTÇESİ'!M10</f>
        <v>0</v>
      </c>
      <c r="N146" s="263">
        <f>'Pazarlama&amp;Satış(d+a) GMY+MDR'!N10+'MADENİ YAĞ GİDER BÜTÇESİ'!N10</f>
        <v>0</v>
      </c>
      <c r="O146" s="263">
        <f>'Pazarlama&amp;Satış(d+a) GMY+MDR'!O10+'MADENİ YAĞ GİDER BÜTÇESİ'!O10</f>
        <v>0</v>
      </c>
      <c r="P146" s="263">
        <f t="shared" si="89"/>
        <v>0</v>
      </c>
      <c r="Q146" s="230" t="str">
        <f t="shared" si="87"/>
        <v>-</v>
      </c>
      <c r="R146" s="249"/>
      <c r="S146" s="1884"/>
      <c r="T146" s="1884"/>
      <c r="U146" s="1884"/>
    </row>
    <row r="147" spans="1:21" ht="17.25" customHeight="1">
      <c r="A147" s="95" t="s">
        <v>43</v>
      </c>
      <c r="B147" s="1040">
        <f>'Pazarlama&amp;Satış(d+a) GMY+MDR'!B11+'MADENİ YAĞ GİDER BÜTÇESİ'!B11</f>
        <v>0</v>
      </c>
      <c r="C147" s="2255">
        <f t="shared" si="90"/>
        <v>0</v>
      </c>
      <c r="D147" s="260">
        <f>'Pazarlama&amp;Satış(d+a) GMY+MDR'!D11+'MADENİ YAĞ GİDER BÜTÇESİ'!D11</f>
        <v>0</v>
      </c>
      <c r="E147" s="261">
        <f>'Pazarlama&amp;Satış(d+a) GMY+MDR'!E11+'MADENİ YAĞ GİDER BÜTÇESİ'!E11</f>
        <v>0</v>
      </c>
      <c r="F147" s="261">
        <f>'Pazarlama&amp;Satış(d+a) GMY+MDR'!F11+'MADENİ YAĞ GİDER BÜTÇESİ'!F11</f>
        <v>0</v>
      </c>
      <c r="G147" s="261">
        <f>'Pazarlama&amp;Satış(d+a) GMY+MDR'!G11+'MADENİ YAĞ GİDER BÜTÇESİ'!G11</f>
        <v>0</v>
      </c>
      <c r="H147" s="261">
        <f>'Pazarlama&amp;Satış(d+a) GMY+MDR'!H11+'MADENİ YAĞ GİDER BÜTÇESİ'!H11</f>
        <v>0</v>
      </c>
      <c r="I147" s="261">
        <f>'Pazarlama&amp;Satış(d+a) GMY+MDR'!I11+'MADENİ YAĞ GİDER BÜTÇESİ'!I11</f>
        <v>0</v>
      </c>
      <c r="J147" s="261">
        <f>'Pazarlama&amp;Satış(d+a) GMY+MDR'!J11+'MADENİ YAĞ GİDER BÜTÇESİ'!J11</f>
        <v>0</v>
      </c>
      <c r="K147" s="261">
        <f>'Pazarlama&amp;Satış(d+a) GMY+MDR'!K11+'MADENİ YAĞ GİDER BÜTÇESİ'!K11</f>
        <v>0</v>
      </c>
      <c r="L147" s="261">
        <f>'Pazarlama&amp;Satış(d+a) GMY+MDR'!L11+'MADENİ YAĞ GİDER BÜTÇESİ'!L11</f>
        <v>0</v>
      </c>
      <c r="M147" s="261">
        <f>'Pazarlama&amp;Satış(d+a) GMY+MDR'!M11+'MADENİ YAĞ GİDER BÜTÇESİ'!M11</f>
        <v>0</v>
      </c>
      <c r="N147" s="261">
        <f>'Pazarlama&amp;Satış(d+a) GMY+MDR'!N11+'MADENİ YAĞ GİDER BÜTÇESİ'!N11</f>
        <v>0</v>
      </c>
      <c r="O147" s="261">
        <f>'Pazarlama&amp;Satış(d+a) GMY+MDR'!O11+'MADENİ YAĞ GİDER BÜTÇESİ'!O11</f>
        <v>0</v>
      </c>
      <c r="P147" s="261">
        <f t="shared" si="89"/>
        <v>0</v>
      </c>
      <c r="Q147" s="231" t="str">
        <f t="shared" si="87"/>
        <v>-</v>
      </c>
      <c r="R147" s="249"/>
      <c r="S147" s="1884"/>
      <c r="T147" s="1884"/>
      <c r="U147" s="1884"/>
    </row>
    <row r="148" spans="1:21" ht="17.25" customHeight="1">
      <c r="A148" s="111" t="s">
        <v>44</v>
      </c>
      <c r="B148" s="1041">
        <f>'Pazarlama&amp;Satış(d+a) GMY+MDR'!B12+'MADENİ YAĞ GİDER BÜTÇESİ'!B12</f>
        <v>0</v>
      </c>
      <c r="C148" s="2256">
        <f t="shared" si="90"/>
        <v>0</v>
      </c>
      <c r="D148" s="263">
        <f>'Pazarlama&amp;Satış(d+a) GMY+MDR'!D12+'MADENİ YAĞ GİDER BÜTÇESİ'!D12</f>
        <v>0</v>
      </c>
      <c r="E148" s="263">
        <f>'Pazarlama&amp;Satış(d+a) GMY+MDR'!E12+'MADENİ YAĞ GİDER BÜTÇESİ'!E12</f>
        <v>0</v>
      </c>
      <c r="F148" s="263">
        <f>'Pazarlama&amp;Satış(d+a) GMY+MDR'!F12+'MADENİ YAĞ GİDER BÜTÇESİ'!F12</f>
        <v>0</v>
      </c>
      <c r="G148" s="263">
        <f>'Pazarlama&amp;Satış(d+a) GMY+MDR'!G12+'MADENİ YAĞ GİDER BÜTÇESİ'!G12</f>
        <v>0</v>
      </c>
      <c r="H148" s="263">
        <f>'Pazarlama&amp;Satış(d+a) GMY+MDR'!H12+'MADENİ YAĞ GİDER BÜTÇESİ'!H12</f>
        <v>0</v>
      </c>
      <c r="I148" s="263">
        <f>'Pazarlama&amp;Satış(d+a) GMY+MDR'!I12+'MADENİ YAĞ GİDER BÜTÇESİ'!I12</f>
        <v>0</v>
      </c>
      <c r="J148" s="263">
        <f>'Pazarlama&amp;Satış(d+a) GMY+MDR'!J12+'MADENİ YAĞ GİDER BÜTÇESİ'!J12</f>
        <v>0</v>
      </c>
      <c r="K148" s="263">
        <f>'Pazarlama&amp;Satış(d+a) GMY+MDR'!K12+'MADENİ YAĞ GİDER BÜTÇESİ'!K12</f>
        <v>0</v>
      </c>
      <c r="L148" s="263">
        <f>'Pazarlama&amp;Satış(d+a) GMY+MDR'!L12+'MADENİ YAĞ GİDER BÜTÇESİ'!L12</f>
        <v>0</v>
      </c>
      <c r="M148" s="263">
        <f>'Pazarlama&amp;Satış(d+a) GMY+MDR'!M12+'MADENİ YAĞ GİDER BÜTÇESİ'!M12</f>
        <v>0</v>
      </c>
      <c r="N148" s="263">
        <f>'Pazarlama&amp;Satış(d+a) GMY+MDR'!N12+'MADENİ YAĞ GİDER BÜTÇESİ'!N12</f>
        <v>0</v>
      </c>
      <c r="O148" s="263">
        <f>'Pazarlama&amp;Satış(d+a) GMY+MDR'!O12+'MADENİ YAĞ GİDER BÜTÇESİ'!O12</f>
        <v>0</v>
      </c>
      <c r="P148" s="263">
        <f t="shared" si="89"/>
        <v>0</v>
      </c>
      <c r="Q148" s="230" t="str">
        <f t="shared" si="87"/>
        <v>-</v>
      </c>
      <c r="R148" s="249"/>
      <c r="S148" s="1884"/>
      <c r="T148" s="1884"/>
      <c r="U148" s="1884"/>
    </row>
    <row r="149" spans="1:21" ht="17.25" customHeight="1">
      <c r="A149" s="95" t="s">
        <v>45</v>
      </c>
      <c r="B149" s="1040">
        <f>'Pazarlama&amp;Satış(d+a) GMY+MDR'!B13+'MADENİ YAĞ GİDER BÜTÇESİ'!B13</f>
        <v>0</v>
      </c>
      <c r="C149" s="2255">
        <f t="shared" si="90"/>
        <v>0</v>
      </c>
      <c r="D149" s="260">
        <f>'Pazarlama&amp;Satış(d+a) GMY+MDR'!D13+'MADENİ YAĞ GİDER BÜTÇESİ'!D13</f>
        <v>0</v>
      </c>
      <c r="E149" s="261">
        <f>'Pazarlama&amp;Satış(d+a) GMY+MDR'!E13+'MADENİ YAĞ GİDER BÜTÇESİ'!E13</f>
        <v>0</v>
      </c>
      <c r="F149" s="261">
        <f>'Pazarlama&amp;Satış(d+a) GMY+MDR'!F13+'MADENİ YAĞ GİDER BÜTÇESİ'!F13</f>
        <v>0</v>
      </c>
      <c r="G149" s="261">
        <f>'Pazarlama&amp;Satış(d+a) GMY+MDR'!G13+'MADENİ YAĞ GİDER BÜTÇESİ'!G13</f>
        <v>0</v>
      </c>
      <c r="H149" s="261">
        <f>'Pazarlama&amp;Satış(d+a) GMY+MDR'!H13+'MADENİ YAĞ GİDER BÜTÇESİ'!H13</f>
        <v>0</v>
      </c>
      <c r="I149" s="261">
        <f>'Pazarlama&amp;Satış(d+a) GMY+MDR'!I13+'MADENİ YAĞ GİDER BÜTÇESİ'!I13</f>
        <v>0</v>
      </c>
      <c r="J149" s="261">
        <f>'Pazarlama&amp;Satış(d+a) GMY+MDR'!J13+'MADENİ YAĞ GİDER BÜTÇESİ'!J13</f>
        <v>0</v>
      </c>
      <c r="K149" s="261">
        <f>'Pazarlama&amp;Satış(d+a) GMY+MDR'!K13+'MADENİ YAĞ GİDER BÜTÇESİ'!K13</f>
        <v>0</v>
      </c>
      <c r="L149" s="261">
        <f>'Pazarlama&amp;Satış(d+a) GMY+MDR'!L13+'MADENİ YAĞ GİDER BÜTÇESİ'!L13</f>
        <v>0</v>
      </c>
      <c r="M149" s="261">
        <f>'Pazarlama&amp;Satış(d+a) GMY+MDR'!M13+'MADENİ YAĞ GİDER BÜTÇESİ'!M13</f>
        <v>0</v>
      </c>
      <c r="N149" s="261">
        <f>'Pazarlama&amp;Satış(d+a) GMY+MDR'!N13+'MADENİ YAĞ GİDER BÜTÇESİ'!N13</f>
        <v>0</v>
      </c>
      <c r="O149" s="261">
        <f>'Pazarlama&amp;Satış(d+a) GMY+MDR'!O13+'MADENİ YAĞ GİDER BÜTÇESİ'!O13</f>
        <v>0</v>
      </c>
      <c r="P149" s="261">
        <f t="shared" si="89"/>
        <v>0</v>
      </c>
      <c r="Q149" s="231" t="str">
        <f t="shared" si="87"/>
        <v>-</v>
      </c>
      <c r="R149" s="249"/>
      <c r="S149" s="1884"/>
      <c r="T149" s="1884"/>
      <c r="U149" s="1884"/>
    </row>
    <row r="150" spans="1:21" ht="17.25" customHeight="1">
      <c r="A150" s="111" t="s">
        <v>46</v>
      </c>
      <c r="B150" s="1041">
        <f>'Pazarlama&amp;Satış(d+a) GMY+MDR'!B14+'MADENİ YAĞ GİDER BÜTÇESİ'!B14</f>
        <v>0</v>
      </c>
      <c r="C150" s="2256">
        <f t="shared" si="90"/>
        <v>0</v>
      </c>
      <c r="D150" s="263">
        <f>'Pazarlama&amp;Satış(d+a) GMY+MDR'!D14+'MADENİ YAĞ GİDER BÜTÇESİ'!D14</f>
        <v>0</v>
      </c>
      <c r="E150" s="263">
        <f>'Pazarlama&amp;Satış(d+a) GMY+MDR'!E14+'MADENİ YAĞ GİDER BÜTÇESİ'!E14</f>
        <v>0</v>
      </c>
      <c r="F150" s="263">
        <f>'Pazarlama&amp;Satış(d+a) GMY+MDR'!F14+'MADENİ YAĞ GİDER BÜTÇESİ'!F14</f>
        <v>0</v>
      </c>
      <c r="G150" s="263">
        <f>'Pazarlama&amp;Satış(d+a) GMY+MDR'!G14+'MADENİ YAĞ GİDER BÜTÇESİ'!G14</f>
        <v>0</v>
      </c>
      <c r="H150" s="263">
        <f>'Pazarlama&amp;Satış(d+a) GMY+MDR'!H14+'MADENİ YAĞ GİDER BÜTÇESİ'!H14</f>
        <v>0</v>
      </c>
      <c r="I150" s="263">
        <f>'Pazarlama&amp;Satış(d+a) GMY+MDR'!I14+'MADENİ YAĞ GİDER BÜTÇESİ'!I14</f>
        <v>0</v>
      </c>
      <c r="J150" s="263">
        <f>'Pazarlama&amp;Satış(d+a) GMY+MDR'!J14+'MADENİ YAĞ GİDER BÜTÇESİ'!J14</f>
        <v>0</v>
      </c>
      <c r="K150" s="263">
        <f>'Pazarlama&amp;Satış(d+a) GMY+MDR'!K14+'MADENİ YAĞ GİDER BÜTÇESİ'!K14</f>
        <v>0</v>
      </c>
      <c r="L150" s="263">
        <f>'Pazarlama&amp;Satış(d+a) GMY+MDR'!L14+'MADENİ YAĞ GİDER BÜTÇESİ'!L14</f>
        <v>0</v>
      </c>
      <c r="M150" s="263">
        <f>'Pazarlama&amp;Satış(d+a) GMY+MDR'!M14+'MADENİ YAĞ GİDER BÜTÇESİ'!M14</f>
        <v>0</v>
      </c>
      <c r="N150" s="263">
        <f>'Pazarlama&amp;Satış(d+a) GMY+MDR'!N14+'MADENİ YAĞ GİDER BÜTÇESİ'!N14</f>
        <v>0</v>
      </c>
      <c r="O150" s="263">
        <f>'Pazarlama&amp;Satış(d+a) GMY+MDR'!O14+'MADENİ YAĞ GİDER BÜTÇESİ'!O14</f>
        <v>0</v>
      </c>
      <c r="P150" s="263">
        <f t="shared" si="89"/>
        <v>0</v>
      </c>
      <c r="Q150" s="230" t="str">
        <f t="shared" si="87"/>
        <v>-</v>
      </c>
      <c r="R150" s="249"/>
      <c r="S150" s="1884"/>
      <c r="T150" s="1884"/>
      <c r="U150" s="1884"/>
    </row>
    <row r="151" spans="1:21" ht="17.25" customHeight="1">
      <c r="A151" s="95" t="s">
        <v>563</v>
      </c>
      <c r="B151" s="1040">
        <f>'Pazarlama&amp;Satış(d+a) GMY+MDR'!B15+'MADENİ YAĞ GİDER BÜTÇESİ'!B15</f>
        <v>0</v>
      </c>
      <c r="C151" s="2255">
        <f t="shared" si="90"/>
        <v>0</v>
      </c>
      <c r="D151" s="260">
        <f>'Pazarlama&amp;Satış(d+a) GMY+MDR'!D15+'MADENİ YAĞ GİDER BÜTÇESİ'!D15</f>
        <v>0</v>
      </c>
      <c r="E151" s="261">
        <f>'Pazarlama&amp;Satış(d+a) GMY+MDR'!E15+'MADENİ YAĞ GİDER BÜTÇESİ'!E15</f>
        <v>0</v>
      </c>
      <c r="F151" s="261">
        <f>'Pazarlama&amp;Satış(d+a) GMY+MDR'!F15+'MADENİ YAĞ GİDER BÜTÇESİ'!F15</f>
        <v>0</v>
      </c>
      <c r="G151" s="261">
        <f>'Pazarlama&amp;Satış(d+a) GMY+MDR'!G15+'MADENİ YAĞ GİDER BÜTÇESİ'!G15</f>
        <v>0</v>
      </c>
      <c r="H151" s="261">
        <f>'Pazarlama&amp;Satış(d+a) GMY+MDR'!H15+'MADENİ YAĞ GİDER BÜTÇESİ'!H15</f>
        <v>0</v>
      </c>
      <c r="I151" s="261">
        <f>'Pazarlama&amp;Satış(d+a) GMY+MDR'!I15+'MADENİ YAĞ GİDER BÜTÇESİ'!I15</f>
        <v>0</v>
      </c>
      <c r="J151" s="261">
        <f>'Pazarlama&amp;Satış(d+a) GMY+MDR'!J15+'MADENİ YAĞ GİDER BÜTÇESİ'!J15</f>
        <v>0</v>
      </c>
      <c r="K151" s="261">
        <f>'Pazarlama&amp;Satış(d+a) GMY+MDR'!K15+'MADENİ YAĞ GİDER BÜTÇESİ'!K15</f>
        <v>0</v>
      </c>
      <c r="L151" s="261">
        <f>'Pazarlama&amp;Satış(d+a) GMY+MDR'!L15+'MADENİ YAĞ GİDER BÜTÇESİ'!L15</f>
        <v>0</v>
      </c>
      <c r="M151" s="261">
        <f>'Pazarlama&amp;Satış(d+a) GMY+MDR'!M15+'MADENİ YAĞ GİDER BÜTÇESİ'!M15</f>
        <v>0</v>
      </c>
      <c r="N151" s="261">
        <f>'Pazarlama&amp;Satış(d+a) GMY+MDR'!N15+'MADENİ YAĞ GİDER BÜTÇESİ'!N15</f>
        <v>0</v>
      </c>
      <c r="O151" s="261">
        <f>'Pazarlama&amp;Satış(d+a) GMY+MDR'!O15+'MADENİ YAĞ GİDER BÜTÇESİ'!O15</f>
        <v>0</v>
      </c>
      <c r="P151" s="261">
        <f t="shared" si="89"/>
        <v>0</v>
      </c>
      <c r="Q151" s="231" t="str">
        <f t="shared" si="87"/>
        <v>-</v>
      </c>
      <c r="R151" s="249"/>
      <c r="S151" s="1884"/>
      <c r="T151" s="1884"/>
      <c r="U151" s="1884"/>
    </row>
    <row r="152" spans="1:21" ht="17.25" customHeight="1">
      <c r="A152" s="111" t="s">
        <v>564</v>
      </c>
      <c r="B152" s="1041">
        <f>'Pazarlama&amp;Satış(d+a) GMY+MDR'!B16+'MADENİ YAĞ GİDER BÜTÇESİ'!B16</f>
        <v>0</v>
      </c>
      <c r="C152" s="2256">
        <f t="shared" si="90"/>
        <v>0</v>
      </c>
      <c r="D152" s="263">
        <f>'Pazarlama&amp;Satış(d+a) GMY+MDR'!D16+'MADENİ YAĞ GİDER BÜTÇESİ'!D16</f>
        <v>0</v>
      </c>
      <c r="E152" s="263">
        <f>'Pazarlama&amp;Satış(d+a) GMY+MDR'!E16+'MADENİ YAĞ GİDER BÜTÇESİ'!E16</f>
        <v>0</v>
      </c>
      <c r="F152" s="263">
        <f>'Pazarlama&amp;Satış(d+a) GMY+MDR'!F16+'MADENİ YAĞ GİDER BÜTÇESİ'!F16</f>
        <v>0</v>
      </c>
      <c r="G152" s="263">
        <f>'Pazarlama&amp;Satış(d+a) GMY+MDR'!G16+'MADENİ YAĞ GİDER BÜTÇESİ'!G16</f>
        <v>0</v>
      </c>
      <c r="H152" s="263">
        <f>'Pazarlama&amp;Satış(d+a) GMY+MDR'!H16+'MADENİ YAĞ GİDER BÜTÇESİ'!H16</f>
        <v>0</v>
      </c>
      <c r="I152" s="263">
        <f>'Pazarlama&amp;Satış(d+a) GMY+MDR'!I16+'MADENİ YAĞ GİDER BÜTÇESİ'!I16</f>
        <v>0</v>
      </c>
      <c r="J152" s="263">
        <f>'Pazarlama&amp;Satış(d+a) GMY+MDR'!J16+'MADENİ YAĞ GİDER BÜTÇESİ'!J16</f>
        <v>0</v>
      </c>
      <c r="K152" s="263">
        <f>'Pazarlama&amp;Satış(d+a) GMY+MDR'!K16+'MADENİ YAĞ GİDER BÜTÇESİ'!K16</f>
        <v>0</v>
      </c>
      <c r="L152" s="263">
        <f>'Pazarlama&amp;Satış(d+a) GMY+MDR'!L16+'MADENİ YAĞ GİDER BÜTÇESİ'!L16</f>
        <v>0</v>
      </c>
      <c r="M152" s="263">
        <f>'Pazarlama&amp;Satış(d+a) GMY+MDR'!M16+'MADENİ YAĞ GİDER BÜTÇESİ'!M16</f>
        <v>0</v>
      </c>
      <c r="N152" s="263">
        <f>'Pazarlama&amp;Satış(d+a) GMY+MDR'!N16+'MADENİ YAĞ GİDER BÜTÇESİ'!N16</f>
        <v>0</v>
      </c>
      <c r="O152" s="263">
        <f>'Pazarlama&amp;Satış(d+a) GMY+MDR'!O16+'MADENİ YAĞ GİDER BÜTÇESİ'!O16</f>
        <v>0</v>
      </c>
      <c r="P152" s="263">
        <f t="shared" si="89"/>
        <v>0</v>
      </c>
      <c r="Q152" s="230" t="str">
        <f t="shared" si="87"/>
        <v>-</v>
      </c>
      <c r="R152" s="249"/>
      <c r="S152" s="1884"/>
      <c r="T152" s="1884"/>
      <c r="U152" s="1884"/>
    </row>
    <row r="153" spans="1:21" ht="17.25" customHeight="1">
      <c r="A153" s="95" t="s">
        <v>47</v>
      </c>
      <c r="B153" s="1040">
        <f>'Pazarlama&amp;Satış(d+a) GMY+MDR'!B17+'MADENİ YAĞ GİDER BÜTÇESİ'!B17</f>
        <v>0</v>
      </c>
      <c r="C153" s="2255">
        <f t="shared" si="90"/>
        <v>0</v>
      </c>
      <c r="D153" s="260">
        <f>'Pazarlama&amp;Satış(d+a) GMY+MDR'!D17+'MADENİ YAĞ GİDER BÜTÇESİ'!D17</f>
        <v>0</v>
      </c>
      <c r="E153" s="261">
        <f>'Pazarlama&amp;Satış(d+a) GMY+MDR'!E17+'MADENİ YAĞ GİDER BÜTÇESİ'!E17</f>
        <v>0</v>
      </c>
      <c r="F153" s="261">
        <f>'Pazarlama&amp;Satış(d+a) GMY+MDR'!F17+'MADENİ YAĞ GİDER BÜTÇESİ'!F17</f>
        <v>0</v>
      </c>
      <c r="G153" s="261">
        <f>'Pazarlama&amp;Satış(d+a) GMY+MDR'!G17+'MADENİ YAĞ GİDER BÜTÇESİ'!G17</f>
        <v>0</v>
      </c>
      <c r="H153" s="261">
        <f>'Pazarlama&amp;Satış(d+a) GMY+MDR'!H17+'MADENİ YAĞ GİDER BÜTÇESİ'!H17</f>
        <v>0</v>
      </c>
      <c r="I153" s="261">
        <f>'Pazarlama&amp;Satış(d+a) GMY+MDR'!I17+'MADENİ YAĞ GİDER BÜTÇESİ'!I17</f>
        <v>0</v>
      </c>
      <c r="J153" s="261">
        <f>'Pazarlama&amp;Satış(d+a) GMY+MDR'!J17+'MADENİ YAĞ GİDER BÜTÇESİ'!J17</f>
        <v>0</v>
      </c>
      <c r="K153" s="261">
        <f>'Pazarlama&amp;Satış(d+a) GMY+MDR'!K17+'MADENİ YAĞ GİDER BÜTÇESİ'!K17</f>
        <v>0</v>
      </c>
      <c r="L153" s="261">
        <f>'Pazarlama&amp;Satış(d+a) GMY+MDR'!L17+'MADENİ YAĞ GİDER BÜTÇESİ'!L17</f>
        <v>0</v>
      </c>
      <c r="M153" s="261">
        <f>'Pazarlama&amp;Satış(d+a) GMY+MDR'!M17+'MADENİ YAĞ GİDER BÜTÇESİ'!M17</f>
        <v>0</v>
      </c>
      <c r="N153" s="261">
        <f>'Pazarlama&amp;Satış(d+a) GMY+MDR'!N17+'MADENİ YAĞ GİDER BÜTÇESİ'!N17</f>
        <v>0</v>
      </c>
      <c r="O153" s="261">
        <f>'Pazarlama&amp;Satış(d+a) GMY+MDR'!O17+'MADENİ YAĞ GİDER BÜTÇESİ'!O17</f>
        <v>0</v>
      </c>
      <c r="P153" s="261">
        <f t="shared" si="89"/>
        <v>0</v>
      </c>
      <c r="Q153" s="231" t="str">
        <f t="shared" si="87"/>
        <v>-</v>
      </c>
      <c r="R153" s="249"/>
      <c r="S153" s="1884"/>
      <c r="T153" s="1884"/>
      <c r="U153" s="1884"/>
    </row>
    <row r="154" spans="1:21" ht="17.25" customHeight="1">
      <c r="A154" s="111" t="s">
        <v>48</v>
      </c>
      <c r="B154" s="1041">
        <f>'Pazarlama&amp;Satış(d+a) GMY+MDR'!B18+'MADENİ YAĞ GİDER BÜTÇESİ'!B18</f>
        <v>0</v>
      </c>
      <c r="C154" s="2256">
        <f t="shared" si="90"/>
        <v>0</v>
      </c>
      <c r="D154" s="263">
        <f>'Pazarlama&amp;Satış(d+a) GMY+MDR'!D18+'MADENİ YAĞ GİDER BÜTÇESİ'!D18</f>
        <v>0</v>
      </c>
      <c r="E154" s="263">
        <f>'Pazarlama&amp;Satış(d+a) GMY+MDR'!E18+'MADENİ YAĞ GİDER BÜTÇESİ'!E18</f>
        <v>0</v>
      </c>
      <c r="F154" s="263">
        <f>'Pazarlama&amp;Satış(d+a) GMY+MDR'!F18+'MADENİ YAĞ GİDER BÜTÇESİ'!F18</f>
        <v>0</v>
      </c>
      <c r="G154" s="263">
        <f>'Pazarlama&amp;Satış(d+a) GMY+MDR'!G18+'MADENİ YAĞ GİDER BÜTÇESİ'!G18</f>
        <v>0</v>
      </c>
      <c r="H154" s="263">
        <f>'Pazarlama&amp;Satış(d+a) GMY+MDR'!H18+'MADENİ YAĞ GİDER BÜTÇESİ'!H18</f>
        <v>0</v>
      </c>
      <c r="I154" s="263">
        <f>'Pazarlama&amp;Satış(d+a) GMY+MDR'!I18+'MADENİ YAĞ GİDER BÜTÇESİ'!I18</f>
        <v>0</v>
      </c>
      <c r="J154" s="263">
        <f>'Pazarlama&amp;Satış(d+a) GMY+MDR'!J18+'MADENİ YAĞ GİDER BÜTÇESİ'!J18</f>
        <v>0</v>
      </c>
      <c r="K154" s="263">
        <f>'Pazarlama&amp;Satış(d+a) GMY+MDR'!K18+'MADENİ YAĞ GİDER BÜTÇESİ'!K18</f>
        <v>0</v>
      </c>
      <c r="L154" s="263">
        <f>'Pazarlama&amp;Satış(d+a) GMY+MDR'!L18+'MADENİ YAĞ GİDER BÜTÇESİ'!L18</f>
        <v>0</v>
      </c>
      <c r="M154" s="263">
        <f>'Pazarlama&amp;Satış(d+a) GMY+MDR'!M18+'MADENİ YAĞ GİDER BÜTÇESİ'!M18</f>
        <v>0</v>
      </c>
      <c r="N154" s="263">
        <f>'Pazarlama&amp;Satış(d+a) GMY+MDR'!N18+'MADENİ YAĞ GİDER BÜTÇESİ'!N18</f>
        <v>0</v>
      </c>
      <c r="O154" s="263">
        <f>'Pazarlama&amp;Satış(d+a) GMY+MDR'!O18+'MADENİ YAĞ GİDER BÜTÇESİ'!O18</f>
        <v>0</v>
      </c>
      <c r="P154" s="263">
        <f t="shared" si="89"/>
        <v>0</v>
      </c>
      <c r="Q154" s="230" t="str">
        <f t="shared" si="87"/>
        <v>-</v>
      </c>
      <c r="R154" s="249"/>
      <c r="S154" s="1884"/>
      <c r="T154" s="1884"/>
      <c r="U154" s="1884"/>
    </row>
    <row r="155" spans="1:21" ht="17.25" customHeight="1">
      <c r="A155" s="95" t="s">
        <v>565</v>
      </c>
      <c r="B155" s="1040">
        <f>'Pazarlama&amp;Satış(d+a) GMY+MDR'!B19+'MADENİ YAĞ GİDER BÜTÇESİ'!B19</f>
        <v>0</v>
      </c>
      <c r="C155" s="2255">
        <f t="shared" si="90"/>
        <v>0</v>
      </c>
      <c r="D155" s="260">
        <f>'Pazarlama&amp;Satış(d+a) GMY+MDR'!D19+'MADENİ YAĞ GİDER BÜTÇESİ'!D19</f>
        <v>0</v>
      </c>
      <c r="E155" s="261">
        <f>'Pazarlama&amp;Satış(d+a) GMY+MDR'!E19+'MADENİ YAĞ GİDER BÜTÇESİ'!E19</f>
        <v>0</v>
      </c>
      <c r="F155" s="261">
        <f>'Pazarlama&amp;Satış(d+a) GMY+MDR'!F19+'MADENİ YAĞ GİDER BÜTÇESİ'!F19</f>
        <v>0</v>
      </c>
      <c r="G155" s="261">
        <f>'Pazarlama&amp;Satış(d+a) GMY+MDR'!G19+'MADENİ YAĞ GİDER BÜTÇESİ'!G19</f>
        <v>0</v>
      </c>
      <c r="H155" s="261">
        <f>'Pazarlama&amp;Satış(d+a) GMY+MDR'!H19+'MADENİ YAĞ GİDER BÜTÇESİ'!H19</f>
        <v>0</v>
      </c>
      <c r="I155" s="261">
        <f>'Pazarlama&amp;Satış(d+a) GMY+MDR'!I19+'MADENİ YAĞ GİDER BÜTÇESİ'!I19</f>
        <v>0</v>
      </c>
      <c r="J155" s="261">
        <f>'Pazarlama&amp;Satış(d+a) GMY+MDR'!J19+'MADENİ YAĞ GİDER BÜTÇESİ'!J19</f>
        <v>0</v>
      </c>
      <c r="K155" s="261">
        <f>'Pazarlama&amp;Satış(d+a) GMY+MDR'!K19+'MADENİ YAĞ GİDER BÜTÇESİ'!K19</f>
        <v>0</v>
      </c>
      <c r="L155" s="261">
        <f>'Pazarlama&amp;Satış(d+a) GMY+MDR'!L19+'MADENİ YAĞ GİDER BÜTÇESİ'!L19</f>
        <v>0</v>
      </c>
      <c r="M155" s="261">
        <f>'Pazarlama&amp;Satış(d+a) GMY+MDR'!M19+'MADENİ YAĞ GİDER BÜTÇESİ'!M19</f>
        <v>0</v>
      </c>
      <c r="N155" s="261">
        <f>'Pazarlama&amp;Satış(d+a) GMY+MDR'!N19+'MADENİ YAĞ GİDER BÜTÇESİ'!N19</f>
        <v>0</v>
      </c>
      <c r="O155" s="261">
        <f>'Pazarlama&amp;Satış(d+a) GMY+MDR'!O19+'MADENİ YAĞ GİDER BÜTÇESİ'!O19</f>
        <v>0</v>
      </c>
      <c r="P155" s="261">
        <f t="shared" si="89"/>
        <v>0</v>
      </c>
      <c r="Q155" s="231" t="str">
        <f t="shared" si="87"/>
        <v>-</v>
      </c>
      <c r="R155" s="249"/>
      <c r="S155" s="1884"/>
      <c r="T155" s="1884"/>
      <c r="U155" s="1884"/>
    </row>
    <row r="156" spans="1:21" ht="17.25" customHeight="1">
      <c r="A156" s="111" t="s">
        <v>49</v>
      </c>
      <c r="B156" s="1041">
        <f>'Pazarlama&amp;Satış(d+a) GMY+MDR'!B20+'MADENİ YAĞ GİDER BÜTÇESİ'!B20</f>
        <v>0</v>
      </c>
      <c r="C156" s="2256">
        <f t="shared" si="90"/>
        <v>0</v>
      </c>
      <c r="D156" s="263">
        <f>'Pazarlama&amp;Satış(d+a) GMY+MDR'!D20+'MADENİ YAĞ GİDER BÜTÇESİ'!D20</f>
        <v>0</v>
      </c>
      <c r="E156" s="263">
        <f>'Pazarlama&amp;Satış(d+a) GMY+MDR'!E20+'MADENİ YAĞ GİDER BÜTÇESİ'!E20</f>
        <v>0</v>
      </c>
      <c r="F156" s="263">
        <f>'Pazarlama&amp;Satış(d+a) GMY+MDR'!F20+'MADENİ YAĞ GİDER BÜTÇESİ'!F20</f>
        <v>0</v>
      </c>
      <c r="G156" s="263">
        <f>'Pazarlama&amp;Satış(d+a) GMY+MDR'!G20+'MADENİ YAĞ GİDER BÜTÇESİ'!G20</f>
        <v>0</v>
      </c>
      <c r="H156" s="263">
        <f>'Pazarlama&amp;Satış(d+a) GMY+MDR'!H20+'MADENİ YAĞ GİDER BÜTÇESİ'!H20</f>
        <v>0</v>
      </c>
      <c r="I156" s="263">
        <f>'Pazarlama&amp;Satış(d+a) GMY+MDR'!I20+'MADENİ YAĞ GİDER BÜTÇESİ'!I20</f>
        <v>0</v>
      </c>
      <c r="J156" s="263">
        <f>'Pazarlama&amp;Satış(d+a) GMY+MDR'!J20+'MADENİ YAĞ GİDER BÜTÇESİ'!J20</f>
        <v>0</v>
      </c>
      <c r="K156" s="263">
        <f>'Pazarlama&amp;Satış(d+a) GMY+MDR'!K20+'MADENİ YAĞ GİDER BÜTÇESİ'!K20</f>
        <v>0</v>
      </c>
      <c r="L156" s="263">
        <f>'Pazarlama&amp;Satış(d+a) GMY+MDR'!L20+'MADENİ YAĞ GİDER BÜTÇESİ'!L20</f>
        <v>0</v>
      </c>
      <c r="M156" s="263">
        <f>'Pazarlama&amp;Satış(d+a) GMY+MDR'!M20+'MADENİ YAĞ GİDER BÜTÇESİ'!M20</f>
        <v>0</v>
      </c>
      <c r="N156" s="263">
        <f>'Pazarlama&amp;Satış(d+a) GMY+MDR'!N20+'MADENİ YAĞ GİDER BÜTÇESİ'!N20</f>
        <v>0</v>
      </c>
      <c r="O156" s="263">
        <f>'Pazarlama&amp;Satış(d+a) GMY+MDR'!O20+'MADENİ YAĞ GİDER BÜTÇESİ'!O20</f>
        <v>0</v>
      </c>
      <c r="P156" s="263">
        <f t="shared" si="89"/>
        <v>0</v>
      </c>
      <c r="Q156" s="230" t="str">
        <f t="shared" si="87"/>
        <v>-</v>
      </c>
      <c r="R156" s="249"/>
      <c r="S156" s="1884"/>
      <c r="T156" s="1884"/>
      <c r="U156" s="1884"/>
    </row>
    <row r="157" spans="1:21" ht="17.25" customHeight="1">
      <c r="A157" s="95" t="s">
        <v>50</v>
      </c>
      <c r="B157" s="1040">
        <f>'Pazarlama&amp;Satış(d+a) GMY+MDR'!B21+'MADENİ YAĞ GİDER BÜTÇESİ'!B21</f>
        <v>0</v>
      </c>
      <c r="C157" s="2255">
        <f t="shared" si="90"/>
        <v>0</v>
      </c>
      <c r="D157" s="260">
        <f>'Pazarlama&amp;Satış(d+a) GMY+MDR'!D21+'MADENİ YAĞ GİDER BÜTÇESİ'!D21</f>
        <v>0</v>
      </c>
      <c r="E157" s="261">
        <f>'Pazarlama&amp;Satış(d+a) GMY+MDR'!E21+'MADENİ YAĞ GİDER BÜTÇESİ'!E21</f>
        <v>0</v>
      </c>
      <c r="F157" s="261">
        <f>'Pazarlama&amp;Satış(d+a) GMY+MDR'!F21+'MADENİ YAĞ GİDER BÜTÇESİ'!F21</f>
        <v>0</v>
      </c>
      <c r="G157" s="261">
        <f>'Pazarlama&amp;Satış(d+a) GMY+MDR'!G21+'MADENİ YAĞ GİDER BÜTÇESİ'!G21</f>
        <v>0</v>
      </c>
      <c r="H157" s="261">
        <f>'Pazarlama&amp;Satış(d+a) GMY+MDR'!H21+'MADENİ YAĞ GİDER BÜTÇESİ'!H21</f>
        <v>0</v>
      </c>
      <c r="I157" s="261">
        <f>'Pazarlama&amp;Satış(d+a) GMY+MDR'!I21+'MADENİ YAĞ GİDER BÜTÇESİ'!I21</f>
        <v>0</v>
      </c>
      <c r="J157" s="261">
        <f>'Pazarlama&amp;Satış(d+a) GMY+MDR'!J21+'MADENİ YAĞ GİDER BÜTÇESİ'!J21</f>
        <v>0</v>
      </c>
      <c r="K157" s="261">
        <f>'Pazarlama&amp;Satış(d+a) GMY+MDR'!K21+'MADENİ YAĞ GİDER BÜTÇESİ'!K21</f>
        <v>0</v>
      </c>
      <c r="L157" s="261">
        <f>'Pazarlama&amp;Satış(d+a) GMY+MDR'!L21+'MADENİ YAĞ GİDER BÜTÇESİ'!L21</f>
        <v>0</v>
      </c>
      <c r="M157" s="261">
        <f>'Pazarlama&amp;Satış(d+a) GMY+MDR'!M21+'MADENİ YAĞ GİDER BÜTÇESİ'!M21</f>
        <v>0</v>
      </c>
      <c r="N157" s="261">
        <f>'Pazarlama&amp;Satış(d+a) GMY+MDR'!N21+'MADENİ YAĞ GİDER BÜTÇESİ'!N21</f>
        <v>0</v>
      </c>
      <c r="O157" s="261">
        <f>'Pazarlama&amp;Satış(d+a) GMY+MDR'!O21+'MADENİ YAĞ GİDER BÜTÇESİ'!O21</f>
        <v>0</v>
      </c>
      <c r="P157" s="261">
        <f t="shared" si="89"/>
        <v>0</v>
      </c>
      <c r="Q157" s="231" t="str">
        <f t="shared" si="87"/>
        <v>-</v>
      </c>
      <c r="R157" s="249"/>
      <c r="S157" s="1884"/>
      <c r="T157" s="1884"/>
      <c r="U157" s="1884"/>
    </row>
    <row r="158" spans="1:21" ht="28.2">
      <c r="A158" s="2167" t="s">
        <v>566</v>
      </c>
      <c r="B158" s="1041">
        <f>'Pazarlama&amp;Satış(d+a) GMY+MDR'!B22+'MADENİ YAĞ GİDER BÜTÇESİ'!B22</f>
        <v>0</v>
      </c>
      <c r="C158" s="2256">
        <f t="shared" si="90"/>
        <v>0</v>
      </c>
      <c r="D158" s="263">
        <f>'Pazarlama&amp;Satış(d+a) GMY+MDR'!D22+'MADENİ YAĞ GİDER BÜTÇESİ'!D22</f>
        <v>0</v>
      </c>
      <c r="E158" s="263">
        <f>'Pazarlama&amp;Satış(d+a) GMY+MDR'!E22+'MADENİ YAĞ GİDER BÜTÇESİ'!E22</f>
        <v>0</v>
      </c>
      <c r="F158" s="263">
        <f>'Pazarlama&amp;Satış(d+a) GMY+MDR'!F22+'MADENİ YAĞ GİDER BÜTÇESİ'!F22</f>
        <v>0</v>
      </c>
      <c r="G158" s="263">
        <f>'Pazarlama&amp;Satış(d+a) GMY+MDR'!G22+'MADENİ YAĞ GİDER BÜTÇESİ'!G22</f>
        <v>0</v>
      </c>
      <c r="H158" s="263">
        <f>'Pazarlama&amp;Satış(d+a) GMY+MDR'!H22+'MADENİ YAĞ GİDER BÜTÇESİ'!H22</f>
        <v>0</v>
      </c>
      <c r="I158" s="263">
        <f>'Pazarlama&amp;Satış(d+a) GMY+MDR'!I22+'MADENİ YAĞ GİDER BÜTÇESİ'!I22</f>
        <v>0</v>
      </c>
      <c r="J158" s="263">
        <f>'Pazarlama&amp;Satış(d+a) GMY+MDR'!J22+'MADENİ YAĞ GİDER BÜTÇESİ'!J22</f>
        <v>0</v>
      </c>
      <c r="K158" s="263">
        <f>'Pazarlama&amp;Satış(d+a) GMY+MDR'!K22+'MADENİ YAĞ GİDER BÜTÇESİ'!K22</f>
        <v>0</v>
      </c>
      <c r="L158" s="263">
        <f>'Pazarlama&amp;Satış(d+a) GMY+MDR'!L22+'MADENİ YAĞ GİDER BÜTÇESİ'!L22</f>
        <v>0</v>
      </c>
      <c r="M158" s="263">
        <f>'Pazarlama&amp;Satış(d+a) GMY+MDR'!M22+'MADENİ YAĞ GİDER BÜTÇESİ'!M22</f>
        <v>0</v>
      </c>
      <c r="N158" s="263">
        <f>'Pazarlama&amp;Satış(d+a) GMY+MDR'!N22+'MADENİ YAĞ GİDER BÜTÇESİ'!N22</f>
        <v>0</v>
      </c>
      <c r="O158" s="263">
        <f>'Pazarlama&amp;Satış(d+a) GMY+MDR'!O22+'MADENİ YAĞ GİDER BÜTÇESİ'!O22</f>
        <v>0</v>
      </c>
      <c r="P158" s="263">
        <f t="shared" si="89"/>
        <v>0</v>
      </c>
      <c r="Q158" s="230" t="str">
        <f t="shared" si="87"/>
        <v>-</v>
      </c>
      <c r="R158" s="249"/>
      <c r="S158" s="1884"/>
      <c r="T158" s="1884"/>
      <c r="U158" s="1884"/>
    </row>
    <row r="159" spans="1:21" ht="17.25" customHeight="1">
      <c r="A159" s="95" t="s">
        <v>51</v>
      </c>
      <c r="B159" s="1040">
        <f>'Pazarlama&amp;Satış(d+a) GMY+MDR'!B23+'MADENİ YAĞ GİDER BÜTÇESİ'!B23</f>
        <v>0</v>
      </c>
      <c r="C159" s="2255">
        <f t="shared" si="90"/>
        <v>0</v>
      </c>
      <c r="D159" s="260">
        <f>'Pazarlama&amp;Satış(d+a) GMY+MDR'!D23+'MADENİ YAĞ GİDER BÜTÇESİ'!D23</f>
        <v>0</v>
      </c>
      <c r="E159" s="261">
        <f>'Pazarlama&amp;Satış(d+a) GMY+MDR'!E23+'MADENİ YAĞ GİDER BÜTÇESİ'!E23</f>
        <v>0</v>
      </c>
      <c r="F159" s="261">
        <f>'Pazarlama&amp;Satış(d+a) GMY+MDR'!F23+'MADENİ YAĞ GİDER BÜTÇESİ'!F23</f>
        <v>0</v>
      </c>
      <c r="G159" s="261">
        <f>'Pazarlama&amp;Satış(d+a) GMY+MDR'!G23+'MADENİ YAĞ GİDER BÜTÇESİ'!G23</f>
        <v>0</v>
      </c>
      <c r="H159" s="261">
        <f>'Pazarlama&amp;Satış(d+a) GMY+MDR'!H23+'MADENİ YAĞ GİDER BÜTÇESİ'!H23</f>
        <v>0</v>
      </c>
      <c r="I159" s="261">
        <f>'Pazarlama&amp;Satış(d+a) GMY+MDR'!I23+'MADENİ YAĞ GİDER BÜTÇESİ'!I23</f>
        <v>0</v>
      </c>
      <c r="J159" s="261">
        <f>'Pazarlama&amp;Satış(d+a) GMY+MDR'!J23+'MADENİ YAĞ GİDER BÜTÇESİ'!J23</f>
        <v>0</v>
      </c>
      <c r="K159" s="261">
        <f>'Pazarlama&amp;Satış(d+a) GMY+MDR'!K23+'MADENİ YAĞ GİDER BÜTÇESİ'!K23</f>
        <v>0</v>
      </c>
      <c r="L159" s="261">
        <f>'Pazarlama&amp;Satış(d+a) GMY+MDR'!L23+'MADENİ YAĞ GİDER BÜTÇESİ'!L23</f>
        <v>0</v>
      </c>
      <c r="M159" s="261">
        <f>'Pazarlama&amp;Satış(d+a) GMY+MDR'!M23+'MADENİ YAĞ GİDER BÜTÇESİ'!M23</f>
        <v>0</v>
      </c>
      <c r="N159" s="261">
        <f>'Pazarlama&amp;Satış(d+a) GMY+MDR'!N23+'MADENİ YAĞ GİDER BÜTÇESİ'!N23</f>
        <v>0</v>
      </c>
      <c r="O159" s="261">
        <f>'Pazarlama&amp;Satış(d+a) GMY+MDR'!O23+'MADENİ YAĞ GİDER BÜTÇESİ'!O23</f>
        <v>0</v>
      </c>
      <c r="P159" s="261">
        <f t="shared" si="89"/>
        <v>0</v>
      </c>
      <c r="Q159" s="231" t="str">
        <f t="shared" si="87"/>
        <v>-</v>
      </c>
      <c r="R159" s="249"/>
      <c r="S159" s="1884"/>
      <c r="T159" s="1884"/>
      <c r="U159" s="1884"/>
    </row>
    <row r="160" spans="1:21" ht="17.25" customHeight="1">
      <c r="A160" s="111" t="s">
        <v>52</v>
      </c>
      <c r="B160" s="1041">
        <f>'Pazarlama&amp;Satış(d+a) GMY+MDR'!B24+'MADENİ YAĞ GİDER BÜTÇESİ'!B24</f>
        <v>0</v>
      </c>
      <c r="C160" s="2256">
        <f t="shared" si="90"/>
        <v>0</v>
      </c>
      <c r="D160" s="263">
        <f>'Pazarlama&amp;Satış(d+a) GMY+MDR'!D24+'MADENİ YAĞ GİDER BÜTÇESİ'!D24</f>
        <v>0</v>
      </c>
      <c r="E160" s="263">
        <f>'Pazarlama&amp;Satış(d+a) GMY+MDR'!E24+'MADENİ YAĞ GİDER BÜTÇESİ'!E24</f>
        <v>0</v>
      </c>
      <c r="F160" s="263">
        <f>'Pazarlama&amp;Satış(d+a) GMY+MDR'!F24+'MADENİ YAĞ GİDER BÜTÇESİ'!F24</f>
        <v>0</v>
      </c>
      <c r="G160" s="263">
        <f>'Pazarlama&amp;Satış(d+a) GMY+MDR'!G24+'MADENİ YAĞ GİDER BÜTÇESİ'!G24</f>
        <v>0</v>
      </c>
      <c r="H160" s="263">
        <f>'Pazarlama&amp;Satış(d+a) GMY+MDR'!H24+'MADENİ YAĞ GİDER BÜTÇESİ'!H24</f>
        <v>0</v>
      </c>
      <c r="I160" s="263">
        <f>'Pazarlama&amp;Satış(d+a) GMY+MDR'!I24+'MADENİ YAĞ GİDER BÜTÇESİ'!I24</f>
        <v>0</v>
      </c>
      <c r="J160" s="263">
        <f>'Pazarlama&amp;Satış(d+a) GMY+MDR'!J24+'MADENİ YAĞ GİDER BÜTÇESİ'!J24</f>
        <v>0</v>
      </c>
      <c r="K160" s="263">
        <f>'Pazarlama&amp;Satış(d+a) GMY+MDR'!K24+'MADENİ YAĞ GİDER BÜTÇESİ'!K24</f>
        <v>0</v>
      </c>
      <c r="L160" s="263">
        <f>'Pazarlama&amp;Satış(d+a) GMY+MDR'!L24+'MADENİ YAĞ GİDER BÜTÇESİ'!L24</f>
        <v>0</v>
      </c>
      <c r="M160" s="263">
        <f>'Pazarlama&amp;Satış(d+a) GMY+MDR'!M24+'MADENİ YAĞ GİDER BÜTÇESİ'!M24</f>
        <v>0</v>
      </c>
      <c r="N160" s="263">
        <f>'Pazarlama&amp;Satış(d+a) GMY+MDR'!N24+'MADENİ YAĞ GİDER BÜTÇESİ'!N24</f>
        <v>0</v>
      </c>
      <c r="O160" s="263">
        <f>'Pazarlama&amp;Satış(d+a) GMY+MDR'!O24+'MADENİ YAĞ GİDER BÜTÇESİ'!O24</f>
        <v>0</v>
      </c>
      <c r="P160" s="263">
        <f t="shared" si="89"/>
        <v>0</v>
      </c>
      <c r="Q160" s="230" t="str">
        <f t="shared" si="87"/>
        <v>-</v>
      </c>
      <c r="R160" s="249"/>
      <c r="S160" s="1884"/>
      <c r="T160" s="1884"/>
      <c r="U160" s="1884"/>
    </row>
    <row r="161" spans="1:21" ht="17.25" customHeight="1">
      <c r="A161" s="95" t="s">
        <v>53</v>
      </c>
      <c r="B161" s="1040">
        <f>'Pazarlama&amp;Satış(d+a) GMY+MDR'!B25+'MADENİ YAĞ GİDER BÜTÇESİ'!B25</f>
        <v>0</v>
      </c>
      <c r="C161" s="2255">
        <f t="shared" si="90"/>
        <v>0</v>
      </c>
      <c r="D161" s="260">
        <f>'Pazarlama&amp;Satış(d+a) GMY+MDR'!D25+'MADENİ YAĞ GİDER BÜTÇESİ'!D25</f>
        <v>0</v>
      </c>
      <c r="E161" s="261">
        <f>'Pazarlama&amp;Satış(d+a) GMY+MDR'!E25+'MADENİ YAĞ GİDER BÜTÇESİ'!E25</f>
        <v>0</v>
      </c>
      <c r="F161" s="261">
        <f>'Pazarlama&amp;Satış(d+a) GMY+MDR'!F25+'MADENİ YAĞ GİDER BÜTÇESİ'!F25</f>
        <v>0</v>
      </c>
      <c r="G161" s="261">
        <f>'Pazarlama&amp;Satış(d+a) GMY+MDR'!G25+'MADENİ YAĞ GİDER BÜTÇESİ'!G25</f>
        <v>0</v>
      </c>
      <c r="H161" s="261">
        <f>'Pazarlama&amp;Satış(d+a) GMY+MDR'!H25+'MADENİ YAĞ GİDER BÜTÇESİ'!H25</f>
        <v>0</v>
      </c>
      <c r="I161" s="261">
        <f>'Pazarlama&amp;Satış(d+a) GMY+MDR'!I25+'MADENİ YAĞ GİDER BÜTÇESİ'!I25</f>
        <v>0</v>
      </c>
      <c r="J161" s="261">
        <f>'Pazarlama&amp;Satış(d+a) GMY+MDR'!J25+'MADENİ YAĞ GİDER BÜTÇESİ'!J25</f>
        <v>0</v>
      </c>
      <c r="K161" s="261">
        <f>'Pazarlama&amp;Satış(d+a) GMY+MDR'!K25+'MADENİ YAĞ GİDER BÜTÇESİ'!K25</f>
        <v>0</v>
      </c>
      <c r="L161" s="261">
        <f>'Pazarlama&amp;Satış(d+a) GMY+MDR'!L25+'MADENİ YAĞ GİDER BÜTÇESİ'!L25</f>
        <v>0</v>
      </c>
      <c r="M161" s="261">
        <f>'Pazarlama&amp;Satış(d+a) GMY+MDR'!M25+'MADENİ YAĞ GİDER BÜTÇESİ'!M25</f>
        <v>0</v>
      </c>
      <c r="N161" s="261">
        <f>'Pazarlama&amp;Satış(d+a) GMY+MDR'!N25+'MADENİ YAĞ GİDER BÜTÇESİ'!N25</f>
        <v>0</v>
      </c>
      <c r="O161" s="261">
        <f>'Pazarlama&amp;Satış(d+a) GMY+MDR'!O25+'MADENİ YAĞ GİDER BÜTÇESİ'!O25</f>
        <v>0</v>
      </c>
      <c r="P161" s="261">
        <f t="shared" si="89"/>
        <v>0</v>
      </c>
      <c r="Q161" s="231" t="str">
        <f t="shared" si="87"/>
        <v>-</v>
      </c>
      <c r="R161" s="249"/>
      <c r="S161" s="1884"/>
      <c r="T161" s="1884"/>
      <c r="U161" s="1884"/>
    </row>
    <row r="162" spans="1:21" ht="17.25" customHeight="1">
      <c r="A162" s="111" t="s">
        <v>54</v>
      </c>
      <c r="B162" s="1041">
        <f>'Pazarlama&amp;Satış(d+a) GMY+MDR'!B26+'MADENİ YAĞ GİDER BÜTÇESİ'!B26</f>
        <v>0</v>
      </c>
      <c r="C162" s="2256">
        <f t="shared" si="90"/>
        <v>0</v>
      </c>
      <c r="D162" s="263">
        <f>'Pazarlama&amp;Satış(d+a) GMY+MDR'!D26+'MADENİ YAĞ GİDER BÜTÇESİ'!D26</f>
        <v>0</v>
      </c>
      <c r="E162" s="263">
        <f>'Pazarlama&amp;Satış(d+a) GMY+MDR'!E26+'MADENİ YAĞ GİDER BÜTÇESİ'!E26</f>
        <v>0</v>
      </c>
      <c r="F162" s="263">
        <f>'Pazarlama&amp;Satış(d+a) GMY+MDR'!F26+'MADENİ YAĞ GİDER BÜTÇESİ'!F26</f>
        <v>0</v>
      </c>
      <c r="G162" s="263">
        <f>'Pazarlama&amp;Satış(d+a) GMY+MDR'!G26+'MADENİ YAĞ GİDER BÜTÇESİ'!G26</f>
        <v>0</v>
      </c>
      <c r="H162" s="263">
        <f>'Pazarlama&amp;Satış(d+a) GMY+MDR'!H26+'MADENİ YAĞ GİDER BÜTÇESİ'!H26</f>
        <v>0</v>
      </c>
      <c r="I162" s="263">
        <f>'Pazarlama&amp;Satış(d+a) GMY+MDR'!I26+'MADENİ YAĞ GİDER BÜTÇESİ'!I26</f>
        <v>0</v>
      </c>
      <c r="J162" s="263">
        <f>'Pazarlama&amp;Satış(d+a) GMY+MDR'!J26+'MADENİ YAĞ GİDER BÜTÇESİ'!J26</f>
        <v>0</v>
      </c>
      <c r="K162" s="263">
        <f>'Pazarlama&amp;Satış(d+a) GMY+MDR'!K26+'MADENİ YAĞ GİDER BÜTÇESİ'!K26</f>
        <v>0</v>
      </c>
      <c r="L162" s="263">
        <f>'Pazarlama&amp;Satış(d+a) GMY+MDR'!L26+'MADENİ YAĞ GİDER BÜTÇESİ'!L26</f>
        <v>0</v>
      </c>
      <c r="M162" s="263">
        <f>'Pazarlama&amp;Satış(d+a) GMY+MDR'!M26+'MADENİ YAĞ GİDER BÜTÇESİ'!M26</f>
        <v>0</v>
      </c>
      <c r="N162" s="263">
        <f>'Pazarlama&amp;Satış(d+a) GMY+MDR'!N26+'MADENİ YAĞ GİDER BÜTÇESİ'!N26</f>
        <v>0</v>
      </c>
      <c r="O162" s="263">
        <f>'Pazarlama&amp;Satış(d+a) GMY+MDR'!O26+'MADENİ YAĞ GİDER BÜTÇESİ'!O26</f>
        <v>0</v>
      </c>
      <c r="P162" s="263">
        <f t="shared" si="89"/>
        <v>0</v>
      </c>
      <c r="Q162" s="230" t="str">
        <f t="shared" si="87"/>
        <v>-</v>
      </c>
      <c r="R162" s="249"/>
      <c r="S162" s="1884"/>
      <c r="T162" s="1884"/>
      <c r="U162" s="1884"/>
    </row>
    <row r="163" spans="1:21" ht="17.25" customHeight="1">
      <c r="A163" s="111" t="s">
        <v>55</v>
      </c>
      <c r="B163" s="1040">
        <f>'Pazarlama&amp;Satış(d+a) GMY+MDR'!B27+'MADENİ YAĞ GİDER BÜTÇESİ'!B27</f>
        <v>0</v>
      </c>
      <c r="C163" s="2255">
        <f t="shared" si="90"/>
        <v>0</v>
      </c>
      <c r="D163" s="260">
        <f>'Pazarlama&amp;Satış(d+a) GMY+MDR'!D27+'MADENİ YAĞ GİDER BÜTÇESİ'!D27</f>
        <v>0</v>
      </c>
      <c r="E163" s="261">
        <f>'Pazarlama&amp;Satış(d+a) GMY+MDR'!E27+'MADENİ YAĞ GİDER BÜTÇESİ'!E27</f>
        <v>0</v>
      </c>
      <c r="F163" s="261">
        <f>'Pazarlama&amp;Satış(d+a) GMY+MDR'!F27+'MADENİ YAĞ GİDER BÜTÇESİ'!F27</f>
        <v>0</v>
      </c>
      <c r="G163" s="261">
        <f>'Pazarlama&amp;Satış(d+a) GMY+MDR'!G27+'MADENİ YAĞ GİDER BÜTÇESİ'!G27</f>
        <v>0</v>
      </c>
      <c r="H163" s="261">
        <f>'Pazarlama&amp;Satış(d+a) GMY+MDR'!H27+'MADENİ YAĞ GİDER BÜTÇESİ'!H27</f>
        <v>0</v>
      </c>
      <c r="I163" s="261">
        <f>'Pazarlama&amp;Satış(d+a) GMY+MDR'!I27+'MADENİ YAĞ GİDER BÜTÇESİ'!I27</f>
        <v>0</v>
      </c>
      <c r="J163" s="261">
        <f>'Pazarlama&amp;Satış(d+a) GMY+MDR'!J27+'MADENİ YAĞ GİDER BÜTÇESİ'!J27</f>
        <v>0</v>
      </c>
      <c r="K163" s="261">
        <f>'Pazarlama&amp;Satış(d+a) GMY+MDR'!K27+'MADENİ YAĞ GİDER BÜTÇESİ'!K27</f>
        <v>0</v>
      </c>
      <c r="L163" s="261">
        <f>'Pazarlama&amp;Satış(d+a) GMY+MDR'!L27+'MADENİ YAĞ GİDER BÜTÇESİ'!L27</f>
        <v>0</v>
      </c>
      <c r="M163" s="261">
        <f>'Pazarlama&amp;Satış(d+a) GMY+MDR'!M27+'MADENİ YAĞ GİDER BÜTÇESİ'!M27</f>
        <v>0</v>
      </c>
      <c r="N163" s="261">
        <f>'Pazarlama&amp;Satış(d+a) GMY+MDR'!N27+'MADENİ YAĞ GİDER BÜTÇESİ'!N27</f>
        <v>0</v>
      </c>
      <c r="O163" s="261">
        <f>'Pazarlama&amp;Satış(d+a) GMY+MDR'!O27+'MADENİ YAĞ GİDER BÜTÇESİ'!O27</f>
        <v>0</v>
      </c>
      <c r="P163" s="261">
        <f t="shared" si="89"/>
        <v>0</v>
      </c>
      <c r="Q163" s="230" t="str">
        <f t="shared" si="87"/>
        <v>-</v>
      </c>
      <c r="R163" s="249"/>
      <c r="S163" s="1884"/>
      <c r="T163" s="1884"/>
      <c r="U163" s="1884"/>
    </row>
    <row r="164" spans="1:21" ht="17.25" customHeight="1">
      <c r="A164" s="95" t="s">
        <v>56</v>
      </c>
      <c r="B164" s="1041">
        <f>'Pazarlama&amp;Satış(d+a) GMY+MDR'!B28+'MADENİ YAĞ GİDER BÜTÇESİ'!B28</f>
        <v>0</v>
      </c>
      <c r="C164" s="2256">
        <f t="shared" si="90"/>
        <v>0</v>
      </c>
      <c r="D164" s="263">
        <f>'Pazarlama&amp;Satış(d+a) GMY+MDR'!D28+'MADENİ YAĞ GİDER BÜTÇESİ'!D28</f>
        <v>0</v>
      </c>
      <c r="E164" s="263">
        <f>'Pazarlama&amp;Satış(d+a) GMY+MDR'!E28+'MADENİ YAĞ GİDER BÜTÇESİ'!E28</f>
        <v>0</v>
      </c>
      <c r="F164" s="263">
        <f>'Pazarlama&amp;Satış(d+a) GMY+MDR'!F28+'MADENİ YAĞ GİDER BÜTÇESİ'!F28</f>
        <v>0</v>
      </c>
      <c r="G164" s="263">
        <f>'Pazarlama&amp;Satış(d+a) GMY+MDR'!G28+'MADENİ YAĞ GİDER BÜTÇESİ'!G28</f>
        <v>0</v>
      </c>
      <c r="H164" s="263">
        <f>'Pazarlama&amp;Satış(d+a) GMY+MDR'!H28+'MADENİ YAĞ GİDER BÜTÇESİ'!H28</f>
        <v>0</v>
      </c>
      <c r="I164" s="263">
        <f>'Pazarlama&amp;Satış(d+a) GMY+MDR'!I28+'MADENİ YAĞ GİDER BÜTÇESİ'!I28</f>
        <v>0</v>
      </c>
      <c r="J164" s="263">
        <f>'Pazarlama&amp;Satış(d+a) GMY+MDR'!J28+'MADENİ YAĞ GİDER BÜTÇESİ'!J28</f>
        <v>0</v>
      </c>
      <c r="K164" s="263">
        <f>'Pazarlama&amp;Satış(d+a) GMY+MDR'!K28+'MADENİ YAĞ GİDER BÜTÇESİ'!K28</f>
        <v>0</v>
      </c>
      <c r="L164" s="263">
        <f>'Pazarlama&amp;Satış(d+a) GMY+MDR'!L28+'MADENİ YAĞ GİDER BÜTÇESİ'!L28</f>
        <v>0</v>
      </c>
      <c r="M164" s="263">
        <f>'Pazarlama&amp;Satış(d+a) GMY+MDR'!M28+'MADENİ YAĞ GİDER BÜTÇESİ'!M28</f>
        <v>0</v>
      </c>
      <c r="N164" s="263">
        <f>'Pazarlama&amp;Satış(d+a) GMY+MDR'!N28+'MADENİ YAĞ GİDER BÜTÇESİ'!N28</f>
        <v>0</v>
      </c>
      <c r="O164" s="263">
        <f>'Pazarlama&amp;Satış(d+a) GMY+MDR'!O28+'MADENİ YAĞ GİDER BÜTÇESİ'!O28</f>
        <v>0</v>
      </c>
      <c r="P164" s="263">
        <f t="shared" si="89"/>
        <v>0</v>
      </c>
      <c r="Q164" s="231" t="str">
        <f t="shared" si="87"/>
        <v>-</v>
      </c>
      <c r="R164" s="249"/>
      <c r="S164" s="1884"/>
      <c r="T164" s="1884"/>
      <c r="U164" s="1884"/>
    </row>
    <row r="165" spans="1:21" ht="17.25" customHeight="1">
      <c r="A165" s="111" t="s">
        <v>57</v>
      </c>
      <c r="B165" s="1040">
        <f>'Pazarlama&amp;Satış(d+a) GMY+MDR'!B29+'MADENİ YAĞ GİDER BÜTÇESİ'!B29</f>
        <v>0</v>
      </c>
      <c r="C165" s="2255">
        <f t="shared" si="90"/>
        <v>0</v>
      </c>
      <c r="D165" s="260">
        <f>'Pazarlama&amp;Satış(d+a) GMY+MDR'!D29+'MADENİ YAĞ GİDER BÜTÇESİ'!D29</f>
        <v>0</v>
      </c>
      <c r="E165" s="261">
        <f>'Pazarlama&amp;Satış(d+a) GMY+MDR'!E29+'MADENİ YAĞ GİDER BÜTÇESİ'!E29</f>
        <v>0</v>
      </c>
      <c r="F165" s="261">
        <f>'Pazarlama&amp;Satış(d+a) GMY+MDR'!F29+'MADENİ YAĞ GİDER BÜTÇESİ'!F29</f>
        <v>0</v>
      </c>
      <c r="G165" s="261">
        <f>'Pazarlama&amp;Satış(d+a) GMY+MDR'!G29+'MADENİ YAĞ GİDER BÜTÇESİ'!G29</f>
        <v>0</v>
      </c>
      <c r="H165" s="261">
        <f>'Pazarlama&amp;Satış(d+a) GMY+MDR'!H29+'MADENİ YAĞ GİDER BÜTÇESİ'!H29</f>
        <v>0</v>
      </c>
      <c r="I165" s="261">
        <f>'Pazarlama&amp;Satış(d+a) GMY+MDR'!I29+'MADENİ YAĞ GİDER BÜTÇESİ'!I29</f>
        <v>0</v>
      </c>
      <c r="J165" s="261">
        <f>'Pazarlama&amp;Satış(d+a) GMY+MDR'!J29+'MADENİ YAĞ GİDER BÜTÇESİ'!J29</f>
        <v>0</v>
      </c>
      <c r="K165" s="261">
        <f>'Pazarlama&amp;Satış(d+a) GMY+MDR'!K29+'MADENİ YAĞ GİDER BÜTÇESİ'!K29</f>
        <v>0</v>
      </c>
      <c r="L165" s="261">
        <f>'Pazarlama&amp;Satış(d+a) GMY+MDR'!L29+'MADENİ YAĞ GİDER BÜTÇESİ'!L29</f>
        <v>0</v>
      </c>
      <c r="M165" s="261">
        <f>'Pazarlama&amp;Satış(d+a) GMY+MDR'!M29+'MADENİ YAĞ GİDER BÜTÇESİ'!M29</f>
        <v>0</v>
      </c>
      <c r="N165" s="261">
        <f>'Pazarlama&amp;Satış(d+a) GMY+MDR'!N29+'MADENİ YAĞ GİDER BÜTÇESİ'!N29</f>
        <v>0</v>
      </c>
      <c r="O165" s="261">
        <f>'Pazarlama&amp;Satış(d+a) GMY+MDR'!O29+'MADENİ YAĞ GİDER BÜTÇESİ'!O29</f>
        <v>0</v>
      </c>
      <c r="P165" s="261">
        <f t="shared" si="89"/>
        <v>0</v>
      </c>
      <c r="Q165" s="230" t="str">
        <f t="shared" si="87"/>
        <v>-</v>
      </c>
      <c r="R165" s="249"/>
      <c r="S165" s="1884"/>
      <c r="T165" s="1884"/>
      <c r="U165" s="1884"/>
    </row>
    <row r="166" spans="1:21" ht="17.25" customHeight="1">
      <c r="A166" s="111" t="s">
        <v>58</v>
      </c>
      <c r="B166" s="1041">
        <f>'Pazarlama&amp;Satış(d+a) GMY+MDR'!B30+'MADENİ YAĞ GİDER BÜTÇESİ'!B30</f>
        <v>0</v>
      </c>
      <c r="C166" s="2256">
        <f t="shared" si="90"/>
        <v>0</v>
      </c>
      <c r="D166" s="263">
        <f>'Pazarlama&amp;Satış(d+a) GMY+MDR'!D30+'MADENİ YAĞ GİDER BÜTÇESİ'!D30</f>
        <v>0</v>
      </c>
      <c r="E166" s="263">
        <f>'Pazarlama&amp;Satış(d+a) GMY+MDR'!E30+'MADENİ YAĞ GİDER BÜTÇESİ'!E30</f>
        <v>0</v>
      </c>
      <c r="F166" s="263">
        <f>'Pazarlama&amp;Satış(d+a) GMY+MDR'!F30+'MADENİ YAĞ GİDER BÜTÇESİ'!F30</f>
        <v>0</v>
      </c>
      <c r="G166" s="263">
        <f>'Pazarlama&amp;Satış(d+a) GMY+MDR'!G30+'MADENİ YAĞ GİDER BÜTÇESİ'!G30</f>
        <v>0</v>
      </c>
      <c r="H166" s="263">
        <f>'Pazarlama&amp;Satış(d+a) GMY+MDR'!H30+'MADENİ YAĞ GİDER BÜTÇESİ'!H30</f>
        <v>0</v>
      </c>
      <c r="I166" s="263">
        <f>'Pazarlama&amp;Satış(d+a) GMY+MDR'!I30+'MADENİ YAĞ GİDER BÜTÇESİ'!I30</f>
        <v>0</v>
      </c>
      <c r="J166" s="263">
        <f>'Pazarlama&amp;Satış(d+a) GMY+MDR'!J30+'MADENİ YAĞ GİDER BÜTÇESİ'!J30</f>
        <v>0</v>
      </c>
      <c r="K166" s="263">
        <f>'Pazarlama&amp;Satış(d+a) GMY+MDR'!K30+'MADENİ YAĞ GİDER BÜTÇESİ'!K30</f>
        <v>0</v>
      </c>
      <c r="L166" s="263">
        <f>'Pazarlama&amp;Satış(d+a) GMY+MDR'!L30+'MADENİ YAĞ GİDER BÜTÇESİ'!L30</f>
        <v>0</v>
      </c>
      <c r="M166" s="263">
        <f>'Pazarlama&amp;Satış(d+a) GMY+MDR'!M30+'MADENİ YAĞ GİDER BÜTÇESİ'!M30</f>
        <v>0</v>
      </c>
      <c r="N166" s="263">
        <f>'Pazarlama&amp;Satış(d+a) GMY+MDR'!N30+'MADENİ YAĞ GİDER BÜTÇESİ'!N30</f>
        <v>0</v>
      </c>
      <c r="O166" s="263">
        <f>'Pazarlama&amp;Satış(d+a) GMY+MDR'!O30+'MADENİ YAĞ GİDER BÜTÇESİ'!O30</f>
        <v>0</v>
      </c>
      <c r="P166" s="263">
        <f t="shared" si="89"/>
        <v>0</v>
      </c>
      <c r="Q166" s="230" t="str">
        <f t="shared" si="87"/>
        <v>-</v>
      </c>
      <c r="R166" s="249"/>
      <c r="S166" s="1884"/>
      <c r="T166" s="1884"/>
      <c r="U166" s="1884"/>
    </row>
    <row r="167" spans="1:21" ht="17.25" customHeight="1">
      <c r="A167" s="95" t="s">
        <v>59</v>
      </c>
      <c r="B167" s="1040">
        <f>'Pazarlama&amp;Satış(d+a) GMY+MDR'!B31+'MADENİ YAĞ GİDER BÜTÇESİ'!B31</f>
        <v>0</v>
      </c>
      <c r="C167" s="2255">
        <f t="shared" si="90"/>
        <v>0</v>
      </c>
      <c r="D167" s="260">
        <f>'Pazarlama&amp;Satış(d+a) GMY+MDR'!D31+'MADENİ YAĞ GİDER BÜTÇESİ'!D31</f>
        <v>0</v>
      </c>
      <c r="E167" s="261">
        <f>'Pazarlama&amp;Satış(d+a) GMY+MDR'!E31+'MADENİ YAĞ GİDER BÜTÇESİ'!E31</f>
        <v>0</v>
      </c>
      <c r="F167" s="261">
        <f>'Pazarlama&amp;Satış(d+a) GMY+MDR'!F31+'MADENİ YAĞ GİDER BÜTÇESİ'!F31</f>
        <v>0</v>
      </c>
      <c r="G167" s="261">
        <f>'Pazarlama&amp;Satış(d+a) GMY+MDR'!G31+'MADENİ YAĞ GİDER BÜTÇESİ'!G31</f>
        <v>0</v>
      </c>
      <c r="H167" s="261">
        <f>'Pazarlama&amp;Satış(d+a) GMY+MDR'!H31+'MADENİ YAĞ GİDER BÜTÇESİ'!H31</f>
        <v>0</v>
      </c>
      <c r="I167" s="261">
        <f>'Pazarlama&amp;Satış(d+a) GMY+MDR'!I31+'MADENİ YAĞ GİDER BÜTÇESİ'!I31</f>
        <v>0</v>
      </c>
      <c r="J167" s="261">
        <f>'Pazarlama&amp;Satış(d+a) GMY+MDR'!J31+'MADENİ YAĞ GİDER BÜTÇESİ'!J31</f>
        <v>0</v>
      </c>
      <c r="K167" s="261">
        <f>'Pazarlama&amp;Satış(d+a) GMY+MDR'!K31+'MADENİ YAĞ GİDER BÜTÇESİ'!K31</f>
        <v>0</v>
      </c>
      <c r="L167" s="261">
        <f>'Pazarlama&amp;Satış(d+a) GMY+MDR'!L31+'MADENİ YAĞ GİDER BÜTÇESİ'!L31</f>
        <v>0</v>
      </c>
      <c r="M167" s="261">
        <f>'Pazarlama&amp;Satış(d+a) GMY+MDR'!M31+'MADENİ YAĞ GİDER BÜTÇESİ'!M31</f>
        <v>0</v>
      </c>
      <c r="N167" s="261">
        <f>'Pazarlama&amp;Satış(d+a) GMY+MDR'!N31+'MADENİ YAĞ GİDER BÜTÇESİ'!N31</f>
        <v>0</v>
      </c>
      <c r="O167" s="261">
        <f>'Pazarlama&amp;Satış(d+a) GMY+MDR'!O31+'MADENİ YAĞ GİDER BÜTÇESİ'!O31</f>
        <v>0</v>
      </c>
      <c r="P167" s="261">
        <f t="shared" si="89"/>
        <v>0</v>
      </c>
      <c r="Q167" s="231" t="str">
        <f t="shared" si="87"/>
        <v>-</v>
      </c>
      <c r="R167" s="249"/>
      <c r="S167" s="1884"/>
      <c r="T167" s="1884"/>
      <c r="U167" s="1884"/>
    </row>
    <row r="168" spans="1:21" ht="17.25" customHeight="1">
      <c r="A168" s="111" t="s">
        <v>60</v>
      </c>
      <c r="B168" s="1041">
        <f>'Pazarlama&amp;Satış(d+a) GMY+MDR'!B32+'MADENİ YAĞ GİDER BÜTÇESİ'!B32</f>
        <v>0</v>
      </c>
      <c r="C168" s="2256">
        <f t="shared" si="90"/>
        <v>0</v>
      </c>
      <c r="D168" s="263">
        <f>'Pazarlama&amp;Satış(d+a) GMY+MDR'!D32+'MADENİ YAĞ GİDER BÜTÇESİ'!D32</f>
        <v>0</v>
      </c>
      <c r="E168" s="263">
        <f>'Pazarlama&amp;Satış(d+a) GMY+MDR'!E32+'MADENİ YAĞ GİDER BÜTÇESİ'!E32</f>
        <v>0</v>
      </c>
      <c r="F168" s="263">
        <f>'Pazarlama&amp;Satış(d+a) GMY+MDR'!F32+'MADENİ YAĞ GİDER BÜTÇESİ'!F32</f>
        <v>0</v>
      </c>
      <c r="G168" s="263">
        <f>'Pazarlama&amp;Satış(d+a) GMY+MDR'!G32+'MADENİ YAĞ GİDER BÜTÇESİ'!G32</f>
        <v>0</v>
      </c>
      <c r="H168" s="263">
        <f>'Pazarlama&amp;Satış(d+a) GMY+MDR'!H32+'MADENİ YAĞ GİDER BÜTÇESİ'!H32</f>
        <v>0</v>
      </c>
      <c r="I168" s="263">
        <f>'Pazarlama&amp;Satış(d+a) GMY+MDR'!I32+'MADENİ YAĞ GİDER BÜTÇESİ'!I32</f>
        <v>0</v>
      </c>
      <c r="J168" s="263">
        <f>'Pazarlama&amp;Satış(d+a) GMY+MDR'!J32+'MADENİ YAĞ GİDER BÜTÇESİ'!J32</f>
        <v>0</v>
      </c>
      <c r="K168" s="263">
        <f>'Pazarlama&amp;Satış(d+a) GMY+MDR'!K32+'MADENİ YAĞ GİDER BÜTÇESİ'!K32</f>
        <v>0</v>
      </c>
      <c r="L168" s="263">
        <f>'Pazarlama&amp;Satış(d+a) GMY+MDR'!L32+'MADENİ YAĞ GİDER BÜTÇESİ'!L32</f>
        <v>0</v>
      </c>
      <c r="M168" s="263">
        <f>'Pazarlama&amp;Satış(d+a) GMY+MDR'!M32+'MADENİ YAĞ GİDER BÜTÇESİ'!M32</f>
        <v>0</v>
      </c>
      <c r="N168" s="263">
        <f>'Pazarlama&amp;Satış(d+a) GMY+MDR'!N32+'MADENİ YAĞ GİDER BÜTÇESİ'!N32</f>
        <v>0</v>
      </c>
      <c r="O168" s="263">
        <f>'Pazarlama&amp;Satış(d+a) GMY+MDR'!O32+'MADENİ YAĞ GİDER BÜTÇESİ'!O32</f>
        <v>0</v>
      </c>
      <c r="P168" s="263">
        <f t="shared" si="89"/>
        <v>0</v>
      </c>
      <c r="Q168" s="230" t="str">
        <f t="shared" si="87"/>
        <v>-</v>
      </c>
      <c r="R168" s="249"/>
      <c r="S168" s="1884"/>
      <c r="T168" s="1884"/>
      <c r="U168" s="1884"/>
    </row>
    <row r="169" spans="1:21" ht="17.25" customHeight="1">
      <c r="A169" s="111" t="s">
        <v>61</v>
      </c>
      <c r="B169" s="1040">
        <f>'Pazarlama&amp;Satış(d+a) GMY+MDR'!B33+'MADENİ YAĞ GİDER BÜTÇESİ'!B33</f>
        <v>0</v>
      </c>
      <c r="C169" s="2255">
        <f t="shared" si="90"/>
        <v>0</v>
      </c>
      <c r="D169" s="260">
        <f>'Pazarlama&amp;Satış(d+a) GMY+MDR'!D33+'MADENİ YAĞ GİDER BÜTÇESİ'!D33</f>
        <v>0</v>
      </c>
      <c r="E169" s="261">
        <f>'Pazarlama&amp;Satış(d+a) GMY+MDR'!E33+'MADENİ YAĞ GİDER BÜTÇESİ'!E33</f>
        <v>0</v>
      </c>
      <c r="F169" s="261">
        <f>'Pazarlama&amp;Satış(d+a) GMY+MDR'!F33+'MADENİ YAĞ GİDER BÜTÇESİ'!F33</f>
        <v>0</v>
      </c>
      <c r="G169" s="261">
        <f>'Pazarlama&amp;Satış(d+a) GMY+MDR'!G33+'MADENİ YAĞ GİDER BÜTÇESİ'!G33</f>
        <v>0</v>
      </c>
      <c r="H169" s="261">
        <f>'Pazarlama&amp;Satış(d+a) GMY+MDR'!H33+'MADENİ YAĞ GİDER BÜTÇESİ'!H33</f>
        <v>0</v>
      </c>
      <c r="I169" s="261">
        <f>'Pazarlama&amp;Satış(d+a) GMY+MDR'!I33+'MADENİ YAĞ GİDER BÜTÇESİ'!I33</f>
        <v>0</v>
      </c>
      <c r="J169" s="261">
        <f>'Pazarlama&amp;Satış(d+a) GMY+MDR'!J33+'MADENİ YAĞ GİDER BÜTÇESİ'!J33</f>
        <v>0</v>
      </c>
      <c r="K169" s="261">
        <f>'Pazarlama&amp;Satış(d+a) GMY+MDR'!K33+'MADENİ YAĞ GİDER BÜTÇESİ'!K33</f>
        <v>0</v>
      </c>
      <c r="L169" s="261">
        <f>'Pazarlama&amp;Satış(d+a) GMY+MDR'!L33+'MADENİ YAĞ GİDER BÜTÇESİ'!L33</f>
        <v>0</v>
      </c>
      <c r="M169" s="261">
        <f>'Pazarlama&amp;Satış(d+a) GMY+MDR'!M33+'MADENİ YAĞ GİDER BÜTÇESİ'!M33</f>
        <v>0</v>
      </c>
      <c r="N169" s="261">
        <f>'Pazarlama&amp;Satış(d+a) GMY+MDR'!N33+'MADENİ YAĞ GİDER BÜTÇESİ'!N33</f>
        <v>0</v>
      </c>
      <c r="O169" s="261">
        <f>'Pazarlama&amp;Satış(d+a) GMY+MDR'!O33+'MADENİ YAĞ GİDER BÜTÇESİ'!O33</f>
        <v>0</v>
      </c>
      <c r="P169" s="261">
        <f t="shared" si="89"/>
        <v>0</v>
      </c>
      <c r="Q169" s="230" t="str">
        <f t="shared" si="87"/>
        <v>-</v>
      </c>
      <c r="R169" s="249"/>
      <c r="S169" s="1884"/>
      <c r="T169" s="1884"/>
      <c r="U169" s="1884"/>
    </row>
    <row r="170" spans="1:21" ht="17.25" customHeight="1">
      <c r="A170" s="95" t="s">
        <v>62</v>
      </c>
      <c r="B170" s="1041">
        <f>'Pazarlama&amp;Satış(d+a) GMY+MDR'!B34+'MADENİ YAĞ GİDER BÜTÇESİ'!B34</f>
        <v>0</v>
      </c>
      <c r="C170" s="2256">
        <f t="shared" si="90"/>
        <v>0</v>
      </c>
      <c r="D170" s="263">
        <f>'Pazarlama&amp;Satış(d+a) GMY+MDR'!D34+'MADENİ YAĞ GİDER BÜTÇESİ'!D34</f>
        <v>0</v>
      </c>
      <c r="E170" s="263">
        <f>'Pazarlama&amp;Satış(d+a) GMY+MDR'!E34+'MADENİ YAĞ GİDER BÜTÇESİ'!E34</f>
        <v>0</v>
      </c>
      <c r="F170" s="263">
        <f>'Pazarlama&amp;Satış(d+a) GMY+MDR'!F34+'MADENİ YAĞ GİDER BÜTÇESİ'!F34</f>
        <v>0</v>
      </c>
      <c r="G170" s="263">
        <f>'Pazarlama&amp;Satış(d+a) GMY+MDR'!G34+'MADENİ YAĞ GİDER BÜTÇESİ'!G34</f>
        <v>0</v>
      </c>
      <c r="H170" s="263">
        <f>'Pazarlama&amp;Satış(d+a) GMY+MDR'!H34+'MADENİ YAĞ GİDER BÜTÇESİ'!H34</f>
        <v>0</v>
      </c>
      <c r="I170" s="263">
        <f>'Pazarlama&amp;Satış(d+a) GMY+MDR'!I34+'MADENİ YAĞ GİDER BÜTÇESİ'!I34</f>
        <v>0</v>
      </c>
      <c r="J170" s="263">
        <f>'Pazarlama&amp;Satış(d+a) GMY+MDR'!J34+'MADENİ YAĞ GİDER BÜTÇESİ'!J34</f>
        <v>0</v>
      </c>
      <c r="K170" s="263">
        <f>'Pazarlama&amp;Satış(d+a) GMY+MDR'!K34+'MADENİ YAĞ GİDER BÜTÇESİ'!K34</f>
        <v>0</v>
      </c>
      <c r="L170" s="263">
        <f>'Pazarlama&amp;Satış(d+a) GMY+MDR'!L34+'MADENİ YAĞ GİDER BÜTÇESİ'!L34</f>
        <v>0</v>
      </c>
      <c r="M170" s="263">
        <f>'Pazarlama&amp;Satış(d+a) GMY+MDR'!M34+'MADENİ YAĞ GİDER BÜTÇESİ'!M34</f>
        <v>0</v>
      </c>
      <c r="N170" s="263">
        <f>'Pazarlama&amp;Satış(d+a) GMY+MDR'!N34+'MADENİ YAĞ GİDER BÜTÇESİ'!N34</f>
        <v>0</v>
      </c>
      <c r="O170" s="263">
        <f>'Pazarlama&amp;Satış(d+a) GMY+MDR'!O34+'MADENİ YAĞ GİDER BÜTÇESİ'!O34</f>
        <v>0</v>
      </c>
      <c r="P170" s="263">
        <f t="shared" si="89"/>
        <v>0</v>
      </c>
      <c r="Q170" s="231" t="str">
        <f t="shared" si="87"/>
        <v>-</v>
      </c>
      <c r="R170" s="249"/>
      <c r="S170" s="1884"/>
      <c r="T170" s="1884"/>
      <c r="U170" s="1884"/>
    </row>
    <row r="171" spans="1:21" ht="17.25" customHeight="1">
      <c r="A171" s="111" t="s">
        <v>63</v>
      </c>
      <c r="B171" s="1040">
        <f>'Pazarlama&amp;Satış(d+a) GMY+MDR'!B35+'MADENİ YAĞ GİDER BÜTÇESİ'!B35</f>
        <v>0</v>
      </c>
      <c r="C171" s="2255">
        <f t="shared" si="90"/>
        <v>0</v>
      </c>
      <c r="D171" s="260">
        <f>'Pazarlama&amp;Satış(d+a) GMY+MDR'!D35+'MADENİ YAĞ GİDER BÜTÇESİ'!D35</f>
        <v>0</v>
      </c>
      <c r="E171" s="261">
        <f>'Pazarlama&amp;Satış(d+a) GMY+MDR'!E35+'MADENİ YAĞ GİDER BÜTÇESİ'!E35</f>
        <v>0</v>
      </c>
      <c r="F171" s="261">
        <f>'Pazarlama&amp;Satış(d+a) GMY+MDR'!F35+'MADENİ YAĞ GİDER BÜTÇESİ'!F35</f>
        <v>0</v>
      </c>
      <c r="G171" s="261">
        <f>'Pazarlama&amp;Satış(d+a) GMY+MDR'!G35+'MADENİ YAĞ GİDER BÜTÇESİ'!G35</f>
        <v>0</v>
      </c>
      <c r="H171" s="261">
        <f>'Pazarlama&amp;Satış(d+a) GMY+MDR'!H35+'MADENİ YAĞ GİDER BÜTÇESİ'!H35</f>
        <v>0</v>
      </c>
      <c r="I171" s="261">
        <f>'Pazarlama&amp;Satış(d+a) GMY+MDR'!I35+'MADENİ YAĞ GİDER BÜTÇESİ'!I35</f>
        <v>0</v>
      </c>
      <c r="J171" s="261">
        <f>'Pazarlama&amp;Satış(d+a) GMY+MDR'!J35+'MADENİ YAĞ GİDER BÜTÇESİ'!J35</f>
        <v>0</v>
      </c>
      <c r="K171" s="261">
        <f>'Pazarlama&amp;Satış(d+a) GMY+MDR'!K35+'MADENİ YAĞ GİDER BÜTÇESİ'!K35</f>
        <v>0</v>
      </c>
      <c r="L171" s="261">
        <f>'Pazarlama&amp;Satış(d+a) GMY+MDR'!L35+'MADENİ YAĞ GİDER BÜTÇESİ'!L35</f>
        <v>0</v>
      </c>
      <c r="M171" s="261">
        <f>'Pazarlama&amp;Satış(d+a) GMY+MDR'!M35+'MADENİ YAĞ GİDER BÜTÇESİ'!M35</f>
        <v>0</v>
      </c>
      <c r="N171" s="261">
        <f>'Pazarlama&amp;Satış(d+a) GMY+MDR'!N35+'MADENİ YAĞ GİDER BÜTÇESİ'!N35</f>
        <v>0</v>
      </c>
      <c r="O171" s="261">
        <f>'Pazarlama&amp;Satış(d+a) GMY+MDR'!O35+'MADENİ YAĞ GİDER BÜTÇESİ'!O35</f>
        <v>0</v>
      </c>
      <c r="P171" s="261">
        <f t="shared" si="89"/>
        <v>0</v>
      </c>
      <c r="Q171" s="230" t="str">
        <f t="shared" si="87"/>
        <v>-</v>
      </c>
      <c r="R171" s="249"/>
      <c r="S171" s="1884"/>
      <c r="T171" s="1884"/>
      <c r="U171" s="1884"/>
    </row>
    <row r="172" spans="1:21" ht="17.25" customHeight="1">
      <c r="A172" s="111" t="s">
        <v>567</v>
      </c>
      <c r="B172" s="1041">
        <f>'Pazarlama&amp;Satış(d+a) GMY+MDR'!B36+'MADENİ YAĞ GİDER BÜTÇESİ'!B36</f>
        <v>0</v>
      </c>
      <c r="C172" s="2256">
        <f t="shared" si="90"/>
        <v>0</v>
      </c>
      <c r="D172" s="263">
        <f>'Pazarlama&amp;Satış(d+a) GMY+MDR'!D36+'MADENİ YAĞ GİDER BÜTÇESİ'!D36</f>
        <v>0</v>
      </c>
      <c r="E172" s="263">
        <f>'Pazarlama&amp;Satış(d+a) GMY+MDR'!E36+'MADENİ YAĞ GİDER BÜTÇESİ'!E36</f>
        <v>0</v>
      </c>
      <c r="F172" s="263">
        <f>'Pazarlama&amp;Satış(d+a) GMY+MDR'!F36+'MADENİ YAĞ GİDER BÜTÇESİ'!F36</f>
        <v>0</v>
      </c>
      <c r="G172" s="263">
        <f>'Pazarlama&amp;Satış(d+a) GMY+MDR'!G36+'MADENİ YAĞ GİDER BÜTÇESİ'!G36</f>
        <v>0</v>
      </c>
      <c r="H172" s="263">
        <f>'Pazarlama&amp;Satış(d+a) GMY+MDR'!H36+'MADENİ YAĞ GİDER BÜTÇESİ'!H36</f>
        <v>0</v>
      </c>
      <c r="I172" s="263">
        <f>'Pazarlama&amp;Satış(d+a) GMY+MDR'!I36+'MADENİ YAĞ GİDER BÜTÇESİ'!I36</f>
        <v>0</v>
      </c>
      <c r="J172" s="263">
        <f>'Pazarlama&amp;Satış(d+a) GMY+MDR'!J36+'MADENİ YAĞ GİDER BÜTÇESİ'!J36</f>
        <v>0</v>
      </c>
      <c r="K172" s="263">
        <f>'Pazarlama&amp;Satış(d+a) GMY+MDR'!K36+'MADENİ YAĞ GİDER BÜTÇESİ'!K36</f>
        <v>0</v>
      </c>
      <c r="L172" s="263">
        <f>'Pazarlama&amp;Satış(d+a) GMY+MDR'!L36+'MADENİ YAĞ GİDER BÜTÇESİ'!L36</f>
        <v>0</v>
      </c>
      <c r="M172" s="263">
        <f>'Pazarlama&amp;Satış(d+a) GMY+MDR'!M36+'MADENİ YAĞ GİDER BÜTÇESİ'!M36</f>
        <v>0</v>
      </c>
      <c r="N172" s="263">
        <f>'Pazarlama&amp;Satış(d+a) GMY+MDR'!N36+'MADENİ YAĞ GİDER BÜTÇESİ'!N36</f>
        <v>0</v>
      </c>
      <c r="O172" s="263">
        <f>'Pazarlama&amp;Satış(d+a) GMY+MDR'!O36+'MADENİ YAĞ GİDER BÜTÇESİ'!O36</f>
        <v>0</v>
      </c>
      <c r="P172" s="263">
        <f t="shared" si="89"/>
        <v>0</v>
      </c>
      <c r="Q172" s="230" t="str">
        <f t="shared" si="87"/>
        <v>-</v>
      </c>
      <c r="R172" s="249"/>
      <c r="S172" s="1884"/>
      <c r="T172" s="1884"/>
      <c r="U172" s="1884"/>
    </row>
    <row r="173" spans="1:21" ht="17.25" customHeight="1" thickBot="1">
      <c r="A173" s="107" t="s">
        <v>64</v>
      </c>
      <c r="B173" s="1040">
        <f>'Pazarlama&amp;Satış(d+a) GMY+MDR'!B37+'MADENİ YAĞ GİDER BÜTÇESİ'!B37</f>
        <v>0</v>
      </c>
      <c r="C173" s="2255">
        <f t="shared" si="90"/>
        <v>0</v>
      </c>
      <c r="D173" s="260">
        <f>'Pazarlama&amp;Satış(d+a) GMY+MDR'!D37+'MADENİ YAĞ GİDER BÜTÇESİ'!D37</f>
        <v>0</v>
      </c>
      <c r="E173" s="261">
        <f>'Pazarlama&amp;Satış(d+a) GMY+MDR'!E37+'MADENİ YAĞ GİDER BÜTÇESİ'!E37</f>
        <v>0</v>
      </c>
      <c r="F173" s="261">
        <f>'Pazarlama&amp;Satış(d+a) GMY+MDR'!F37+'MADENİ YAĞ GİDER BÜTÇESİ'!F37</f>
        <v>0</v>
      </c>
      <c r="G173" s="261">
        <f>'Pazarlama&amp;Satış(d+a) GMY+MDR'!G37+'MADENİ YAĞ GİDER BÜTÇESİ'!G37</f>
        <v>0</v>
      </c>
      <c r="H173" s="261">
        <f>'Pazarlama&amp;Satış(d+a) GMY+MDR'!H37+'MADENİ YAĞ GİDER BÜTÇESİ'!H37</f>
        <v>0</v>
      </c>
      <c r="I173" s="261">
        <f>'Pazarlama&amp;Satış(d+a) GMY+MDR'!I37+'MADENİ YAĞ GİDER BÜTÇESİ'!I37</f>
        <v>0</v>
      </c>
      <c r="J173" s="261">
        <f>'Pazarlama&amp;Satış(d+a) GMY+MDR'!J37+'MADENİ YAĞ GİDER BÜTÇESİ'!J37</f>
        <v>0</v>
      </c>
      <c r="K173" s="261">
        <f>'Pazarlama&amp;Satış(d+a) GMY+MDR'!K37+'MADENİ YAĞ GİDER BÜTÇESİ'!K37</f>
        <v>0</v>
      </c>
      <c r="L173" s="261">
        <f>'Pazarlama&amp;Satış(d+a) GMY+MDR'!L37+'MADENİ YAĞ GİDER BÜTÇESİ'!L37</f>
        <v>0</v>
      </c>
      <c r="M173" s="261">
        <f>'Pazarlama&amp;Satış(d+a) GMY+MDR'!M37+'MADENİ YAĞ GİDER BÜTÇESİ'!M37</f>
        <v>0</v>
      </c>
      <c r="N173" s="261">
        <f>'Pazarlama&amp;Satış(d+a) GMY+MDR'!N37+'MADENİ YAĞ GİDER BÜTÇESİ'!N37</f>
        <v>0</v>
      </c>
      <c r="O173" s="261">
        <f>'Pazarlama&amp;Satış(d+a) GMY+MDR'!O37+'MADENİ YAĞ GİDER BÜTÇESİ'!O37</f>
        <v>0</v>
      </c>
      <c r="P173" s="261">
        <f t="shared" si="89"/>
        <v>0</v>
      </c>
      <c r="Q173" s="1003" t="str">
        <f t="shared" si="87"/>
        <v>-</v>
      </c>
      <c r="R173" s="249"/>
      <c r="S173" s="1884"/>
      <c r="T173" s="1884"/>
      <c r="U173" s="1884"/>
    </row>
    <row r="174" spans="1:21" ht="15" thickBot="1"/>
    <row r="175" spans="1:21" ht="33" customHeight="1">
      <c r="A175" s="5"/>
      <c r="B175" s="2355" t="s">
        <v>649</v>
      </c>
      <c r="C175" s="2355" t="s">
        <v>647</v>
      </c>
      <c r="D175" s="2359" t="s">
        <v>654</v>
      </c>
      <c r="E175" s="2360"/>
      <c r="F175" s="2360"/>
      <c r="G175" s="2360"/>
      <c r="H175" s="2360"/>
      <c r="I175" s="2360"/>
      <c r="J175" s="2360"/>
      <c r="K175" s="2360"/>
      <c r="L175" s="2360"/>
      <c r="M175" s="2360"/>
      <c r="N175" s="2360"/>
      <c r="O175" s="2360"/>
      <c r="P175" s="2361"/>
      <c r="Q175" s="937" t="s">
        <v>638</v>
      </c>
    </row>
    <row r="176" spans="1:21" ht="30.75" customHeight="1" thickBot="1">
      <c r="A176" s="112"/>
      <c r="B176" s="2356"/>
      <c r="C176" s="2356"/>
      <c r="D176" s="113" t="s">
        <v>1</v>
      </c>
      <c r="E176" s="114" t="s">
        <v>2</v>
      </c>
      <c r="F176" s="114" t="s">
        <v>3</v>
      </c>
      <c r="G176" s="114" t="s">
        <v>4</v>
      </c>
      <c r="H176" s="114" t="s">
        <v>5</v>
      </c>
      <c r="I176" s="114" t="s">
        <v>6</v>
      </c>
      <c r="J176" s="114" t="s">
        <v>7</v>
      </c>
      <c r="K176" s="114" t="s">
        <v>8</v>
      </c>
      <c r="L176" s="114" t="s">
        <v>9</v>
      </c>
      <c r="M176" s="114" t="s">
        <v>10</v>
      </c>
      <c r="N176" s="114" t="s">
        <v>11</v>
      </c>
      <c r="O176" s="114" t="s">
        <v>12</v>
      </c>
      <c r="P176" s="115" t="s">
        <v>13</v>
      </c>
      <c r="Q176" s="941" t="s">
        <v>619</v>
      </c>
    </row>
    <row r="177" spans="1:22" ht="21" customHeight="1">
      <c r="A177" s="117" t="s">
        <v>68</v>
      </c>
      <c r="B177" s="1206">
        <f>B44</f>
        <v>0.16949</v>
      </c>
      <c r="C177" s="1206">
        <f>C44</f>
        <v>0</v>
      </c>
      <c r="D177" s="103">
        <f t="shared" ref="D177:O177" si="91">D44</f>
        <v>0</v>
      </c>
      <c r="E177" s="104">
        <f t="shared" si="91"/>
        <v>0</v>
      </c>
      <c r="F177" s="104">
        <f t="shared" si="91"/>
        <v>0</v>
      </c>
      <c r="G177" s="104">
        <f t="shared" si="91"/>
        <v>0</v>
      </c>
      <c r="H177" s="104">
        <f t="shared" si="91"/>
        <v>0</v>
      </c>
      <c r="I177" s="104">
        <f t="shared" si="91"/>
        <v>0</v>
      </c>
      <c r="J177" s="104">
        <f t="shared" si="91"/>
        <v>0</v>
      </c>
      <c r="K177" s="104">
        <f t="shared" si="91"/>
        <v>0</v>
      </c>
      <c r="L177" s="104">
        <f t="shared" si="91"/>
        <v>0</v>
      </c>
      <c r="M177" s="104">
        <f t="shared" si="91"/>
        <v>0</v>
      </c>
      <c r="N177" s="104">
        <f t="shared" si="91"/>
        <v>0</v>
      </c>
      <c r="O177" s="105">
        <f t="shared" si="91"/>
        <v>0</v>
      </c>
      <c r="P177" s="1109">
        <f>P44</f>
        <v>0</v>
      </c>
      <c r="Q177" s="1106" t="str">
        <f>IF(P177=0,"-",P177/C177-1)</f>
        <v>-</v>
      </c>
    </row>
    <row r="178" spans="1:22" ht="21" customHeight="1">
      <c r="A178" s="1167" t="s">
        <v>69</v>
      </c>
      <c r="B178" s="753">
        <f>B67</f>
        <v>0</v>
      </c>
      <c r="C178" s="753">
        <f t="shared" ref="C178:O178" si="92">C67</f>
        <v>0</v>
      </c>
      <c r="D178" s="100">
        <f t="shared" si="92"/>
        <v>0</v>
      </c>
      <c r="E178" s="97">
        <f t="shared" si="92"/>
        <v>0</v>
      </c>
      <c r="F178" s="97">
        <f t="shared" si="92"/>
        <v>0</v>
      </c>
      <c r="G178" s="97">
        <f t="shared" si="92"/>
        <v>0</v>
      </c>
      <c r="H178" s="97">
        <f t="shared" si="92"/>
        <v>0</v>
      </c>
      <c r="I178" s="97">
        <f t="shared" si="92"/>
        <v>0</v>
      </c>
      <c r="J178" s="97">
        <f t="shared" si="92"/>
        <v>0</v>
      </c>
      <c r="K178" s="97">
        <f t="shared" si="92"/>
        <v>0</v>
      </c>
      <c r="L178" s="97">
        <f t="shared" si="92"/>
        <v>0</v>
      </c>
      <c r="M178" s="97">
        <f t="shared" si="92"/>
        <v>0</v>
      </c>
      <c r="N178" s="97">
        <f t="shared" si="92"/>
        <v>0</v>
      </c>
      <c r="O178" s="101">
        <f t="shared" si="92"/>
        <v>0</v>
      </c>
      <c r="P178" s="1110">
        <f>P67</f>
        <v>0</v>
      </c>
      <c r="Q178" s="1107" t="str">
        <f t="shared" ref="Q178:Q186" si="93">IF(P178=0,"-",P178/C178-1)</f>
        <v>-</v>
      </c>
    </row>
    <row r="179" spans="1:22" ht="21" customHeight="1">
      <c r="A179" s="1167" t="s">
        <v>512</v>
      </c>
      <c r="B179" s="1829">
        <f>+Perakende!B179+'Pazarlama&amp;Satış(d+a) GMY+MDR'!B43+DAĞITICI!B179+ENDÜSTRİYEL!B179+İHALE!B179+'Deniz Satış &amp; Konsolide'!B179+'MADENİ YAĞ GİDER BÜTÇESİ'!B43</f>
        <v>0</v>
      </c>
      <c r="C179" s="753">
        <f>+Perakende!C179+'Pazarlama&amp;Satış(d+a) GMY+MDR'!C43+DAĞITICI!C179+ENDÜSTRİYEL!C179+İHALE!C179+'Deniz Satış &amp; Konsolide'!C179+'MADENİ YAĞ GİDER BÜTÇESİ'!C43</f>
        <v>0</v>
      </c>
      <c r="D179" s="100">
        <f>+Perakende!D179+'Pazarlama&amp;Satış(d+a) GMY+MDR'!D43+DAĞITICI!D179+ENDÜSTRİYEL!D179+İHALE!D179+'Deniz Satış &amp; Konsolide'!D179+'MADENİ YAĞ GİDER BÜTÇESİ'!D43</f>
        <v>0</v>
      </c>
      <c r="E179" s="97">
        <f>+Perakende!E179+'Pazarlama&amp;Satış(d+a) GMY+MDR'!E43+DAĞITICI!E179+ENDÜSTRİYEL!E179+İHALE!E179+'Deniz Satış &amp; Konsolide'!E179+'MADENİ YAĞ GİDER BÜTÇESİ'!E43</f>
        <v>0</v>
      </c>
      <c r="F179" s="97">
        <f>+Perakende!F179+'Pazarlama&amp;Satış(d+a) GMY+MDR'!F43+DAĞITICI!F179+ENDÜSTRİYEL!F179+İHALE!F179+'Deniz Satış &amp; Konsolide'!F179+'MADENİ YAĞ GİDER BÜTÇESİ'!F43</f>
        <v>0</v>
      </c>
      <c r="G179" s="97">
        <f>+Perakende!G179+'Pazarlama&amp;Satış(d+a) GMY+MDR'!G43+DAĞITICI!G179+ENDÜSTRİYEL!G179+İHALE!G179+'Deniz Satış &amp; Konsolide'!G179+'MADENİ YAĞ GİDER BÜTÇESİ'!G43</f>
        <v>0</v>
      </c>
      <c r="H179" s="97">
        <f>+Perakende!H179+'Pazarlama&amp;Satış(d+a) GMY+MDR'!H43+DAĞITICI!H179+ENDÜSTRİYEL!H179+İHALE!H179+'Deniz Satış &amp; Konsolide'!H179+'MADENİ YAĞ GİDER BÜTÇESİ'!H43</f>
        <v>0</v>
      </c>
      <c r="I179" s="97">
        <f>+Perakende!I179+'Pazarlama&amp;Satış(d+a) GMY+MDR'!I43+DAĞITICI!I179+ENDÜSTRİYEL!I179+İHALE!I179+'Deniz Satış &amp; Konsolide'!I179+'MADENİ YAĞ GİDER BÜTÇESİ'!I43</f>
        <v>0</v>
      </c>
      <c r="J179" s="97">
        <f>+Perakende!J179+'Pazarlama&amp;Satış(d+a) GMY+MDR'!J43+DAĞITICI!J179+ENDÜSTRİYEL!J179+İHALE!J179+'Deniz Satış &amp; Konsolide'!J179+'MADENİ YAĞ GİDER BÜTÇESİ'!J43</f>
        <v>0</v>
      </c>
      <c r="K179" s="97">
        <f>+Perakende!K179+'Pazarlama&amp;Satış(d+a) GMY+MDR'!K43+DAĞITICI!K179+ENDÜSTRİYEL!K179+İHALE!K179+'Deniz Satış &amp; Konsolide'!K179+'MADENİ YAĞ GİDER BÜTÇESİ'!K43</f>
        <v>0</v>
      </c>
      <c r="L179" s="97">
        <f>+Perakende!L179+'Pazarlama&amp;Satış(d+a) GMY+MDR'!L43+DAĞITICI!L179+ENDÜSTRİYEL!L179+İHALE!L179+'Deniz Satış &amp; Konsolide'!L179+'MADENİ YAĞ GİDER BÜTÇESİ'!L43</f>
        <v>0</v>
      </c>
      <c r="M179" s="97">
        <f>+Perakende!M179+'Pazarlama&amp;Satış(d+a) GMY+MDR'!M43+DAĞITICI!M179+ENDÜSTRİYEL!M179+İHALE!M179+'Deniz Satış &amp; Konsolide'!M179+'MADENİ YAĞ GİDER BÜTÇESİ'!M43</f>
        <v>0</v>
      </c>
      <c r="N179" s="97">
        <f>+Perakende!N179+'Pazarlama&amp;Satış(d+a) GMY+MDR'!N43+DAĞITICI!N179+ENDÜSTRİYEL!N179+İHALE!N179+'Deniz Satış &amp; Konsolide'!N179+'MADENİ YAĞ GİDER BÜTÇESİ'!N43</f>
        <v>0</v>
      </c>
      <c r="O179" s="101">
        <f>+Perakende!O179+'Pazarlama&amp;Satış(d+a) GMY+MDR'!O43+DAĞITICI!O179+ENDÜSTRİYEL!O179+İHALE!O179+'Deniz Satış &amp; Konsolide'!O179+'MADENİ YAĞ GİDER BÜTÇESİ'!O43</f>
        <v>0</v>
      </c>
      <c r="P179" s="1110">
        <f t="shared" ref="P179" si="94">SUM(D179:O179)</f>
        <v>0</v>
      </c>
      <c r="Q179" s="1107" t="str">
        <f t="shared" ref="Q179" si="95">IF(P179=0,"-",P179/C179-1)</f>
        <v>-</v>
      </c>
    </row>
    <row r="180" spans="1:22" ht="21" customHeight="1">
      <c r="A180" s="95" t="s">
        <v>70</v>
      </c>
      <c r="B180" s="754">
        <f>B90-B179</f>
        <v>0.16949</v>
      </c>
      <c r="C180" s="754">
        <f t="shared" ref="C180:O180" si="96">C90-C179</f>
        <v>0</v>
      </c>
      <c r="D180" s="98">
        <f t="shared" si="96"/>
        <v>0</v>
      </c>
      <c r="E180" s="96">
        <f t="shared" si="96"/>
        <v>0</v>
      </c>
      <c r="F180" s="96">
        <f t="shared" si="96"/>
        <v>0</v>
      </c>
      <c r="G180" s="96">
        <f t="shared" si="96"/>
        <v>0</v>
      </c>
      <c r="H180" s="96">
        <f t="shared" si="96"/>
        <v>0</v>
      </c>
      <c r="I180" s="96">
        <f t="shared" si="96"/>
        <v>0</v>
      </c>
      <c r="J180" s="96">
        <f t="shared" si="96"/>
        <v>0</v>
      </c>
      <c r="K180" s="96">
        <f t="shared" si="96"/>
        <v>0</v>
      </c>
      <c r="L180" s="96">
        <f t="shared" si="96"/>
        <v>0</v>
      </c>
      <c r="M180" s="96">
        <f t="shared" si="96"/>
        <v>0</v>
      </c>
      <c r="N180" s="96">
        <f t="shared" si="96"/>
        <v>0</v>
      </c>
      <c r="O180" s="99">
        <f t="shared" si="96"/>
        <v>0</v>
      </c>
      <c r="P180" s="743">
        <f>P90-P179</f>
        <v>0</v>
      </c>
      <c r="Q180" s="1108" t="str">
        <f t="shared" si="93"/>
        <v>-</v>
      </c>
    </row>
    <row r="181" spans="1:22" ht="21" customHeight="1">
      <c r="A181" s="1167" t="s">
        <v>71</v>
      </c>
      <c r="B181" s="753">
        <f t="shared" ref="B181" si="97">B113</f>
        <v>0.12118642995000001</v>
      </c>
      <c r="C181" s="753">
        <f t="shared" ref="C181:P181" si="98">C113</f>
        <v>0</v>
      </c>
      <c r="D181" s="100">
        <f t="shared" si="98"/>
        <v>0</v>
      </c>
      <c r="E181" s="97">
        <f t="shared" si="98"/>
        <v>0</v>
      </c>
      <c r="F181" s="97">
        <f t="shared" si="98"/>
        <v>0</v>
      </c>
      <c r="G181" s="97">
        <f t="shared" si="98"/>
        <v>0</v>
      </c>
      <c r="H181" s="97">
        <f t="shared" si="98"/>
        <v>0</v>
      </c>
      <c r="I181" s="97">
        <f t="shared" si="98"/>
        <v>0</v>
      </c>
      <c r="J181" s="97">
        <f t="shared" si="98"/>
        <v>0</v>
      </c>
      <c r="K181" s="97">
        <f t="shared" si="98"/>
        <v>0</v>
      </c>
      <c r="L181" s="97">
        <f t="shared" si="98"/>
        <v>0</v>
      </c>
      <c r="M181" s="97">
        <f t="shared" si="98"/>
        <v>0</v>
      </c>
      <c r="N181" s="97">
        <f t="shared" si="98"/>
        <v>0</v>
      </c>
      <c r="O181" s="101">
        <f t="shared" si="98"/>
        <v>0</v>
      </c>
      <c r="P181" s="1110">
        <f t="shared" si="98"/>
        <v>0</v>
      </c>
      <c r="Q181" s="1107" t="str">
        <f t="shared" si="93"/>
        <v>-</v>
      </c>
    </row>
    <row r="182" spans="1:22" ht="21" customHeight="1">
      <c r="A182" s="95" t="s">
        <v>36</v>
      </c>
      <c r="B182" s="754">
        <f t="shared" ref="B182" si="99">B136</f>
        <v>4.8303570049999994E-2</v>
      </c>
      <c r="C182" s="754">
        <f t="shared" ref="C182:P182" si="100">C136</f>
        <v>0</v>
      </c>
      <c r="D182" s="98">
        <f t="shared" si="100"/>
        <v>0</v>
      </c>
      <c r="E182" s="96">
        <f t="shared" si="100"/>
        <v>0</v>
      </c>
      <c r="F182" s="96">
        <f t="shared" si="100"/>
        <v>0</v>
      </c>
      <c r="G182" s="96">
        <f t="shared" si="100"/>
        <v>0</v>
      </c>
      <c r="H182" s="96">
        <f t="shared" si="100"/>
        <v>0</v>
      </c>
      <c r="I182" s="96">
        <f t="shared" si="100"/>
        <v>0</v>
      </c>
      <c r="J182" s="96">
        <f t="shared" si="100"/>
        <v>0</v>
      </c>
      <c r="K182" s="96">
        <f t="shared" si="100"/>
        <v>0</v>
      </c>
      <c r="L182" s="96">
        <f t="shared" si="100"/>
        <v>0</v>
      </c>
      <c r="M182" s="96">
        <f t="shared" si="100"/>
        <v>0</v>
      </c>
      <c r="N182" s="96">
        <f t="shared" si="100"/>
        <v>0</v>
      </c>
      <c r="O182" s="99">
        <f t="shared" si="100"/>
        <v>0</v>
      </c>
      <c r="P182" s="743">
        <f t="shared" si="100"/>
        <v>0</v>
      </c>
      <c r="Q182" s="1108" t="str">
        <f t="shared" si="93"/>
        <v>-</v>
      </c>
    </row>
    <row r="183" spans="1:22" ht="21" customHeight="1">
      <c r="A183" s="1167" t="s">
        <v>73</v>
      </c>
      <c r="B183" s="1207">
        <f>B182/B180</f>
        <v>0.28499362823765412</v>
      </c>
      <c r="C183" s="1207" t="e">
        <f>C182/C180</f>
        <v>#DIV/0!</v>
      </c>
      <c r="D183" s="1004" t="e">
        <f t="shared" ref="D183:P183" si="101">D182/D180</f>
        <v>#DIV/0!</v>
      </c>
      <c r="E183" s="1005" t="e">
        <f t="shared" si="101"/>
        <v>#DIV/0!</v>
      </c>
      <c r="F183" s="1005" t="e">
        <f t="shared" si="101"/>
        <v>#DIV/0!</v>
      </c>
      <c r="G183" s="1005" t="e">
        <f t="shared" si="101"/>
        <v>#DIV/0!</v>
      </c>
      <c r="H183" s="1005" t="e">
        <f t="shared" si="101"/>
        <v>#DIV/0!</v>
      </c>
      <c r="I183" s="1005" t="e">
        <f t="shared" si="101"/>
        <v>#DIV/0!</v>
      </c>
      <c r="J183" s="1005" t="e">
        <f t="shared" si="101"/>
        <v>#DIV/0!</v>
      </c>
      <c r="K183" s="1005" t="e">
        <f t="shared" si="101"/>
        <v>#DIV/0!</v>
      </c>
      <c r="L183" s="1005" t="e">
        <f t="shared" si="101"/>
        <v>#DIV/0!</v>
      </c>
      <c r="M183" s="1005" t="e">
        <f t="shared" si="101"/>
        <v>#DIV/0!</v>
      </c>
      <c r="N183" s="1005" t="e">
        <f t="shared" si="101"/>
        <v>#DIV/0!</v>
      </c>
      <c r="O183" s="1006" t="e">
        <f t="shared" si="101"/>
        <v>#DIV/0!</v>
      </c>
      <c r="P183" s="1192" t="e">
        <f t="shared" si="101"/>
        <v>#DIV/0!</v>
      </c>
      <c r="Q183" s="1107" t="e">
        <f t="shared" si="93"/>
        <v>#DIV/0!</v>
      </c>
    </row>
    <row r="184" spans="1:22" ht="21" customHeight="1">
      <c r="A184" s="95" t="s">
        <v>75</v>
      </c>
      <c r="B184" s="754">
        <f>B140/1000</f>
        <v>0</v>
      </c>
      <c r="C184" s="754">
        <f>C140/1000</f>
        <v>0</v>
      </c>
      <c r="D184" s="98">
        <f t="shared" ref="D184:P184" si="102">(D140)/1000</f>
        <v>0</v>
      </c>
      <c r="E184" s="96">
        <f t="shared" si="102"/>
        <v>0</v>
      </c>
      <c r="F184" s="96">
        <f t="shared" si="102"/>
        <v>0</v>
      </c>
      <c r="G184" s="96">
        <f t="shared" si="102"/>
        <v>0</v>
      </c>
      <c r="H184" s="96">
        <f t="shared" si="102"/>
        <v>0</v>
      </c>
      <c r="I184" s="96">
        <f t="shared" si="102"/>
        <v>0</v>
      </c>
      <c r="J184" s="96">
        <f t="shared" si="102"/>
        <v>0</v>
      </c>
      <c r="K184" s="96">
        <f t="shared" si="102"/>
        <v>0</v>
      </c>
      <c r="L184" s="96">
        <f t="shared" si="102"/>
        <v>0</v>
      </c>
      <c r="M184" s="96">
        <f t="shared" si="102"/>
        <v>0</v>
      </c>
      <c r="N184" s="96">
        <f t="shared" si="102"/>
        <v>0</v>
      </c>
      <c r="O184" s="99">
        <f t="shared" si="102"/>
        <v>0</v>
      </c>
      <c r="P184" s="743">
        <f t="shared" si="102"/>
        <v>0</v>
      </c>
      <c r="Q184" s="1108" t="str">
        <f t="shared" si="93"/>
        <v>-</v>
      </c>
    </row>
    <row r="185" spans="1:22" ht="21" customHeight="1">
      <c r="A185" s="1007" t="s">
        <v>74</v>
      </c>
      <c r="B185" s="1208">
        <f t="shared" ref="B185" si="103">B184/B180</f>
        <v>0</v>
      </c>
      <c r="C185" s="1208" t="e">
        <f t="shared" ref="C185:P185" si="104">C184/C180</f>
        <v>#DIV/0!</v>
      </c>
      <c r="D185" s="1008" t="e">
        <f t="shared" si="104"/>
        <v>#DIV/0!</v>
      </c>
      <c r="E185" s="1009" t="e">
        <f t="shared" si="104"/>
        <v>#DIV/0!</v>
      </c>
      <c r="F185" s="1009" t="e">
        <f t="shared" si="104"/>
        <v>#DIV/0!</v>
      </c>
      <c r="G185" s="1009" t="e">
        <f t="shared" si="104"/>
        <v>#DIV/0!</v>
      </c>
      <c r="H185" s="1009" t="e">
        <f t="shared" si="104"/>
        <v>#DIV/0!</v>
      </c>
      <c r="I185" s="1009" t="e">
        <f t="shared" si="104"/>
        <v>#DIV/0!</v>
      </c>
      <c r="J185" s="1009" t="e">
        <f t="shared" si="104"/>
        <v>#DIV/0!</v>
      </c>
      <c r="K185" s="1009" t="e">
        <f t="shared" si="104"/>
        <v>#DIV/0!</v>
      </c>
      <c r="L185" s="1009" t="e">
        <f t="shared" si="104"/>
        <v>#DIV/0!</v>
      </c>
      <c r="M185" s="1009" t="e">
        <f t="shared" si="104"/>
        <v>#DIV/0!</v>
      </c>
      <c r="N185" s="1009" t="e">
        <f t="shared" si="104"/>
        <v>#DIV/0!</v>
      </c>
      <c r="O185" s="1010" t="e">
        <f t="shared" si="104"/>
        <v>#DIV/0!</v>
      </c>
      <c r="P185" s="1193" t="e">
        <f t="shared" si="104"/>
        <v>#DIV/0!</v>
      </c>
      <c r="Q185" s="1189" t="e">
        <f t="shared" si="93"/>
        <v>#DIV/0!</v>
      </c>
      <c r="S185" s="531"/>
      <c r="T185" s="531"/>
      <c r="U185" s="531"/>
      <c r="V185" s="531"/>
    </row>
    <row r="186" spans="1:22" s="121" customFormat="1" ht="21" customHeight="1" thickBot="1">
      <c r="A186" s="1011" t="s">
        <v>79</v>
      </c>
      <c r="B186" s="1209">
        <f t="shared" ref="B186" si="105">B182-B184</f>
        <v>4.8303570049999994E-2</v>
      </c>
      <c r="C186" s="1209">
        <f t="shared" ref="C186:P186" si="106">C182-C184</f>
        <v>0</v>
      </c>
      <c r="D186" s="1012">
        <f t="shared" si="106"/>
        <v>0</v>
      </c>
      <c r="E186" s="1013">
        <f t="shared" si="106"/>
        <v>0</v>
      </c>
      <c r="F186" s="1013">
        <f t="shared" si="106"/>
        <v>0</v>
      </c>
      <c r="G186" s="1013">
        <f t="shared" si="106"/>
        <v>0</v>
      </c>
      <c r="H186" s="1013">
        <f t="shared" si="106"/>
        <v>0</v>
      </c>
      <c r="I186" s="1013">
        <f t="shared" si="106"/>
        <v>0</v>
      </c>
      <c r="J186" s="1013">
        <f t="shared" si="106"/>
        <v>0</v>
      </c>
      <c r="K186" s="1013">
        <f t="shared" si="106"/>
        <v>0</v>
      </c>
      <c r="L186" s="1013">
        <f t="shared" si="106"/>
        <v>0</v>
      </c>
      <c r="M186" s="1013">
        <f t="shared" si="106"/>
        <v>0</v>
      </c>
      <c r="N186" s="1013">
        <f t="shared" si="106"/>
        <v>0</v>
      </c>
      <c r="O186" s="1014">
        <f t="shared" si="106"/>
        <v>0</v>
      </c>
      <c r="P186" s="1111">
        <f t="shared" si="106"/>
        <v>0</v>
      </c>
      <c r="Q186" s="1190" t="str">
        <f t="shared" si="93"/>
        <v>-</v>
      </c>
      <c r="S186" s="281"/>
      <c r="T186" s="281"/>
      <c r="U186" s="281"/>
      <c r="V186" s="281"/>
    </row>
    <row r="187" spans="1:22" s="121" customFormat="1" ht="21" customHeight="1" thickBot="1">
      <c r="A187" s="1015" t="s">
        <v>80</v>
      </c>
      <c r="B187" s="1210">
        <f>B186/B180</f>
        <v>0.28499362823765412</v>
      </c>
      <c r="C187" s="1210" t="e">
        <f>C186/C180</f>
        <v>#DIV/0!</v>
      </c>
      <c r="D187" s="1016" t="e">
        <f t="shared" ref="D187:P187" si="107">D186/D180</f>
        <v>#DIV/0!</v>
      </c>
      <c r="E187" s="1017" t="e">
        <f t="shared" si="107"/>
        <v>#DIV/0!</v>
      </c>
      <c r="F187" s="1017" t="e">
        <f t="shared" si="107"/>
        <v>#DIV/0!</v>
      </c>
      <c r="G187" s="1017" t="e">
        <f t="shared" si="107"/>
        <v>#DIV/0!</v>
      </c>
      <c r="H187" s="1017" t="e">
        <f t="shared" si="107"/>
        <v>#DIV/0!</v>
      </c>
      <c r="I187" s="1017" t="e">
        <f t="shared" si="107"/>
        <v>#DIV/0!</v>
      </c>
      <c r="J187" s="1017" t="e">
        <f t="shared" si="107"/>
        <v>#DIV/0!</v>
      </c>
      <c r="K187" s="1017" t="e">
        <f t="shared" si="107"/>
        <v>#DIV/0!</v>
      </c>
      <c r="L187" s="1017" t="e">
        <f t="shared" si="107"/>
        <v>#DIV/0!</v>
      </c>
      <c r="M187" s="1017" t="e">
        <f t="shared" si="107"/>
        <v>#DIV/0!</v>
      </c>
      <c r="N187" s="1017" t="e">
        <f t="shared" si="107"/>
        <v>#DIV/0!</v>
      </c>
      <c r="O187" s="1018" t="e">
        <f t="shared" si="107"/>
        <v>#DIV/0!</v>
      </c>
      <c r="P187" s="1194" t="e">
        <f t="shared" si="107"/>
        <v>#DIV/0!</v>
      </c>
      <c r="Q187" s="1191" t="e">
        <f>IF(P187=0,"-",P187/C187-1)</f>
        <v>#DIV/0!</v>
      </c>
      <c r="S187" s="281"/>
      <c r="T187" s="281"/>
      <c r="U187" s="281"/>
      <c r="V187" s="281"/>
    </row>
  </sheetData>
  <mergeCells count="24">
    <mergeCell ref="B115:B116"/>
    <mergeCell ref="B138:B139"/>
    <mergeCell ref="B175:B176"/>
    <mergeCell ref="B2:B3"/>
    <mergeCell ref="B23:B24"/>
    <mergeCell ref="B46:B47"/>
    <mergeCell ref="B69:B70"/>
    <mergeCell ref="B92:B93"/>
    <mergeCell ref="C46:C47"/>
    <mergeCell ref="C23:C24"/>
    <mergeCell ref="C2:C3"/>
    <mergeCell ref="D2:P2"/>
    <mergeCell ref="D23:P23"/>
    <mergeCell ref="D46:P46"/>
    <mergeCell ref="D138:P138"/>
    <mergeCell ref="D175:P175"/>
    <mergeCell ref="D69:P69"/>
    <mergeCell ref="D92:P92"/>
    <mergeCell ref="D115:P115"/>
    <mergeCell ref="C92:C93"/>
    <mergeCell ref="C175:C176"/>
    <mergeCell ref="C138:C139"/>
    <mergeCell ref="C115:C116"/>
    <mergeCell ref="C69:C70"/>
  </mergeCells>
  <pageMargins left="0.25" right="0.25" top="0.75" bottom="0.75" header="0.3" footer="0.3"/>
  <pageSetup paperSize="9" scale="64" fitToHeight="0" orientation="landscape" r:id="rId1"/>
  <headerFooter alignWithMargins="0"/>
  <rowBreaks count="7" manualBreakCount="7">
    <brk id="22" max="16" man="1"/>
    <brk id="47" max="15" man="1"/>
    <brk id="68" max="16" man="1"/>
    <brk id="91" max="16" man="1"/>
    <brk id="114" max="16" man="1"/>
    <brk id="137" max="16" man="1"/>
    <brk id="174" max="16" man="1"/>
  </row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60"/>
  <sheetViews>
    <sheetView zoomScale="60" zoomScaleNormal="60" workbookViewId="0">
      <selection activeCell="B36" sqref="B36:B37"/>
    </sheetView>
  </sheetViews>
  <sheetFormatPr defaultColWidth="9.109375" defaultRowHeight="21"/>
  <cols>
    <col min="1" max="1" width="52" style="93" customWidth="1"/>
    <col min="2" max="2" width="20.44140625" style="1037" bestFit="1" customWidth="1"/>
    <col min="3" max="3" width="21.6640625" style="93" customWidth="1"/>
    <col min="4" max="16" width="15.5546875" style="93" customWidth="1"/>
    <col min="17" max="17" width="12.6640625" style="93" bestFit="1" customWidth="1"/>
    <col min="18" max="18" width="14.44140625" style="1610" bestFit="1" customWidth="1"/>
    <col min="19" max="16384" width="9.109375" style="93"/>
  </cols>
  <sheetData>
    <row r="1" spans="1:17" ht="21.6" thickBot="1">
      <c r="A1" s="93">
        <v>0</v>
      </c>
      <c r="B1" s="1037">
        <v>0</v>
      </c>
      <c r="C1" s="93">
        <v>0</v>
      </c>
      <c r="D1" s="93">
        <v>0</v>
      </c>
      <c r="E1" s="93">
        <v>0</v>
      </c>
      <c r="F1" s="93">
        <v>0</v>
      </c>
      <c r="G1" s="93">
        <v>0</v>
      </c>
      <c r="H1" s="93">
        <v>0</v>
      </c>
      <c r="I1" s="93">
        <v>0</v>
      </c>
      <c r="J1" s="93">
        <v>0</v>
      </c>
      <c r="K1" s="93">
        <v>0</v>
      </c>
      <c r="L1" s="93">
        <v>0</v>
      </c>
      <c r="M1" s="93">
        <v>0</v>
      </c>
      <c r="N1" s="93">
        <v>0</v>
      </c>
      <c r="O1" s="93">
        <v>0</v>
      </c>
      <c r="P1" s="93">
        <v>0</v>
      </c>
    </row>
    <row r="2" spans="1:17" ht="36.75" customHeight="1" thickBot="1">
      <c r="A2" s="250">
        <v>0</v>
      </c>
      <c r="B2" s="2365" t="s">
        <v>656</v>
      </c>
      <c r="C2" s="2366"/>
      <c r="D2" s="2367" t="s">
        <v>655</v>
      </c>
      <c r="E2" s="2368">
        <v>0</v>
      </c>
      <c r="F2" s="2368">
        <v>0</v>
      </c>
      <c r="G2" s="2368">
        <v>0</v>
      </c>
      <c r="H2" s="2368">
        <v>0</v>
      </c>
      <c r="I2" s="2368">
        <v>0</v>
      </c>
      <c r="J2" s="2368">
        <v>0</v>
      </c>
      <c r="K2" s="2368">
        <v>0</v>
      </c>
      <c r="L2" s="2368">
        <v>0</v>
      </c>
      <c r="M2" s="2368">
        <v>0</v>
      </c>
      <c r="N2" s="2368">
        <v>0</v>
      </c>
      <c r="O2" s="2368">
        <v>0</v>
      </c>
      <c r="P2" s="2369">
        <v>0</v>
      </c>
    </row>
    <row r="3" spans="1:17" ht="37.5" customHeight="1" thickBot="1">
      <c r="A3" s="251">
        <v>0</v>
      </c>
      <c r="B3" s="1781" t="s">
        <v>657</v>
      </c>
      <c r="C3" s="1781" t="s">
        <v>658</v>
      </c>
      <c r="D3" s="2252" t="s">
        <v>1</v>
      </c>
      <c r="E3" s="252" t="s">
        <v>2</v>
      </c>
      <c r="F3" s="252" t="s">
        <v>3</v>
      </c>
      <c r="G3" s="252" t="s">
        <v>4</v>
      </c>
      <c r="H3" s="252" t="s">
        <v>5</v>
      </c>
      <c r="I3" s="252" t="s">
        <v>6</v>
      </c>
      <c r="J3" s="252" t="s">
        <v>7</v>
      </c>
      <c r="K3" s="252" t="s">
        <v>8</v>
      </c>
      <c r="L3" s="252" t="s">
        <v>9</v>
      </c>
      <c r="M3" s="252" t="s">
        <v>10</v>
      </c>
      <c r="N3" s="252" t="s">
        <v>11</v>
      </c>
      <c r="O3" s="252" t="s">
        <v>12</v>
      </c>
      <c r="P3" s="253" t="s">
        <v>13</v>
      </c>
    </row>
    <row r="4" spans="1:17" ht="21.6" thickBot="1">
      <c r="A4" s="254" t="s">
        <v>37</v>
      </c>
      <c r="B4" s="1038">
        <f>SUM(B5:B37)</f>
        <v>0</v>
      </c>
      <c r="C4" s="2253">
        <f t="shared" ref="C4:P4" si="0">SUM(C5:C37)</f>
        <v>0</v>
      </c>
      <c r="D4" s="255">
        <f t="shared" si="0"/>
        <v>0</v>
      </c>
      <c r="E4" s="255">
        <f t="shared" si="0"/>
        <v>0</v>
      </c>
      <c r="F4" s="255">
        <f t="shared" si="0"/>
        <v>0</v>
      </c>
      <c r="G4" s="255">
        <f t="shared" si="0"/>
        <v>0</v>
      </c>
      <c r="H4" s="255">
        <f t="shared" si="0"/>
        <v>0</v>
      </c>
      <c r="I4" s="255">
        <f t="shared" si="0"/>
        <v>0</v>
      </c>
      <c r="J4" s="255">
        <f t="shared" si="0"/>
        <v>0</v>
      </c>
      <c r="K4" s="255">
        <f t="shared" si="0"/>
        <v>0</v>
      </c>
      <c r="L4" s="255">
        <f t="shared" si="0"/>
        <v>0</v>
      </c>
      <c r="M4" s="255">
        <f t="shared" si="0"/>
        <v>0</v>
      </c>
      <c r="N4" s="255">
        <f t="shared" si="0"/>
        <v>0</v>
      </c>
      <c r="O4" s="255">
        <f t="shared" si="0"/>
        <v>0</v>
      </c>
      <c r="P4" s="255">
        <f t="shared" si="0"/>
        <v>0</v>
      </c>
      <c r="Q4" s="1617"/>
    </row>
    <row r="5" spans="1:17">
      <c r="A5" s="256" t="s">
        <v>38</v>
      </c>
      <c r="B5" s="1039"/>
      <c r="C5" s="2254">
        <v>0</v>
      </c>
      <c r="D5" s="257">
        <v>0</v>
      </c>
      <c r="E5" s="257">
        <v>0</v>
      </c>
      <c r="F5" s="257">
        <v>0</v>
      </c>
      <c r="G5" s="257">
        <v>0</v>
      </c>
      <c r="H5" s="257">
        <v>0</v>
      </c>
      <c r="I5" s="257">
        <v>0</v>
      </c>
      <c r="J5" s="257">
        <v>0</v>
      </c>
      <c r="K5" s="257">
        <v>0</v>
      </c>
      <c r="L5" s="257">
        <v>0</v>
      </c>
      <c r="M5" s="257">
        <v>0</v>
      </c>
      <c r="N5" s="257">
        <v>0</v>
      </c>
      <c r="O5" s="2260">
        <v>0</v>
      </c>
      <c r="P5" s="2264"/>
      <c r="Q5" s="270"/>
    </row>
    <row r="6" spans="1:17" ht="22.5" customHeight="1">
      <c r="A6" s="259" t="s">
        <v>39</v>
      </c>
      <c r="B6" s="1040"/>
      <c r="C6" s="2255">
        <f>(B6/9)*12</f>
        <v>0</v>
      </c>
      <c r="D6" s="260">
        <f>$P6/12</f>
        <v>0</v>
      </c>
      <c r="E6" s="260">
        <f t="shared" ref="E6:O10" si="1">$P6/12</f>
        <v>0</v>
      </c>
      <c r="F6" s="260">
        <f t="shared" si="1"/>
        <v>0</v>
      </c>
      <c r="G6" s="260">
        <f t="shared" si="1"/>
        <v>0</v>
      </c>
      <c r="H6" s="260">
        <f t="shared" si="1"/>
        <v>0</v>
      </c>
      <c r="I6" s="260">
        <f t="shared" si="1"/>
        <v>0</v>
      </c>
      <c r="J6" s="260">
        <f t="shared" si="1"/>
        <v>0</v>
      </c>
      <c r="K6" s="260">
        <f t="shared" si="1"/>
        <v>0</v>
      </c>
      <c r="L6" s="260">
        <f t="shared" si="1"/>
        <v>0</v>
      </c>
      <c r="M6" s="260">
        <f t="shared" si="1"/>
        <v>0</v>
      </c>
      <c r="N6" s="260">
        <f t="shared" si="1"/>
        <v>0</v>
      </c>
      <c r="O6" s="260">
        <f t="shared" si="1"/>
        <v>0</v>
      </c>
      <c r="P6" s="2265">
        <f>C6*1.45</f>
        <v>0</v>
      </c>
      <c r="Q6" s="270"/>
    </row>
    <row r="7" spans="1:17" ht="22.5" customHeight="1">
      <c r="A7" s="262" t="s">
        <v>562</v>
      </c>
      <c r="B7" s="1041"/>
      <c r="C7" s="2256">
        <f t="shared" ref="C7:C37" si="2">(B7/9)*12</f>
        <v>0</v>
      </c>
      <c r="D7" s="263">
        <f t="shared" ref="D7:D10" si="3">$P7/12</f>
        <v>0</v>
      </c>
      <c r="E7" s="263">
        <f t="shared" si="1"/>
        <v>0</v>
      </c>
      <c r="F7" s="263">
        <f t="shared" si="1"/>
        <v>0</v>
      </c>
      <c r="G7" s="263">
        <f t="shared" si="1"/>
        <v>0</v>
      </c>
      <c r="H7" s="263">
        <f t="shared" si="1"/>
        <v>0</v>
      </c>
      <c r="I7" s="263">
        <f t="shared" si="1"/>
        <v>0</v>
      </c>
      <c r="J7" s="263">
        <f t="shared" si="1"/>
        <v>0</v>
      </c>
      <c r="K7" s="263">
        <f t="shared" si="1"/>
        <v>0</v>
      </c>
      <c r="L7" s="263">
        <f t="shared" si="1"/>
        <v>0</v>
      </c>
      <c r="M7" s="263">
        <f t="shared" si="1"/>
        <v>0</v>
      </c>
      <c r="N7" s="263">
        <f t="shared" si="1"/>
        <v>0</v>
      </c>
      <c r="O7" s="263">
        <f t="shared" si="1"/>
        <v>0</v>
      </c>
      <c r="P7" s="2266">
        <f t="shared" ref="P7:P37" si="4">C7*1.45</f>
        <v>0</v>
      </c>
      <c r="Q7" s="270"/>
    </row>
    <row r="8" spans="1:17" ht="22.5" customHeight="1">
      <c r="A8" s="259" t="s">
        <v>40</v>
      </c>
      <c r="B8" s="1040"/>
      <c r="C8" s="2255">
        <f t="shared" si="2"/>
        <v>0</v>
      </c>
      <c r="D8" s="260">
        <f t="shared" si="3"/>
        <v>0</v>
      </c>
      <c r="E8" s="260">
        <f t="shared" si="1"/>
        <v>0</v>
      </c>
      <c r="F8" s="260">
        <f t="shared" si="1"/>
        <v>0</v>
      </c>
      <c r="G8" s="260">
        <f t="shared" si="1"/>
        <v>0</v>
      </c>
      <c r="H8" s="260">
        <f t="shared" si="1"/>
        <v>0</v>
      </c>
      <c r="I8" s="260">
        <f t="shared" si="1"/>
        <v>0</v>
      </c>
      <c r="J8" s="260">
        <f t="shared" si="1"/>
        <v>0</v>
      </c>
      <c r="K8" s="260">
        <f t="shared" si="1"/>
        <v>0</v>
      </c>
      <c r="L8" s="260">
        <f t="shared" si="1"/>
        <v>0</v>
      </c>
      <c r="M8" s="260">
        <f t="shared" si="1"/>
        <v>0</v>
      </c>
      <c r="N8" s="260">
        <f t="shared" si="1"/>
        <v>0</v>
      </c>
      <c r="O8" s="260">
        <f t="shared" si="1"/>
        <v>0</v>
      </c>
      <c r="P8" s="2265">
        <f t="shared" si="4"/>
        <v>0</v>
      </c>
      <c r="Q8" s="270"/>
    </row>
    <row r="9" spans="1:17" ht="22.5" customHeight="1">
      <c r="A9" s="262" t="s">
        <v>41</v>
      </c>
      <c r="B9" s="1041"/>
      <c r="C9" s="2256">
        <f t="shared" si="2"/>
        <v>0</v>
      </c>
      <c r="D9" s="263">
        <f t="shared" si="3"/>
        <v>0</v>
      </c>
      <c r="E9" s="263">
        <f t="shared" si="1"/>
        <v>0</v>
      </c>
      <c r="F9" s="263">
        <f t="shared" si="1"/>
        <v>0</v>
      </c>
      <c r="G9" s="263">
        <f t="shared" si="1"/>
        <v>0</v>
      </c>
      <c r="H9" s="263">
        <f t="shared" si="1"/>
        <v>0</v>
      </c>
      <c r="I9" s="263">
        <f t="shared" si="1"/>
        <v>0</v>
      </c>
      <c r="J9" s="263">
        <f t="shared" si="1"/>
        <v>0</v>
      </c>
      <c r="K9" s="263">
        <f t="shared" si="1"/>
        <v>0</v>
      </c>
      <c r="L9" s="263">
        <f t="shared" si="1"/>
        <v>0</v>
      </c>
      <c r="M9" s="263">
        <f t="shared" si="1"/>
        <v>0</v>
      </c>
      <c r="N9" s="263">
        <f t="shared" si="1"/>
        <v>0</v>
      </c>
      <c r="O9" s="263">
        <f t="shared" si="1"/>
        <v>0</v>
      </c>
      <c r="P9" s="2266">
        <f t="shared" si="4"/>
        <v>0</v>
      </c>
      <c r="Q9" s="270"/>
    </row>
    <row r="10" spans="1:17" ht="22.5" customHeight="1">
      <c r="A10" s="259" t="s">
        <v>42</v>
      </c>
      <c r="B10" s="1040"/>
      <c r="C10" s="2255">
        <f t="shared" si="2"/>
        <v>0</v>
      </c>
      <c r="D10" s="260">
        <f t="shared" si="3"/>
        <v>0</v>
      </c>
      <c r="E10" s="260">
        <f t="shared" si="1"/>
        <v>0</v>
      </c>
      <c r="F10" s="260">
        <f t="shared" si="1"/>
        <v>0</v>
      </c>
      <c r="G10" s="260">
        <f t="shared" si="1"/>
        <v>0</v>
      </c>
      <c r="H10" s="260">
        <f t="shared" si="1"/>
        <v>0</v>
      </c>
      <c r="I10" s="260">
        <f t="shared" si="1"/>
        <v>0</v>
      </c>
      <c r="J10" s="260">
        <f t="shared" si="1"/>
        <v>0</v>
      </c>
      <c r="K10" s="260">
        <f t="shared" si="1"/>
        <v>0</v>
      </c>
      <c r="L10" s="260">
        <f t="shared" si="1"/>
        <v>0</v>
      </c>
      <c r="M10" s="260">
        <f t="shared" si="1"/>
        <v>0</v>
      </c>
      <c r="N10" s="260">
        <f t="shared" si="1"/>
        <v>0</v>
      </c>
      <c r="O10" s="260">
        <f t="shared" si="1"/>
        <v>0</v>
      </c>
      <c r="P10" s="2265">
        <f t="shared" si="4"/>
        <v>0</v>
      </c>
      <c r="Q10" s="270"/>
    </row>
    <row r="11" spans="1:17" ht="22.5" customHeight="1">
      <c r="A11" s="262" t="s">
        <v>43</v>
      </c>
      <c r="B11" s="1041">
        <v>0</v>
      </c>
      <c r="C11" s="2256">
        <f t="shared" si="2"/>
        <v>0</v>
      </c>
      <c r="D11" s="263">
        <v>0</v>
      </c>
      <c r="E11" s="263">
        <v>0</v>
      </c>
      <c r="F11" s="263">
        <v>0</v>
      </c>
      <c r="G11" s="263">
        <v>0</v>
      </c>
      <c r="H11" s="263">
        <v>0</v>
      </c>
      <c r="I11" s="263">
        <v>0</v>
      </c>
      <c r="J11" s="263">
        <v>0</v>
      </c>
      <c r="K11" s="263">
        <v>0</v>
      </c>
      <c r="L11" s="263">
        <v>0</v>
      </c>
      <c r="M11" s="263">
        <v>0</v>
      </c>
      <c r="N11" s="263">
        <v>0</v>
      </c>
      <c r="O11" s="2262">
        <v>0</v>
      </c>
      <c r="P11" s="2266">
        <f t="shared" si="4"/>
        <v>0</v>
      </c>
      <c r="Q11" s="270"/>
    </row>
    <row r="12" spans="1:17" ht="22.5" customHeight="1">
      <c r="A12" s="259" t="s">
        <v>44</v>
      </c>
      <c r="B12" s="1040">
        <v>0</v>
      </c>
      <c r="C12" s="2255">
        <f t="shared" si="2"/>
        <v>0</v>
      </c>
      <c r="D12" s="260">
        <v>0</v>
      </c>
      <c r="E12" s="261">
        <v>0</v>
      </c>
      <c r="F12" s="261">
        <v>0</v>
      </c>
      <c r="G12" s="261">
        <v>0</v>
      </c>
      <c r="H12" s="261">
        <v>0</v>
      </c>
      <c r="I12" s="261">
        <v>0</v>
      </c>
      <c r="J12" s="261">
        <v>0</v>
      </c>
      <c r="K12" s="261">
        <v>0</v>
      </c>
      <c r="L12" s="261">
        <v>0</v>
      </c>
      <c r="M12" s="261">
        <v>0</v>
      </c>
      <c r="N12" s="261">
        <v>0</v>
      </c>
      <c r="O12" s="2261">
        <v>0</v>
      </c>
      <c r="P12" s="2265">
        <f t="shared" si="4"/>
        <v>0</v>
      </c>
      <c r="Q12" s="270"/>
    </row>
    <row r="13" spans="1:17" ht="22.5" customHeight="1">
      <c r="A13" s="262" t="s">
        <v>45</v>
      </c>
      <c r="B13" s="1041">
        <v>0</v>
      </c>
      <c r="C13" s="2256">
        <f t="shared" si="2"/>
        <v>0</v>
      </c>
      <c r="D13" s="263">
        <v>0</v>
      </c>
      <c r="E13" s="263">
        <v>0</v>
      </c>
      <c r="F13" s="263">
        <v>0</v>
      </c>
      <c r="G13" s="263">
        <v>0</v>
      </c>
      <c r="H13" s="263">
        <v>0</v>
      </c>
      <c r="I13" s="263">
        <v>0</v>
      </c>
      <c r="J13" s="263">
        <v>0</v>
      </c>
      <c r="K13" s="263">
        <v>0</v>
      </c>
      <c r="L13" s="263">
        <v>0</v>
      </c>
      <c r="M13" s="263">
        <v>0</v>
      </c>
      <c r="N13" s="263">
        <v>0</v>
      </c>
      <c r="O13" s="2262">
        <v>0</v>
      </c>
      <c r="P13" s="2266">
        <f t="shared" si="4"/>
        <v>0</v>
      </c>
      <c r="Q13" s="270"/>
    </row>
    <row r="14" spans="1:17" ht="22.5" customHeight="1">
      <c r="A14" s="259" t="s">
        <v>46</v>
      </c>
      <c r="B14" s="1040">
        <v>0</v>
      </c>
      <c r="C14" s="2255">
        <f t="shared" si="2"/>
        <v>0</v>
      </c>
      <c r="D14" s="260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261">
        <v>0</v>
      </c>
      <c r="P14" s="2265">
        <f t="shared" si="4"/>
        <v>0</v>
      </c>
      <c r="Q14" s="270"/>
    </row>
    <row r="15" spans="1:17" ht="22.5" customHeight="1">
      <c r="A15" s="262" t="s">
        <v>563</v>
      </c>
      <c r="B15" s="1041"/>
      <c r="C15" s="2256">
        <f t="shared" si="2"/>
        <v>0</v>
      </c>
      <c r="D15" s="263">
        <f t="shared" ref="D15:O15" si="5">$P15/12</f>
        <v>0</v>
      </c>
      <c r="E15" s="264">
        <f t="shared" si="5"/>
        <v>0</v>
      </c>
      <c r="F15" s="264">
        <f t="shared" si="5"/>
        <v>0</v>
      </c>
      <c r="G15" s="264">
        <f t="shared" si="5"/>
        <v>0</v>
      </c>
      <c r="H15" s="264">
        <f t="shared" si="5"/>
        <v>0</v>
      </c>
      <c r="I15" s="264">
        <f t="shared" si="5"/>
        <v>0</v>
      </c>
      <c r="J15" s="264">
        <f t="shared" si="5"/>
        <v>0</v>
      </c>
      <c r="K15" s="264">
        <f t="shared" si="5"/>
        <v>0</v>
      </c>
      <c r="L15" s="264">
        <f t="shared" si="5"/>
        <v>0</v>
      </c>
      <c r="M15" s="264">
        <f t="shared" si="5"/>
        <v>0</v>
      </c>
      <c r="N15" s="264">
        <f t="shared" si="5"/>
        <v>0</v>
      </c>
      <c r="O15" s="2263">
        <f t="shared" si="5"/>
        <v>0</v>
      </c>
      <c r="P15" s="2266">
        <f t="shared" si="4"/>
        <v>0</v>
      </c>
      <c r="Q15" s="270"/>
    </row>
    <row r="16" spans="1:17" ht="22.5" customHeight="1">
      <c r="A16" s="259" t="s">
        <v>564</v>
      </c>
      <c r="B16" s="1040">
        <v>0</v>
      </c>
      <c r="C16" s="2255">
        <f t="shared" si="2"/>
        <v>0</v>
      </c>
      <c r="D16" s="260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261">
        <v>0</v>
      </c>
      <c r="P16" s="2265">
        <f t="shared" si="4"/>
        <v>0</v>
      </c>
      <c r="Q16" s="270"/>
    </row>
    <row r="17" spans="1:17" ht="22.5" customHeight="1">
      <c r="A17" s="262" t="s">
        <v>47</v>
      </c>
      <c r="B17" s="1041">
        <v>0</v>
      </c>
      <c r="C17" s="2256">
        <f t="shared" si="2"/>
        <v>0</v>
      </c>
      <c r="D17" s="263">
        <v>0</v>
      </c>
      <c r="E17" s="263">
        <v>0</v>
      </c>
      <c r="F17" s="263">
        <v>0</v>
      </c>
      <c r="G17" s="263">
        <v>0</v>
      </c>
      <c r="H17" s="263">
        <v>0</v>
      </c>
      <c r="I17" s="263">
        <v>0</v>
      </c>
      <c r="J17" s="263">
        <v>0</v>
      </c>
      <c r="K17" s="263">
        <v>0</v>
      </c>
      <c r="L17" s="263">
        <v>0</v>
      </c>
      <c r="M17" s="263">
        <v>0</v>
      </c>
      <c r="N17" s="263">
        <v>0</v>
      </c>
      <c r="O17" s="2262">
        <v>0</v>
      </c>
      <c r="P17" s="2266">
        <f t="shared" si="4"/>
        <v>0</v>
      </c>
      <c r="Q17" s="270"/>
    </row>
    <row r="18" spans="1:17" ht="22.5" customHeight="1">
      <c r="A18" s="259" t="s">
        <v>48</v>
      </c>
      <c r="B18" s="1040"/>
      <c r="C18" s="2255">
        <f t="shared" si="2"/>
        <v>0</v>
      </c>
      <c r="D18" s="260">
        <f t="shared" ref="D18:O18" si="6">$P18/12</f>
        <v>0</v>
      </c>
      <c r="E18" s="260">
        <f t="shared" si="6"/>
        <v>0</v>
      </c>
      <c r="F18" s="260">
        <f t="shared" si="6"/>
        <v>0</v>
      </c>
      <c r="G18" s="260">
        <f t="shared" si="6"/>
        <v>0</v>
      </c>
      <c r="H18" s="260">
        <f t="shared" si="6"/>
        <v>0</v>
      </c>
      <c r="I18" s="260">
        <f t="shared" si="6"/>
        <v>0</v>
      </c>
      <c r="J18" s="260">
        <f t="shared" si="6"/>
        <v>0</v>
      </c>
      <c r="K18" s="260">
        <f t="shared" si="6"/>
        <v>0</v>
      </c>
      <c r="L18" s="260">
        <f t="shared" si="6"/>
        <v>0</v>
      </c>
      <c r="M18" s="260">
        <f t="shared" si="6"/>
        <v>0</v>
      </c>
      <c r="N18" s="260">
        <f t="shared" si="6"/>
        <v>0</v>
      </c>
      <c r="O18" s="260">
        <f t="shared" si="6"/>
        <v>0</v>
      </c>
      <c r="P18" s="2265">
        <f t="shared" si="4"/>
        <v>0</v>
      </c>
      <c r="Q18" s="270"/>
    </row>
    <row r="19" spans="1:17" ht="22.5" customHeight="1">
      <c r="A19" s="262" t="s">
        <v>565</v>
      </c>
      <c r="B19" s="1041">
        <v>0</v>
      </c>
      <c r="C19" s="2256">
        <f t="shared" si="2"/>
        <v>0</v>
      </c>
      <c r="D19" s="263">
        <v>0</v>
      </c>
      <c r="E19" s="264">
        <v>0</v>
      </c>
      <c r="F19" s="264">
        <v>0</v>
      </c>
      <c r="G19" s="264">
        <v>0</v>
      </c>
      <c r="H19" s="264">
        <v>0</v>
      </c>
      <c r="I19" s="264">
        <v>0</v>
      </c>
      <c r="J19" s="264">
        <v>0</v>
      </c>
      <c r="K19" s="264">
        <v>0</v>
      </c>
      <c r="L19" s="264">
        <v>0</v>
      </c>
      <c r="M19" s="264">
        <v>0</v>
      </c>
      <c r="N19" s="264">
        <v>0</v>
      </c>
      <c r="O19" s="2263">
        <v>0</v>
      </c>
      <c r="P19" s="2266">
        <f t="shared" si="4"/>
        <v>0</v>
      </c>
      <c r="Q19" s="270"/>
    </row>
    <row r="20" spans="1:17" ht="22.5" customHeight="1">
      <c r="A20" s="259" t="s">
        <v>49</v>
      </c>
      <c r="B20" s="1040">
        <v>0</v>
      </c>
      <c r="C20" s="2255">
        <f t="shared" si="2"/>
        <v>0</v>
      </c>
      <c r="D20" s="260">
        <v>0</v>
      </c>
      <c r="E20" s="261">
        <v>0</v>
      </c>
      <c r="F20" s="261">
        <v>0</v>
      </c>
      <c r="G20" s="261">
        <v>0</v>
      </c>
      <c r="H20" s="261">
        <v>0</v>
      </c>
      <c r="I20" s="261">
        <v>0</v>
      </c>
      <c r="J20" s="261">
        <v>0</v>
      </c>
      <c r="K20" s="261">
        <v>0</v>
      </c>
      <c r="L20" s="261">
        <v>0</v>
      </c>
      <c r="M20" s="261">
        <v>0</v>
      </c>
      <c r="N20" s="261">
        <v>0</v>
      </c>
      <c r="O20" s="2261">
        <v>0</v>
      </c>
      <c r="P20" s="2265">
        <f t="shared" si="4"/>
        <v>0</v>
      </c>
      <c r="Q20" s="270"/>
    </row>
    <row r="21" spans="1:17" ht="22.5" customHeight="1">
      <c r="A21" s="262" t="s">
        <v>50</v>
      </c>
      <c r="B21" s="1041">
        <v>0</v>
      </c>
      <c r="C21" s="2256">
        <f t="shared" si="2"/>
        <v>0</v>
      </c>
      <c r="D21" s="263">
        <v>0</v>
      </c>
      <c r="E21" s="264">
        <v>0</v>
      </c>
      <c r="F21" s="264">
        <v>0</v>
      </c>
      <c r="G21" s="264">
        <v>0</v>
      </c>
      <c r="H21" s="264">
        <v>0</v>
      </c>
      <c r="I21" s="264">
        <v>0</v>
      </c>
      <c r="J21" s="264">
        <v>0</v>
      </c>
      <c r="K21" s="264">
        <v>0</v>
      </c>
      <c r="L21" s="264">
        <v>0</v>
      </c>
      <c r="M21" s="264">
        <v>0</v>
      </c>
      <c r="N21" s="264">
        <v>0</v>
      </c>
      <c r="O21" s="2263">
        <v>0</v>
      </c>
      <c r="P21" s="2266">
        <f t="shared" si="4"/>
        <v>0</v>
      </c>
      <c r="Q21" s="270"/>
    </row>
    <row r="22" spans="1:17" ht="22.5" customHeight="1">
      <c r="A22" s="259" t="s">
        <v>566</v>
      </c>
      <c r="B22" s="1040">
        <v>0</v>
      </c>
      <c r="C22" s="2255">
        <f t="shared" si="2"/>
        <v>0</v>
      </c>
      <c r="D22" s="260">
        <v>0</v>
      </c>
      <c r="E22" s="261">
        <v>0</v>
      </c>
      <c r="F22" s="261">
        <v>0</v>
      </c>
      <c r="G22" s="261">
        <v>0</v>
      </c>
      <c r="H22" s="261">
        <v>0</v>
      </c>
      <c r="I22" s="261">
        <v>0</v>
      </c>
      <c r="J22" s="261">
        <v>0</v>
      </c>
      <c r="K22" s="261">
        <v>0</v>
      </c>
      <c r="L22" s="261">
        <v>0</v>
      </c>
      <c r="M22" s="261">
        <v>0</v>
      </c>
      <c r="N22" s="261">
        <v>0</v>
      </c>
      <c r="O22" s="2261">
        <v>0</v>
      </c>
      <c r="P22" s="2265">
        <f t="shared" si="4"/>
        <v>0</v>
      </c>
      <c r="Q22" s="270"/>
    </row>
    <row r="23" spans="1:17" ht="22.5" customHeight="1">
      <c r="A23" s="262" t="s">
        <v>51</v>
      </c>
      <c r="B23" s="1041">
        <v>0</v>
      </c>
      <c r="C23" s="2256">
        <f t="shared" si="2"/>
        <v>0</v>
      </c>
      <c r="D23" s="263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263">
        <v>0</v>
      </c>
      <c r="P23" s="2266">
        <f t="shared" si="4"/>
        <v>0</v>
      </c>
      <c r="Q23" s="270"/>
    </row>
    <row r="24" spans="1:17" ht="22.5" customHeight="1">
      <c r="A24" s="259" t="s">
        <v>52</v>
      </c>
      <c r="B24" s="1040"/>
      <c r="C24" s="2255">
        <f t="shared" si="2"/>
        <v>0</v>
      </c>
      <c r="D24" s="260">
        <f t="shared" ref="D24:O24" si="7">$P24/12</f>
        <v>0</v>
      </c>
      <c r="E24" s="260">
        <f t="shared" si="7"/>
        <v>0</v>
      </c>
      <c r="F24" s="260">
        <f t="shared" si="7"/>
        <v>0</v>
      </c>
      <c r="G24" s="260">
        <f t="shared" si="7"/>
        <v>0</v>
      </c>
      <c r="H24" s="260">
        <f t="shared" si="7"/>
        <v>0</v>
      </c>
      <c r="I24" s="260">
        <f t="shared" si="7"/>
        <v>0</v>
      </c>
      <c r="J24" s="260">
        <f t="shared" si="7"/>
        <v>0</v>
      </c>
      <c r="K24" s="260">
        <f t="shared" si="7"/>
        <v>0</v>
      </c>
      <c r="L24" s="260">
        <f t="shared" si="7"/>
        <v>0</v>
      </c>
      <c r="M24" s="260">
        <f t="shared" si="7"/>
        <v>0</v>
      </c>
      <c r="N24" s="260">
        <f t="shared" si="7"/>
        <v>0</v>
      </c>
      <c r="O24" s="260">
        <f t="shared" si="7"/>
        <v>0</v>
      </c>
      <c r="P24" s="2265">
        <f t="shared" si="4"/>
        <v>0</v>
      </c>
      <c r="Q24" s="270"/>
    </row>
    <row r="25" spans="1:17" ht="22.5" customHeight="1">
      <c r="A25" s="262" t="s">
        <v>53</v>
      </c>
      <c r="B25" s="1041">
        <v>0</v>
      </c>
      <c r="C25" s="2256">
        <f t="shared" si="2"/>
        <v>0</v>
      </c>
      <c r="D25" s="263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263">
        <v>0</v>
      </c>
      <c r="P25" s="2266">
        <f t="shared" si="4"/>
        <v>0</v>
      </c>
      <c r="Q25" s="270"/>
    </row>
    <row r="26" spans="1:17" ht="22.5" customHeight="1">
      <c r="A26" s="259" t="s">
        <v>54</v>
      </c>
      <c r="B26" s="1040">
        <v>0</v>
      </c>
      <c r="C26" s="2255">
        <f t="shared" si="2"/>
        <v>0</v>
      </c>
      <c r="D26" s="260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261">
        <v>0</v>
      </c>
      <c r="P26" s="2265">
        <f t="shared" si="4"/>
        <v>0</v>
      </c>
      <c r="Q26" s="270"/>
    </row>
    <row r="27" spans="1:17" ht="22.5" customHeight="1">
      <c r="A27" s="262" t="s">
        <v>55</v>
      </c>
      <c r="B27" s="1041">
        <v>0</v>
      </c>
      <c r="C27" s="2256">
        <f t="shared" si="2"/>
        <v>0</v>
      </c>
      <c r="D27" s="263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263">
        <v>0</v>
      </c>
      <c r="P27" s="2266">
        <f t="shared" si="4"/>
        <v>0</v>
      </c>
      <c r="Q27" s="270"/>
    </row>
    <row r="28" spans="1:17" ht="22.5" customHeight="1">
      <c r="A28" s="259" t="s">
        <v>56</v>
      </c>
      <c r="B28" s="1040"/>
      <c r="C28" s="2255">
        <f t="shared" si="2"/>
        <v>0</v>
      </c>
      <c r="D28" s="260">
        <f t="shared" ref="D28:O29" si="8">$P28/12</f>
        <v>0</v>
      </c>
      <c r="E28" s="260">
        <f t="shared" si="8"/>
        <v>0</v>
      </c>
      <c r="F28" s="260">
        <f t="shared" si="8"/>
        <v>0</v>
      </c>
      <c r="G28" s="260">
        <f t="shared" si="8"/>
        <v>0</v>
      </c>
      <c r="H28" s="260">
        <f t="shared" si="8"/>
        <v>0</v>
      </c>
      <c r="I28" s="260">
        <f t="shared" si="8"/>
        <v>0</v>
      </c>
      <c r="J28" s="260">
        <f t="shared" si="8"/>
        <v>0</v>
      </c>
      <c r="K28" s="260">
        <f t="shared" si="8"/>
        <v>0</v>
      </c>
      <c r="L28" s="260">
        <f t="shared" si="8"/>
        <v>0</v>
      </c>
      <c r="M28" s="260">
        <f t="shared" si="8"/>
        <v>0</v>
      </c>
      <c r="N28" s="260">
        <f t="shared" si="8"/>
        <v>0</v>
      </c>
      <c r="O28" s="260">
        <f t="shared" si="8"/>
        <v>0</v>
      </c>
      <c r="P28" s="2265">
        <f t="shared" si="4"/>
        <v>0</v>
      </c>
      <c r="Q28" s="270"/>
    </row>
    <row r="29" spans="1:17" ht="22.5" customHeight="1">
      <c r="A29" s="262" t="s">
        <v>57</v>
      </c>
      <c r="B29" s="1041"/>
      <c r="C29" s="2256">
        <f t="shared" si="2"/>
        <v>0</v>
      </c>
      <c r="D29" s="263">
        <f t="shared" si="8"/>
        <v>0</v>
      </c>
      <c r="E29" s="263">
        <f t="shared" si="8"/>
        <v>0</v>
      </c>
      <c r="F29" s="263">
        <f t="shared" si="8"/>
        <v>0</v>
      </c>
      <c r="G29" s="263">
        <f t="shared" si="8"/>
        <v>0</v>
      </c>
      <c r="H29" s="263">
        <f t="shared" si="8"/>
        <v>0</v>
      </c>
      <c r="I29" s="263">
        <f t="shared" si="8"/>
        <v>0</v>
      </c>
      <c r="J29" s="263">
        <f t="shared" si="8"/>
        <v>0</v>
      </c>
      <c r="K29" s="263">
        <f t="shared" si="8"/>
        <v>0</v>
      </c>
      <c r="L29" s="263">
        <f t="shared" si="8"/>
        <v>0</v>
      </c>
      <c r="M29" s="263">
        <f t="shared" si="8"/>
        <v>0</v>
      </c>
      <c r="N29" s="263">
        <f t="shared" si="8"/>
        <v>0</v>
      </c>
      <c r="O29" s="263">
        <f t="shared" si="8"/>
        <v>0</v>
      </c>
      <c r="P29" s="2266">
        <f t="shared" si="4"/>
        <v>0</v>
      </c>
      <c r="Q29" s="270"/>
    </row>
    <row r="30" spans="1:17" ht="22.5" customHeight="1">
      <c r="A30" s="259" t="s">
        <v>58</v>
      </c>
      <c r="B30" s="1040">
        <v>0</v>
      </c>
      <c r="C30" s="2255">
        <f t="shared" si="2"/>
        <v>0</v>
      </c>
      <c r="D30" s="260">
        <v>0</v>
      </c>
      <c r="E30" s="261">
        <v>0</v>
      </c>
      <c r="F30" s="261">
        <v>0</v>
      </c>
      <c r="G30" s="261">
        <v>0</v>
      </c>
      <c r="H30" s="261">
        <v>0</v>
      </c>
      <c r="I30" s="261">
        <v>0</v>
      </c>
      <c r="J30" s="261">
        <v>0</v>
      </c>
      <c r="K30" s="261">
        <v>0</v>
      </c>
      <c r="L30" s="261">
        <v>0</v>
      </c>
      <c r="M30" s="261">
        <v>0</v>
      </c>
      <c r="N30" s="261">
        <v>0</v>
      </c>
      <c r="O30" s="2261">
        <v>0</v>
      </c>
      <c r="P30" s="2265">
        <f t="shared" si="4"/>
        <v>0</v>
      </c>
      <c r="Q30" s="270"/>
    </row>
    <row r="31" spans="1:17" ht="22.5" customHeight="1">
      <c r="A31" s="262" t="s">
        <v>59</v>
      </c>
      <c r="B31" s="1041">
        <v>0</v>
      </c>
      <c r="C31" s="2256">
        <f t="shared" si="2"/>
        <v>0</v>
      </c>
      <c r="D31" s="263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263">
        <v>0</v>
      </c>
      <c r="P31" s="2266">
        <f t="shared" si="4"/>
        <v>0</v>
      </c>
      <c r="Q31" s="270"/>
    </row>
    <row r="32" spans="1:17" ht="22.5" customHeight="1">
      <c r="A32" s="259" t="s">
        <v>60</v>
      </c>
      <c r="B32" s="1040">
        <v>0</v>
      </c>
      <c r="C32" s="2255">
        <f t="shared" si="2"/>
        <v>0</v>
      </c>
      <c r="D32" s="260">
        <v>0</v>
      </c>
      <c r="E32" s="261">
        <v>0</v>
      </c>
      <c r="F32" s="261">
        <v>0</v>
      </c>
      <c r="G32" s="261">
        <v>0</v>
      </c>
      <c r="H32" s="261">
        <v>0</v>
      </c>
      <c r="I32" s="261">
        <v>0</v>
      </c>
      <c r="J32" s="261">
        <v>0</v>
      </c>
      <c r="K32" s="261">
        <v>0</v>
      </c>
      <c r="L32" s="261">
        <v>0</v>
      </c>
      <c r="M32" s="261">
        <v>0</v>
      </c>
      <c r="N32" s="261">
        <v>0</v>
      </c>
      <c r="O32" s="2261">
        <v>0</v>
      </c>
      <c r="P32" s="2265">
        <f t="shared" si="4"/>
        <v>0</v>
      </c>
      <c r="Q32" s="270"/>
    </row>
    <row r="33" spans="1:17" ht="22.5" customHeight="1">
      <c r="A33" s="262" t="s">
        <v>61</v>
      </c>
      <c r="B33" s="1041">
        <v>0</v>
      </c>
      <c r="C33" s="2256">
        <f t="shared" si="2"/>
        <v>0</v>
      </c>
      <c r="D33" s="263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263">
        <v>0</v>
      </c>
      <c r="P33" s="2266">
        <f t="shared" si="4"/>
        <v>0</v>
      </c>
      <c r="Q33" s="270"/>
    </row>
    <row r="34" spans="1:17" ht="22.5" customHeight="1">
      <c r="A34" s="259" t="s">
        <v>62</v>
      </c>
      <c r="B34" s="1040">
        <v>0</v>
      </c>
      <c r="C34" s="2255">
        <f t="shared" si="2"/>
        <v>0</v>
      </c>
      <c r="D34" s="260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261">
        <v>0</v>
      </c>
      <c r="P34" s="2265">
        <f t="shared" si="4"/>
        <v>0</v>
      </c>
      <c r="Q34" s="270"/>
    </row>
    <row r="35" spans="1:17" ht="22.5" customHeight="1">
      <c r="A35" s="262" t="s">
        <v>63</v>
      </c>
      <c r="B35" s="1041">
        <v>0</v>
      </c>
      <c r="C35" s="2256">
        <f t="shared" si="2"/>
        <v>0</v>
      </c>
      <c r="D35" s="263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263">
        <v>0</v>
      </c>
      <c r="P35" s="2266">
        <f t="shared" si="4"/>
        <v>0</v>
      </c>
      <c r="Q35" s="270"/>
    </row>
    <row r="36" spans="1:17" ht="22.5" customHeight="1">
      <c r="A36" s="259" t="s">
        <v>567</v>
      </c>
      <c r="B36" s="1040"/>
      <c r="C36" s="2255">
        <f t="shared" si="2"/>
        <v>0</v>
      </c>
      <c r="D36" s="260">
        <f t="shared" ref="D36:O37" si="9">$P36/12</f>
        <v>0</v>
      </c>
      <c r="E36" s="260">
        <f t="shared" si="9"/>
        <v>0</v>
      </c>
      <c r="F36" s="260">
        <f t="shared" si="9"/>
        <v>0</v>
      </c>
      <c r="G36" s="260">
        <f t="shared" si="9"/>
        <v>0</v>
      </c>
      <c r="H36" s="260">
        <f t="shared" si="9"/>
        <v>0</v>
      </c>
      <c r="I36" s="260">
        <f t="shared" si="9"/>
        <v>0</v>
      </c>
      <c r="J36" s="260">
        <f t="shared" si="9"/>
        <v>0</v>
      </c>
      <c r="K36" s="260">
        <f t="shared" si="9"/>
        <v>0</v>
      </c>
      <c r="L36" s="260">
        <f t="shared" si="9"/>
        <v>0</v>
      </c>
      <c r="M36" s="260">
        <f t="shared" si="9"/>
        <v>0</v>
      </c>
      <c r="N36" s="260">
        <f t="shared" si="9"/>
        <v>0</v>
      </c>
      <c r="O36" s="260">
        <f t="shared" si="9"/>
        <v>0</v>
      </c>
      <c r="P36" s="2265">
        <f t="shared" si="4"/>
        <v>0</v>
      </c>
      <c r="Q36" s="270"/>
    </row>
    <row r="37" spans="1:17" ht="22.5" customHeight="1" thickBot="1">
      <c r="A37" s="266" t="s">
        <v>64</v>
      </c>
      <c r="B37" s="1042"/>
      <c r="C37" s="2257">
        <f t="shared" si="2"/>
        <v>0</v>
      </c>
      <c r="D37" s="267">
        <f t="shared" si="9"/>
        <v>0</v>
      </c>
      <c r="E37" s="267">
        <f t="shared" si="9"/>
        <v>0</v>
      </c>
      <c r="F37" s="267">
        <f t="shared" si="9"/>
        <v>0</v>
      </c>
      <c r="G37" s="267">
        <f t="shared" si="9"/>
        <v>0</v>
      </c>
      <c r="H37" s="267">
        <f t="shared" si="9"/>
        <v>0</v>
      </c>
      <c r="I37" s="267">
        <f t="shared" si="9"/>
        <v>0</v>
      </c>
      <c r="J37" s="267">
        <f t="shared" si="9"/>
        <v>0</v>
      </c>
      <c r="K37" s="267">
        <f t="shared" si="9"/>
        <v>0</v>
      </c>
      <c r="L37" s="267">
        <f t="shared" si="9"/>
        <v>0</v>
      </c>
      <c r="M37" s="267">
        <f t="shared" si="9"/>
        <v>0</v>
      </c>
      <c r="N37" s="267">
        <f t="shared" si="9"/>
        <v>0</v>
      </c>
      <c r="O37" s="267">
        <f t="shared" si="9"/>
        <v>0</v>
      </c>
      <c r="P37" s="2267">
        <f t="shared" si="4"/>
        <v>0</v>
      </c>
      <c r="Q37" s="270"/>
    </row>
    <row r="38" spans="1:17"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</row>
    <row r="39" spans="1:17"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</row>
    <row r="40" spans="1:17"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</row>
    <row r="41" spans="1:17"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</row>
    <row r="42" spans="1:17"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</row>
    <row r="43" spans="1:17"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</row>
    <row r="44" spans="1:17"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</row>
    <row r="45" spans="1:17"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</row>
    <row r="46" spans="1:17"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</row>
    <row r="47" spans="1:17"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1618"/>
    </row>
    <row r="48" spans="1:17"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</row>
    <row r="49" spans="4:18"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</row>
    <row r="50" spans="4:18" ht="13.8"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R50" s="1611"/>
    </row>
    <row r="51" spans="4:18" ht="13.8"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R51" s="1611"/>
    </row>
    <row r="52" spans="4:18" ht="13.8"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R52" s="1611"/>
    </row>
    <row r="53" spans="4:18" ht="13.8"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R53" s="1611"/>
    </row>
    <row r="54" spans="4:18" ht="13.8"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R54" s="1611"/>
    </row>
    <row r="55" spans="4:18" ht="13.8"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R55" s="1611"/>
    </row>
    <row r="56" spans="4:18" ht="13.8"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R56" s="1611"/>
    </row>
    <row r="57" spans="4:18" ht="13.8"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R57" s="1611"/>
    </row>
    <row r="58" spans="4:18" ht="13.8"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R58" s="1611"/>
    </row>
    <row r="59" spans="4:18" ht="13.8"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R59" s="1611"/>
    </row>
    <row r="60" spans="4:18" ht="13.8"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R60" s="1611"/>
    </row>
  </sheetData>
  <mergeCells count="2">
    <mergeCell ref="B2:C2"/>
    <mergeCell ref="D2:P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66"/>
    <pageSetUpPr fitToPage="1"/>
  </sheetPr>
  <dimension ref="A1:S37"/>
  <sheetViews>
    <sheetView zoomScale="60" zoomScaleNormal="60" workbookViewId="0">
      <selection activeCell="D31" sqref="D31"/>
    </sheetView>
  </sheetViews>
  <sheetFormatPr defaultColWidth="9.109375" defaultRowHeight="18"/>
  <cols>
    <col min="1" max="1" width="34" style="761" customWidth="1"/>
    <col min="2" max="2" width="18.109375" style="1796" bestFit="1" customWidth="1"/>
    <col min="3" max="3" width="19.109375" style="1796" bestFit="1" customWidth="1"/>
    <col min="4" max="15" width="16.5546875" style="1796" bestFit="1" customWidth="1"/>
    <col min="16" max="16" width="17.44140625" style="761" customWidth="1"/>
    <col min="17" max="17" width="18.109375" style="761" bestFit="1" customWidth="1"/>
    <col min="18" max="16384" width="9.109375" style="761"/>
  </cols>
  <sheetData>
    <row r="1" spans="1:19" ht="18.600000000000001" thickBot="1"/>
    <row r="2" spans="1:19" ht="33" customHeight="1" thickBot="1">
      <c r="A2" s="1619">
        <f>[9]Madeniyağ!A2</f>
        <v>0</v>
      </c>
      <c r="B2" s="2370" t="s">
        <v>660</v>
      </c>
      <c r="C2" s="2371">
        <f>[9]Madeniyağ!C2</f>
        <v>0</v>
      </c>
      <c r="D2" s="2313" t="s">
        <v>659</v>
      </c>
      <c r="E2" s="2314">
        <v>0</v>
      </c>
      <c r="F2" s="2314">
        <v>0</v>
      </c>
      <c r="G2" s="2314">
        <v>0</v>
      </c>
      <c r="H2" s="2314">
        <v>0</v>
      </c>
      <c r="I2" s="2314">
        <v>0</v>
      </c>
      <c r="J2" s="2314">
        <v>0</v>
      </c>
      <c r="K2" s="2314">
        <v>0</v>
      </c>
      <c r="L2" s="2314">
        <v>0</v>
      </c>
      <c r="M2" s="2314">
        <v>0</v>
      </c>
      <c r="N2" s="2314">
        <v>0</v>
      </c>
      <c r="O2" s="2314">
        <v>0</v>
      </c>
      <c r="P2" s="2315">
        <v>0</v>
      </c>
      <c r="Q2" s="1620" t="s">
        <v>638</v>
      </c>
    </row>
    <row r="3" spans="1:19" ht="18.600000000000001" thickBot="1">
      <c r="A3" s="1621">
        <f>[9]Madeniyağ!A3</f>
        <v>0</v>
      </c>
      <c r="B3" s="1797" t="s">
        <v>649</v>
      </c>
      <c r="C3" s="1798" t="s">
        <v>661</v>
      </c>
      <c r="D3" s="1799" t="s">
        <v>1</v>
      </c>
      <c r="E3" s="1800" t="s">
        <v>2</v>
      </c>
      <c r="F3" s="1800" t="s">
        <v>3</v>
      </c>
      <c r="G3" s="1800" t="s">
        <v>4</v>
      </c>
      <c r="H3" s="1800" t="s">
        <v>5</v>
      </c>
      <c r="I3" s="1800" t="s">
        <v>6</v>
      </c>
      <c r="J3" s="1800" t="s">
        <v>7</v>
      </c>
      <c r="K3" s="1800" t="s">
        <v>8</v>
      </c>
      <c r="L3" s="1800" t="s">
        <v>9</v>
      </c>
      <c r="M3" s="1800" t="s">
        <v>10</v>
      </c>
      <c r="N3" s="1800" t="s">
        <v>11</v>
      </c>
      <c r="O3" s="1800" t="s">
        <v>12</v>
      </c>
      <c r="P3" s="1622" t="s">
        <v>13</v>
      </c>
      <c r="Q3" s="1623" t="s">
        <v>619</v>
      </c>
    </row>
    <row r="4" spans="1:19" ht="22.5" customHeight="1" thickBot="1">
      <c r="A4" s="254" t="s">
        <v>37</v>
      </c>
      <c r="B4" s="1801">
        <f>SUM(B5:B37)</f>
        <v>0</v>
      </c>
      <c r="C4" s="1801">
        <f>SUM(C5:C37)</f>
        <v>0</v>
      </c>
      <c r="D4" s="1802">
        <f>SUM(D5:D37)</f>
        <v>0</v>
      </c>
      <c r="E4" s="1802">
        <f t="shared" ref="E4:O4" si="0">SUM(E5:E37)</f>
        <v>0</v>
      </c>
      <c r="F4" s="1802">
        <f t="shared" si="0"/>
        <v>0</v>
      </c>
      <c r="G4" s="1802">
        <f t="shared" si="0"/>
        <v>0</v>
      </c>
      <c r="H4" s="1802">
        <f t="shared" si="0"/>
        <v>0</v>
      </c>
      <c r="I4" s="1802">
        <f t="shared" si="0"/>
        <v>0</v>
      </c>
      <c r="J4" s="1802">
        <f t="shared" si="0"/>
        <v>0</v>
      </c>
      <c r="K4" s="1802">
        <f t="shared" si="0"/>
        <v>0</v>
      </c>
      <c r="L4" s="1802">
        <f t="shared" si="0"/>
        <v>0</v>
      </c>
      <c r="M4" s="1802">
        <f t="shared" si="0"/>
        <v>0</v>
      </c>
      <c r="N4" s="1802">
        <f t="shared" si="0"/>
        <v>0</v>
      </c>
      <c r="O4" s="1802">
        <f t="shared" si="0"/>
        <v>0</v>
      </c>
      <c r="P4" s="1802">
        <f>SUM(D4:O4)</f>
        <v>0</v>
      </c>
      <c r="Q4" s="1624" t="str">
        <f t="shared" ref="Q4:Q10" si="1">IF(P4=0,"-",P4/C4-1)</f>
        <v>-</v>
      </c>
    </row>
    <row r="5" spans="1:19" ht="17.25" customHeight="1">
      <c r="A5" s="1625" t="s">
        <v>38</v>
      </c>
      <c r="B5" s="1809">
        <v>0</v>
      </c>
      <c r="C5" s="1809">
        <f>(B5/9)*12</f>
        <v>0</v>
      </c>
      <c r="D5" s="1803"/>
      <c r="E5" s="1804"/>
      <c r="F5" s="1804"/>
      <c r="G5" s="1804"/>
      <c r="H5" s="1804"/>
      <c r="I5" s="1804"/>
      <c r="J5" s="1804"/>
      <c r="K5" s="1804"/>
      <c r="L5" s="1804"/>
      <c r="M5" s="1804"/>
      <c r="N5" s="1804"/>
      <c r="O5" s="1805"/>
      <c r="P5" s="1805">
        <f t="shared" ref="P5" si="2">SUM(D5:O5)</f>
        <v>0</v>
      </c>
      <c r="Q5" s="1626" t="str">
        <f t="shared" si="1"/>
        <v>-</v>
      </c>
      <c r="R5" s="1627"/>
      <c r="S5" s="1627"/>
    </row>
    <row r="6" spans="1:19" ht="17.25" customHeight="1">
      <c r="A6" s="1628" t="s">
        <v>39</v>
      </c>
      <c r="B6" s="1806">
        <v>0</v>
      </c>
      <c r="C6" s="1806">
        <f>(B6/9)*12</f>
        <v>0</v>
      </c>
      <c r="D6" s="1041">
        <f>$P6/12</f>
        <v>0</v>
      </c>
      <c r="E6" s="1807">
        <f t="shared" ref="E6:O6" si="3">$P6/12</f>
        <v>0</v>
      </c>
      <c r="F6" s="1807">
        <f t="shared" si="3"/>
        <v>0</v>
      </c>
      <c r="G6" s="1807">
        <f t="shared" si="3"/>
        <v>0</v>
      </c>
      <c r="H6" s="1807">
        <f t="shared" si="3"/>
        <v>0</v>
      </c>
      <c r="I6" s="1807">
        <f t="shared" si="3"/>
        <v>0</v>
      </c>
      <c r="J6" s="1807">
        <f t="shared" si="3"/>
        <v>0</v>
      </c>
      <c r="K6" s="1807">
        <f t="shared" si="3"/>
        <v>0</v>
      </c>
      <c r="L6" s="1807">
        <f t="shared" si="3"/>
        <v>0</v>
      </c>
      <c r="M6" s="1807">
        <f t="shared" si="3"/>
        <v>0</v>
      </c>
      <c r="N6" s="1807">
        <f t="shared" si="3"/>
        <v>0</v>
      </c>
      <c r="O6" s="1808">
        <f t="shared" si="3"/>
        <v>0</v>
      </c>
      <c r="P6" s="1808">
        <f>C6*1.45</f>
        <v>0</v>
      </c>
      <c r="Q6" s="1629" t="str">
        <f t="shared" si="1"/>
        <v>-</v>
      </c>
    </row>
    <row r="7" spans="1:19" s="803" customFormat="1" ht="17.25" customHeight="1">
      <c r="A7" s="259" t="s">
        <v>562</v>
      </c>
      <c r="B7" s="1809">
        <v>0</v>
      </c>
      <c r="C7" s="1809">
        <f t="shared" ref="C7:C37" si="4">(B7/9)*12</f>
        <v>0</v>
      </c>
      <c r="D7" s="1040">
        <v>0</v>
      </c>
      <c r="E7" s="1810">
        <v>0</v>
      </c>
      <c r="F7" s="1810">
        <v>0</v>
      </c>
      <c r="G7" s="1810">
        <v>0</v>
      </c>
      <c r="H7" s="1810">
        <v>0</v>
      </c>
      <c r="I7" s="1810">
        <v>0</v>
      </c>
      <c r="J7" s="1810">
        <v>0</v>
      </c>
      <c r="K7" s="1810">
        <v>0</v>
      </c>
      <c r="L7" s="1810">
        <v>0</v>
      </c>
      <c r="M7" s="1810">
        <v>0</v>
      </c>
      <c r="N7" s="1810">
        <v>0</v>
      </c>
      <c r="O7" s="1811">
        <v>0</v>
      </c>
      <c r="P7" s="1811">
        <f t="shared" ref="P7:P37" si="5">C7*1.45</f>
        <v>0</v>
      </c>
      <c r="Q7" s="1630" t="str">
        <f t="shared" si="1"/>
        <v>-</v>
      </c>
    </row>
    <row r="8" spans="1:19" ht="17.25" customHeight="1">
      <c r="A8" s="1628" t="s">
        <v>40</v>
      </c>
      <c r="B8" s="1806">
        <v>0</v>
      </c>
      <c r="C8" s="1806">
        <f t="shared" si="4"/>
        <v>0</v>
      </c>
      <c r="D8" s="1041">
        <f t="shared" ref="D8:O10" si="6">$P8/12</f>
        <v>0</v>
      </c>
      <c r="E8" s="1807">
        <f t="shared" si="6"/>
        <v>0</v>
      </c>
      <c r="F8" s="1807">
        <f t="shared" si="6"/>
        <v>0</v>
      </c>
      <c r="G8" s="1807">
        <f t="shared" si="6"/>
        <v>0</v>
      </c>
      <c r="H8" s="1807">
        <f t="shared" si="6"/>
        <v>0</v>
      </c>
      <c r="I8" s="1807">
        <f t="shared" si="6"/>
        <v>0</v>
      </c>
      <c r="J8" s="1807">
        <f t="shared" si="6"/>
        <v>0</v>
      </c>
      <c r="K8" s="1807">
        <f t="shared" si="6"/>
        <v>0</v>
      </c>
      <c r="L8" s="1807">
        <f t="shared" si="6"/>
        <v>0</v>
      </c>
      <c r="M8" s="1807">
        <f t="shared" si="6"/>
        <v>0</v>
      </c>
      <c r="N8" s="1807">
        <f t="shared" si="6"/>
        <v>0</v>
      </c>
      <c r="O8" s="1808">
        <f t="shared" si="6"/>
        <v>0</v>
      </c>
      <c r="P8" s="1808">
        <f t="shared" si="5"/>
        <v>0</v>
      </c>
      <c r="Q8" s="1629" t="str">
        <f t="shared" si="1"/>
        <v>-</v>
      </c>
    </row>
    <row r="9" spans="1:19" ht="17.25" customHeight="1">
      <c r="A9" s="259" t="s">
        <v>41</v>
      </c>
      <c r="B9" s="1809">
        <v>0</v>
      </c>
      <c r="C9" s="1809">
        <f t="shared" si="4"/>
        <v>0</v>
      </c>
      <c r="D9" s="1040">
        <f t="shared" si="6"/>
        <v>0</v>
      </c>
      <c r="E9" s="1810">
        <f t="shared" si="6"/>
        <v>0</v>
      </c>
      <c r="F9" s="1810">
        <f t="shared" si="6"/>
        <v>0</v>
      </c>
      <c r="G9" s="1810">
        <f t="shared" si="6"/>
        <v>0</v>
      </c>
      <c r="H9" s="1810">
        <f t="shared" si="6"/>
        <v>0</v>
      </c>
      <c r="I9" s="1810">
        <f t="shared" si="6"/>
        <v>0</v>
      </c>
      <c r="J9" s="1810">
        <f t="shared" si="6"/>
        <v>0</v>
      </c>
      <c r="K9" s="1810">
        <f t="shared" si="6"/>
        <v>0</v>
      </c>
      <c r="L9" s="1810">
        <f t="shared" si="6"/>
        <v>0</v>
      </c>
      <c r="M9" s="1810">
        <f t="shared" si="6"/>
        <v>0</v>
      </c>
      <c r="N9" s="1810">
        <f t="shared" si="6"/>
        <v>0</v>
      </c>
      <c r="O9" s="1811">
        <f t="shared" si="6"/>
        <v>0</v>
      </c>
      <c r="P9" s="1811">
        <f t="shared" si="5"/>
        <v>0</v>
      </c>
      <c r="Q9" s="1630" t="str">
        <f t="shared" si="1"/>
        <v>-</v>
      </c>
    </row>
    <row r="10" spans="1:19" ht="17.25" customHeight="1">
      <c r="A10" s="1628" t="s">
        <v>42</v>
      </c>
      <c r="B10" s="1806">
        <v>0</v>
      </c>
      <c r="C10" s="1806">
        <f t="shared" si="4"/>
        <v>0</v>
      </c>
      <c r="D10" s="1041">
        <f t="shared" si="6"/>
        <v>0</v>
      </c>
      <c r="E10" s="1807">
        <f t="shared" si="6"/>
        <v>0</v>
      </c>
      <c r="F10" s="1807">
        <f t="shared" si="6"/>
        <v>0</v>
      </c>
      <c r="G10" s="1807">
        <f t="shared" si="6"/>
        <v>0</v>
      </c>
      <c r="H10" s="1807">
        <f t="shared" si="6"/>
        <v>0</v>
      </c>
      <c r="I10" s="1807">
        <f t="shared" si="6"/>
        <v>0</v>
      </c>
      <c r="J10" s="1807">
        <f t="shared" si="6"/>
        <v>0</v>
      </c>
      <c r="K10" s="1807">
        <f t="shared" si="6"/>
        <v>0</v>
      </c>
      <c r="L10" s="1807">
        <f t="shared" si="6"/>
        <v>0</v>
      </c>
      <c r="M10" s="1807">
        <f t="shared" si="6"/>
        <v>0</v>
      </c>
      <c r="N10" s="1807">
        <f t="shared" si="6"/>
        <v>0</v>
      </c>
      <c r="O10" s="1808">
        <f t="shared" si="6"/>
        <v>0</v>
      </c>
      <c r="P10" s="1808">
        <f t="shared" si="5"/>
        <v>0</v>
      </c>
      <c r="Q10" s="1629" t="str">
        <f t="shared" si="1"/>
        <v>-</v>
      </c>
    </row>
    <row r="11" spans="1:19" ht="17.25" customHeight="1">
      <c r="A11" s="259" t="s">
        <v>43</v>
      </c>
      <c r="B11" s="1809">
        <v>0</v>
      </c>
      <c r="C11" s="1809">
        <f t="shared" si="4"/>
        <v>0</v>
      </c>
      <c r="D11" s="1040">
        <v>0</v>
      </c>
      <c r="E11" s="1810">
        <v>0</v>
      </c>
      <c r="F11" s="1810">
        <v>0</v>
      </c>
      <c r="G11" s="1810">
        <v>0</v>
      </c>
      <c r="H11" s="1810">
        <v>0</v>
      </c>
      <c r="I11" s="1810">
        <v>0</v>
      </c>
      <c r="J11" s="1810">
        <v>0</v>
      </c>
      <c r="K11" s="1810">
        <v>0</v>
      </c>
      <c r="L11" s="1810">
        <v>0</v>
      </c>
      <c r="M11" s="1810">
        <v>0</v>
      </c>
      <c r="N11" s="1810">
        <v>0</v>
      </c>
      <c r="O11" s="1811">
        <v>0</v>
      </c>
      <c r="P11" s="1811">
        <f t="shared" si="5"/>
        <v>0</v>
      </c>
      <c r="Q11" s="1630" t="str">
        <f t="shared" ref="Q11:Q37" si="7">IF(P11=0,"-",P11/C11-1)</f>
        <v>-</v>
      </c>
    </row>
    <row r="12" spans="1:19" ht="17.25" customHeight="1">
      <c r="A12" s="1628" t="s">
        <v>44</v>
      </c>
      <c r="B12" s="1806">
        <v>0</v>
      </c>
      <c r="C12" s="1806">
        <f t="shared" si="4"/>
        <v>0</v>
      </c>
      <c r="D12" s="1041">
        <v>0</v>
      </c>
      <c r="E12" s="1807">
        <v>0</v>
      </c>
      <c r="F12" s="1807">
        <v>0</v>
      </c>
      <c r="G12" s="1807">
        <v>0</v>
      </c>
      <c r="H12" s="1807">
        <v>0</v>
      </c>
      <c r="I12" s="1807">
        <v>0</v>
      </c>
      <c r="J12" s="1807">
        <v>0</v>
      </c>
      <c r="K12" s="1807">
        <v>0</v>
      </c>
      <c r="L12" s="1807">
        <v>0</v>
      </c>
      <c r="M12" s="1807">
        <v>0</v>
      </c>
      <c r="N12" s="1807">
        <v>0</v>
      </c>
      <c r="O12" s="1808">
        <v>0</v>
      </c>
      <c r="P12" s="1808">
        <f t="shared" si="5"/>
        <v>0</v>
      </c>
      <c r="Q12" s="1629" t="str">
        <f t="shared" si="7"/>
        <v>-</v>
      </c>
      <c r="S12" s="838"/>
    </row>
    <row r="13" spans="1:19" ht="17.25" customHeight="1">
      <c r="A13" s="259" t="s">
        <v>45</v>
      </c>
      <c r="B13" s="1809">
        <v>0</v>
      </c>
      <c r="C13" s="1809">
        <f t="shared" si="4"/>
        <v>0</v>
      </c>
      <c r="D13" s="1040">
        <v>0</v>
      </c>
      <c r="E13" s="1810">
        <v>0</v>
      </c>
      <c r="F13" s="1810">
        <v>0</v>
      </c>
      <c r="G13" s="1810">
        <v>0</v>
      </c>
      <c r="H13" s="1810">
        <v>0</v>
      </c>
      <c r="I13" s="1810">
        <v>0</v>
      </c>
      <c r="J13" s="1810">
        <v>0</v>
      </c>
      <c r="K13" s="1810">
        <v>0</v>
      </c>
      <c r="L13" s="1810">
        <v>0</v>
      </c>
      <c r="M13" s="1810">
        <v>0</v>
      </c>
      <c r="N13" s="1810">
        <v>0</v>
      </c>
      <c r="O13" s="1811">
        <v>0</v>
      </c>
      <c r="P13" s="1811">
        <f t="shared" si="5"/>
        <v>0</v>
      </c>
      <c r="Q13" s="1630" t="str">
        <f t="shared" si="7"/>
        <v>-</v>
      </c>
    </row>
    <row r="14" spans="1:19" ht="17.25" customHeight="1">
      <c r="A14" s="1628" t="s">
        <v>46</v>
      </c>
      <c r="B14" s="1806">
        <v>0</v>
      </c>
      <c r="C14" s="1806">
        <f t="shared" si="4"/>
        <v>0</v>
      </c>
      <c r="D14" s="1041">
        <v>0</v>
      </c>
      <c r="E14" s="1807">
        <v>0</v>
      </c>
      <c r="F14" s="1807">
        <v>0</v>
      </c>
      <c r="G14" s="1807">
        <v>0</v>
      </c>
      <c r="H14" s="1807">
        <v>0</v>
      </c>
      <c r="I14" s="1807">
        <v>0</v>
      </c>
      <c r="J14" s="1807">
        <v>0</v>
      </c>
      <c r="K14" s="1807">
        <v>0</v>
      </c>
      <c r="L14" s="1807">
        <v>0</v>
      </c>
      <c r="M14" s="1807">
        <v>0</v>
      </c>
      <c r="N14" s="1807">
        <v>0</v>
      </c>
      <c r="O14" s="1808">
        <v>0</v>
      </c>
      <c r="P14" s="1808">
        <f t="shared" si="5"/>
        <v>0</v>
      </c>
      <c r="Q14" s="1629" t="str">
        <f t="shared" si="7"/>
        <v>-</v>
      </c>
    </row>
    <row r="15" spans="1:19" ht="17.25" customHeight="1">
      <c r="A15" s="259" t="s">
        <v>563</v>
      </c>
      <c r="B15" s="1809">
        <v>0</v>
      </c>
      <c r="C15" s="1809">
        <f t="shared" si="4"/>
        <v>0</v>
      </c>
      <c r="D15" s="1040">
        <f t="shared" ref="D15:O16" si="8">$P15/12</f>
        <v>0</v>
      </c>
      <c r="E15" s="1810">
        <f t="shared" si="8"/>
        <v>0</v>
      </c>
      <c r="F15" s="1810">
        <f t="shared" si="8"/>
        <v>0</v>
      </c>
      <c r="G15" s="1810">
        <f t="shared" si="8"/>
        <v>0</v>
      </c>
      <c r="H15" s="1810">
        <f t="shared" si="8"/>
        <v>0</v>
      </c>
      <c r="I15" s="1810">
        <f t="shared" si="8"/>
        <v>0</v>
      </c>
      <c r="J15" s="1810">
        <f t="shared" si="8"/>
        <v>0</v>
      </c>
      <c r="K15" s="1810">
        <f t="shared" si="8"/>
        <v>0</v>
      </c>
      <c r="L15" s="1810">
        <f t="shared" si="8"/>
        <v>0</v>
      </c>
      <c r="M15" s="1810">
        <f t="shared" si="8"/>
        <v>0</v>
      </c>
      <c r="N15" s="1810">
        <f t="shared" si="8"/>
        <v>0</v>
      </c>
      <c r="O15" s="1811">
        <f t="shared" si="8"/>
        <v>0</v>
      </c>
      <c r="P15" s="1811">
        <f t="shared" si="5"/>
        <v>0</v>
      </c>
      <c r="Q15" s="1630" t="str">
        <f t="shared" si="7"/>
        <v>-</v>
      </c>
    </row>
    <row r="16" spans="1:19" ht="17.25" customHeight="1">
      <c r="A16" s="1628" t="s">
        <v>564</v>
      </c>
      <c r="B16" s="1806">
        <v>0</v>
      </c>
      <c r="C16" s="1806">
        <f t="shared" si="4"/>
        <v>0</v>
      </c>
      <c r="D16" s="1041">
        <f t="shared" si="8"/>
        <v>0</v>
      </c>
      <c r="E16" s="1807">
        <f t="shared" si="8"/>
        <v>0</v>
      </c>
      <c r="F16" s="1807">
        <f t="shared" si="8"/>
        <v>0</v>
      </c>
      <c r="G16" s="1807">
        <f t="shared" si="8"/>
        <v>0</v>
      </c>
      <c r="H16" s="1807">
        <f t="shared" si="8"/>
        <v>0</v>
      </c>
      <c r="I16" s="1807">
        <f t="shared" si="8"/>
        <v>0</v>
      </c>
      <c r="J16" s="1807">
        <f t="shared" si="8"/>
        <v>0</v>
      </c>
      <c r="K16" s="1807">
        <f t="shared" si="8"/>
        <v>0</v>
      </c>
      <c r="L16" s="1807">
        <f t="shared" si="8"/>
        <v>0</v>
      </c>
      <c r="M16" s="1807">
        <f t="shared" si="8"/>
        <v>0</v>
      </c>
      <c r="N16" s="1807">
        <f t="shared" si="8"/>
        <v>0</v>
      </c>
      <c r="O16" s="1808">
        <f t="shared" si="8"/>
        <v>0</v>
      </c>
      <c r="P16" s="1808">
        <f t="shared" si="5"/>
        <v>0</v>
      </c>
      <c r="Q16" s="1629" t="str">
        <f t="shared" si="7"/>
        <v>-</v>
      </c>
    </row>
    <row r="17" spans="1:19" ht="17.25" customHeight="1">
      <c r="A17" s="259" t="s">
        <v>47</v>
      </c>
      <c r="B17" s="1809">
        <v>0</v>
      </c>
      <c r="C17" s="1809">
        <f t="shared" si="4"/>
        <v>0</v>
      </c>
      <c r="D17" s="1040">
        <v>0</v>
      </c>
      <c r="E17" s="1810">
        <v>0</v>
      </c>
      <c r="F17" s="1810">
        <v>0</v>
      </c>
      <c r="G17" s="1810">
        <v>0</v>
      </c>
      <c r="H17" s="1810">
        <v>0</v>
      </c>
      <c r="I17" s="1810">
        <v>0</v>
      </c>
      <c r="J17" s="1810">
        <v>0</v>
      </c>
      <c r="K17" s="1810">
        <v>0</v>
      </c>
      <c r="L17" s="1810">
        <v>0</v>
      </c>
      <c r="M17" s="1810">
        <v>0</v>
      </c>
      <c r="N17" s="1810">
        <v>0</v>
      </c>
      <c r="O17" s="1811">
        <v>0</v>
      </c>
      <c r="P17" s="1811">
        <f t="shared" si="5"/>
        <v>0</v>
      </c>
      <c r="Q17" s="1630" t="str">
        <f t="shared" si="7"/>
        <v>-</v>
      </c>
    </row>
    <row r="18" spans="1:19" ht="17.25" customHeight="1">
      <c r="A18" s="1628" t="s">
        <v>48</v>
      </c>
      <c r="B18" s="1806">
        <v>0</v>
      </c>
      <c r="C18" s="1806">
        <f t="shared" si="4"/>
        <v>0</v>
      </c>
      <c r="D18" s="1041">
        <v>0</v>
      </c>
      <c r="E18" s="1807">
        <v>0</v>
      </c>
      <c r="F18" s="1807">
        <v>0</v>
      </c>
      <c r="G18" s="1807">
        <v>0</v>
      </c>
      <c r="H18" s="1807">
        <v>0</v>
      </c>
      <c r="I18" s="1807">
        <v>0</v>
      </c>
      <c r="J18" s="1807">
        <v>0</v>
      </c>
      <c r="K18" s="1807">
        <v>0</v>
      </c>
      <c r="L18" s="1807">
        <v>0</v>
      </c>
      <c r="M18" s="1807">
        <v>0</v>
      </c>
      <c r="N18" s="1807">
        <v>0</v>
      </c>
      <c r="O18" s="1808">
        <v>0</v>
      </c>
      <c r="P18" s="1808">
        <f t="shared" si="5"/>
        <v>0</v>
      </c>
      <c r="Q18" s="1629" t="str">
        <f t="shared" si="7"/>
        <v>-</v>
      </c>
    </row>
    <row r="19" spans="1:19" ht="17.25" customHeight="1">
      <c r="A19" s="259" t="s">
        <v>565</v>
      </c>
      <c r="B19" s="1809">
        <v>0</v>
      </c>
      <c r="C19" s="1809">
        <f t="shared" si="4"/>
        <v>0</v>
      </c>
      <c r="D19" s="1040">
        <f t="shared" ref="D19:O19" si="9">$P19/12</f>
        <v>0</v>
      </c>
      <c r="E19" s="1810">
        <f t="shared" si="9"/>
        <v>0</v>
      </c>
      <c r="F19" s="1810">
        <f t="shared" si="9"/>
        <v>0</v>
      </c>
      <c r="G19" s="1810">
        <f t="shared" si="9"/>
        <v>0</v>
      </c>
      <c r="H19" s="1810">
        <f t="shared" si="9"/>
        <v>0</v>
      </c>
      <c r="I19" s="1810">
        <f t="shared" si="9"/>
        <v>0</v>
      </c>
      <c r="J19" s="1810">
        <f t="shared" si="9"/>
        <v>0</v>
      </c>
      <c r="K19" s="1810">
        <f t="shared" si="9"/>
        <v>0</v>
      </c>
      <c r="L19" s="1810">
        <f t="shared" si="9"/>
        <v>0</v>
      </c>
      <c r="M19" s="1810">
        <f t="shared" si="9"/>
        <v>0</v>
      </c>
      <c r="N19" s="1810">
        <f t="shared" si="9"/>
        <v>0</v>
      </c>
      <c r="O19" s="1811">
        <f t="shared" si="9"/>
        <v>0</v>
      </c>
      <c r="P19" s="1811">
        <f t="shared" si="5"/>
        <v>0</v>
      </c>
      <c r="Q19" s="1630" t="str">
        <f t="shared" si="7"/>
        <v>-</v>
      </c>
    </row>
    <row r="20" spans="1:19" ht="17.25" customHeight="1">
      <c r="A20" s="1628" t="s">
        <v>49</v>
      </c>
      <c r="B20" s="1806">
        <v>0</v>
      </c>
      <c r="C20" s="1806">
        <f t="shared" si="4"/>
        <v>0</v>
      </c>
      <c r="D20" s="1041">
        <v>0</v>
      </c>
      <c r="E20" s="1807">
        <v>0</v>
      </c>
      <c r="F20" s="1807">
        <v>0</v>
      </c>
      <c r="G20" s="1807">
        <v>0</v>
      </c>
      <c r="H20" s="1807">
        <v>0</v>
      </c>
      <c r="I20" s="1807">
        <v>0</v>
      </c>
      <c r="J20" s="1807">
        <v>0</v>
      </c>
      <c r="K20" s="1807">
        <v>0</v>
      </c>
      <c r="L20" s="1807">
        <v>0</v>
      </c>
      <c r="M20" s="1807">
        <v>0</v>
      </c>
      <c r="N20" s="1807">
        <v>0</v>
      </c>
      <c r="O20" s="1808">
        <v>0</v>
      </c>
      <c r="P20" s="1808">
        <f t="shared" si="5"/>
        <v>0</v>
      </c>
      <c r="Q20" s="1629" t="str">
        <f t="shared" si="7"/>
        <v>-</v>
      </c>
    </row>
    <row r="21" spans="1:19" ht="17.25" customHeight="1">
      <c r="A21" s="259" t="s">
        <v>50</v>
      </c>
      <c r="B21" s="1809">
        <v>0</v>
      </c>
      <c r="C21" s="1809">
        <f t="shared" si="4"/>
        <v>0</v>
      </c>
      <c r="D21" s="1040">
        <v>0</v>
      </c>
      <c r="E21" s="1810">
        <v>0</v>
      </c>
      <c r="F21" s="1810">
        <v>0</v>
      </c>
      <c r="G21" s="1810">
        <v>0</v>
      </c>
      <c r="H21" s="1810">
        <v>0</v>
      </c>
      <c r="I21" s="1810">
        <v>0</v>
      </c>
      <c r="J21" s="1810">
        <v>0</v>
      </c>
      <c r="K21" s="1810">
        <v>0</v>
      </c>
      <c r="L21" s="1810">
        <v>0</v>
      </c>
      <c r="M21" s="1810">
        <v>0</v>
      </c>
      <c r="N21" s="1810">
        <v>0</v>
      </c>
      <c r="O21" s="1811">
        <v>0</v>
      </c>
      <c r="P21" s="1811">
        <f t="shared" si="5"/>
        <v>0</v>
      </c>
      <c r="Q21" s="1630" t="str">
        <f t="shared" si="7"/>
        <v>-</v>
      </c>
    </row>
    <row r="22" spans="1:19" ht="17.25" customHeight="1">
      <c r="A22" s="1628" t="s">
        <v>566</v>
      </c>
      <c r="B22" s="1806">
        <v>0</v>
      </c>
      <c r="C22" s="1806">
        <f t="shared" si="4"/>
        <v>0</v>
      </c>
      <c r="D22" s="1041">
        <v>0</v>
      </c>
      <c r="E22" s="1807">
        <v>0</v>
      </c>
      <c r="F22" s="1807">
        <v>0</v>
      </c>
      <c r="G22" s="1807">
        <v>0</v>
      </c>
      <c r="H22" s="1807">
        <v>0</v>
      </c>
      <c r="I22" s="1807">
        <v>0</v>
      </c>
      <c r="J22" s="1807">
        <v>0</v>
      </c>
      <c r="K22" s="1807">
        <v>0</v>
      </c>
      <c r="L22" s="1807">
        <v>0</v>
      </c>
      <c r="M22" s="1807">
        <v>0</v>
      </c>
      <c r="N22" s="1807">
        <v>0</v>
      </c>
      <c r="O22" s="1808">
        <v>0</v>
      </c>
      <c r="P22" s="1808">
        <f t="shared" si="5"/>
        <v>0</v>
      </c>
      <c r="Q22" s="1629" t="str">
        <f t="shared" si="7"/>
        <v>-</v>
      </c>
    </row>
    <row r="23" spans="1:19" ht="17.25" customHeight="1">
      <c r="A23" s="259" t="s">
        <v>51</v>
      </c>
      <c r="B23" s="1809">
        <v>0</v>
      </c>
      <c r="C23" s="1809">
        <f t="shared" si="4"/>
        <v>0</v>
      </c>
      <c r="D23" s="1040">
        <v>0</v>
      </c>
      <c r="E23" s="1810">
        <v>0</v>
      </c>
      <c r="F23" s="1810">
        <v>0</v>
      </c>
      <c r="G23" s="1810">
        <v>0</v>
      </c>
      <c r="H23" s="1810">
        <v>0</v>
      </c>
      <c r="I23" s="1810">
        <v>0</v>
      </c>
      <c r="J23" s="1810">
        <v>0</v>
      </c>
      <c r="K23" s="1810">
        <v>0</v>
      </c>
      <c r="L23" s="1810">
        <v>0</v>
      </c>
      <c r="M23" s="1810">
        <v>0</v>
      </c>
      <c r="N23" s="1810">
        <v>0</v>
      </c>
      <c r="O23" s="1811">
        <v>0</v>
      </c>
      <c r="P23" s="1811">
        <f t="shared" si="5"/>
        <v>0</v>
      </c>
      <c r="Q23" s="1630" t="str">
        <f t="shared" si="7"/>
        <v>-</v>
      </c>
    </row>
    <row r="24" spans="1:19" ht="17.25" customHeight="1">
      <c r="A24" s="1628" t="s">
        <v>52</v>
      </c>
      <c r="B24" s="1806">
        <v>0</v>
      </c>
      <c r="C24" s="1806">
        <f t="shared" si="4"/>
        <v>0</v>
      </c>
      <c r="D24" s="1041">
        <f t="shared" ref="D24:O24" si="10">$P24/12</f>
        <v>0</v>
      </c>
      <c r="E24" s="1807">
        <f t="shared" si="10"/>
        <v>0</v>
      </c>
      <c r="F24" s="1807">
        <f t="shared" si="10"/>
        <v>0</v>
      </c>
      <c r="G24" s="1807">
        <f t="shared" si="10"/>
        <v>0</v>
      </c>
      <c r="H24" s="1807">
        <f t="shared" si="10"/>
        <v>0</v>
      </c>
      <c r="I24" s="1807">
        <f t="shared" si="10"/>
        <v>0</v>
      </c>
      <c r="J24" s="1807">
        <f t="shared" si="10"/>
        <v>0</v>
      </c>
      <c r="K24" s="1807">
        <f t="shared" si="10"/>
        <v>0</v>
      </c>
      <c r="L24" s="1807">
        <f t="shared" si="10"/>
        <v>0</v>
      </c>
      <c r="M24" s="1807">
        <f t="shared" si="10"/>
        <v>0</v>
      </c>
      <c r="N24" s="1807">
        <f t="shared" si="10"/>
        <v>0</v>
      </c>
      <c r="O24" s="1808">
        <f t="shared" si="10"/>
        <v>0</v>
      </c>
      <c r="P24" s="1808">
        <f t="shared" si="5"/>
        <v>0</v>
      </c>
      <c r="Q24" s="1629" t="str">
        <f t="shared" si="7"/>
        <v>-</v>
      </c>
    </row>
    <row r="25" spans="1:19" ht="17.25" customHeight="1">
      <c r="A25" s="259" t="s">
        <v>53</v>
      </c>
      <c r="B25" s="1809">
        <v>0</v>
      </c>
      <c r="C25" s="1809">
        <f t="shared" si="4"/>
        <v>0</v>
      </c>
      <c r="D25" s="1040">
        <v>0</v>
      </c>
      <c r="E25" s="1810">
        <v>0</v>
      </c>
      <c r="F25" s="1810">
        <v>0</v>
      </c>
      <c r="G25" s="1810">
        <v>0</v>
      </c>
      <c r="H25" s="1810">
        <v>0</v>
      </c>
      <c r="I25" s="1810">
        <v>0</v>
      </c>
      <c r="J25" s="1810">
        <v>0</v>
      </c>
      <c r="K25" s="1810">
        <v>0</v>
      </c>
      <c r="L25" s="1810">
        <v>0</v>
      </c>
      <c r="M25" s="1810">
        <v>0</v>
      </c>
      <c r="N25" s="1810">
        <v>0</v>
      </c>
      <c r="O25" s="1811">
        <v>0</v>
      </c>
      <c r="P25" s="1811">
        <f t="shared" si="5"/>
        <v>0</v>
      </c>
      <c r="Q25" s="1630" t="str">
        <f t="shared" si="7"/>
        <v>-</v>
      </c>
    </row>
    <row r="26" spans="1:19" ht="17.25" customHeight="1">
      <c r="A26" s="1628" t="s">
        <v>54</v>
      </c>
      <c r="B26" s="1806">
        <v>0</v>
      </c>
      <c r="C26" s="1806">
        <f t="shared" si="4"/>
        <v>0</v>
      </c>
      <c r="D26" s="1041">
        <v>0</v>
      </c>
      <c r="E26" s="1807">
        <v>0</v>
      </c>
      <c r="F26" s="1807">
        <v>0</v>
      </c>
      <c r="G26" s="1807">
        <v>0</v>
      </c>
      <c r="H26" s="1807">
        <v>0</v>
      </c>
      <c r="I26" s="1807">
        <v>0</v>
      </c>
      <c r="J26" s="1807">
        <v>0</v>
      </c>
      <c r="K26" s="1807">
        <v>0</v>
      </c>
      <c r="L26" s="1807">
        <v>0</v>
      </c>
      <c r="M26" s="1807">
        <v>0</v>
      </c>
      <c r="N26" s="1807">
        <v>0</v>
      </c>
      <c r="O26" s="1808">
        <v>0</v>
      </c>
      <c r="P26" s="1808">
        <f t="shared" si="5"/>
        <v>0</v>
      </c>
      <c r="Q26" s="1629" t="str">
        <f t="shared" si="7"/>
        <v>-</v>
      </c>
      <c r="R26" s="1627"/>
      <c r="S26" s="1627"/>
    </row>
    <row r="27" spans="1:19" ht="17.25" customHeight="1">
      <c r="A27" s="259" t="s">
        <v>55</v>
      </c>
      <c r="B27" s="1809">
        <v>0</v>
      </c>
      <c r="C27" s="1809">
        <f t="shared" si="4"/>
        <v>0</v>
      </c>
      <c r="D27" s="1040">
        <v>0</v>
      </c>
      <c r="E27" s="1810">
        <v>0</v>
      </c>
      <c r="F27" s="1810">
        <v>0</v>
      </c>
      <c r="G27" s="1810">
        <v>0</v>
      </c>
      <c r="H27" s="1810">
        <v>0</v>
      </c>
      <c r="I27" s="1810">
        <v>0</v>
      </c>
      <c r="J27" s="1810">
        <v>0</v>
      </c>
      <c r="K27" s="1810">
        <v>0</v>
      </c>
      <c r="L27" s="1810">
        <v>0</v>
      </c>
      <c r="M27" s="1810">
        <v>0</v>
      </c>
      <c r="N27" s="1810">
        <v>0</v>
      </c>
      <c r="O27" s="1811">
        <v>0</v>
      </c>
      <c r="P27" s="1811">
        <f t="shared" si="5"/>
        <v>0</v>
      </c>
      <c r="Q27" s="1630" t="str">
        <f t="shared" si="7"/>
        <v>-</v>
      </c>
    </row>
    <row r="28" spans="1:19" ht="17.25" customHeight="1">
      <c r="A28" s="1628" t="s">
        <v>56</v>
      </c>
      <c r="B28" s="1806">
        <v>0</v>
      </c>
      <c r="C28" s="1806">
        <f t="shared" si="4"/>
        <v>0</v>
      </c>
      <c r="D28" s="1041">
        <v>0</v>
      </c>
      <c r="E28" s="1807">
        <v>0</v>
      </c>
      <c r="F28" s="1807">
        <v>0</v>
      </c>
      <c r="G28" s="1807">
        <v>0</v>
      </c>
      <c r="H28" s="1807">
        <v>0</v>
      </c>
      <c r="I28" s="1807">
        <v>0</v>
      </c>
      <c r="J28" s="1807">
        <v>0</v>
      </c>
      <c r="K28" s="1807">
        <v>0</v>
      </c>
      <c r="L28" s="1807">
        <v>0</v>
      </c>
      <c r="M28" s="1807">
        <v>0</v>
      </c>
      <c r="N28" s="1807">
        <v>0</v>
      </c>
      <c r="O28" s="1808">
        <v>0</v>
      </c>
      <c r="P28" s="1808">
        <f t="shared" si="5"/>
        <v>0</v>
      </c>
      <c r="Q28" s="1629" t="str">
        <f t="shared" si="7"/>
        <v>-</v>
      </c>
    </row>
    <row r="29" spans="1:19" ht="17.25" customHeight="1">
      <c r="A29" s="259" t="s">
        <v>57</v>
      </c>
      <c r="B29" s="1809">
        <v>0</v>
      </c>
      <c r="C29" s="1809">
        <f t="shared" si="4"/>
        <v>0</v>
      </c>
      <c r="D29" s="1040">
        <v>0</v>
      </c>
      <c r="E29" s="1810">
        <v>0</v>
      </c>
      <c r="F29" s="1810">
        <v>0</v>
      </c>
      <c r="G29" s="1810">
        <v>0</v>
      </c>
      <c r="H29" s="1810">
        <v>0</v>
      </c>
      <c r="I29" s="1810">
        <v>0</v>
      </c>
      <c r="J29" s="1810">
        <v>0</v>
      </c>
      <c r="K29" s="1810">
        <v>0</v>
      </c>
      <c r="L29" s="1810">
        <v>0</v>
      </c>
      <c r="M29" s="1810">
        <v>0</v>
      </c>
      <c r="N29" s="1810">
        <v>0</v>
      </c>
      <c r="O29" s="1811">
        <v>0</v>
      </c>
      <c r="P29" s="1811">
        <f t="shared" si="5"/>
        <v>0</v>
      </c>
      <c r="Q29" s="1630" t="str">
        <f t="shared" si="7"/>
        <v>-</v>
      </c>
    </row>
    <row r="30" spans="1:19" ht="17.25" customHeight="1">
      <c r="A30" s="1628" t="s">
        <v>58</v>
      </c>
      <c r="B30" s="1806">
        <v>0</v>
      </c>
      <c r="C30" s="1806">
        <f t="shared" si="4"/>
        <v>0</v>
      </c>
      <c r="D30" s="1041">
        <v>0</v>
      </c>
      <c r="E30" s="1807">
        <v>0</v>
      </c>
      <c r="F30" s="1807">
        <v>0</v>
      </c>
      <c r="G30" s="1807">
        <v>0</v>
      </c>
      <c r="H30" s="1807">
        <v>0</v>
      </c>
      <c r="I30" s="1807">
        <v>0</v>
      </c>
      <c r="J30" s="1807">
        <v>0</v>
      </c>
      <c r="K30" s="1807">
        <v>0</v>
      </c>
      <c r="L30" s="1807">
        <v>0</v>
      </c>
      <c r="M30" s="1807">
        <v>0</v>
      </c>
      <c r="N30" s="1807">
        <v>0</v>
      </c>
      <c r="O30" s="1808">
        <v>0</v>
      </c>
      <c r="P30" s="1808">
        <f t="shared" si="5"/>
        <v>0</v>
      </c>
      <c r="Q30" s="1629" t="str">
        <f t="shared" si="7"/>
        <v>-</v>
      </c>
    </row>
    <row r="31" spans="1:19" ht="17.25" customHeight="1">
      <c r="A31" s="259" t="s">
        <v>59</v>
      </c>
      <c r="B31" s="1809">
        <v>0</v>
      </c>
      <c r="C31" s="1809">
        <f t="shared" si="4"/>
        <v>0</v>
      </c>
      <c r="D31" s="1040">
        <f t="shared" ref="D31:O31" si="11">$P31/12</f>
        <v>0</v>
      </c>
      <c r="E31" s="1040">
        <f t="shared" si="11"/>
        <v>0</v>
      </c>
      <c r="F31" s="1040">
        <f t="shared" si="11"/>
        <v>0</v>
      </c>
      <c r="G31" s="1040">
        <f t="shared" si="11"/>
        <v>0</v>
      </c>
      <c r="H31" s="1040">
        <f t="shared" si="11"/>
        <v>0</v>
      </c>
      <c r="I31" s="1040">
        <f t="shared" si="11"/>
        <v>0</v>
      </c>
      <c r="J31" s="1040">
        <f t="shared" si="11"/>
        <v>0</v>
      </c>
      <c r="K31" s="1040">
        <f t="shared" si="11"/>
        <v>0</v>
      </c>
      <c r="L31" s="1040">
        <f t="shared" si="11"/>
        <v>0</v>
      </c>
      <c r="M31" s="1040">
        <f t="shared" si="11"/>
        <v>0</v>
      </c>
      <c r="N31" s="1040">
        <f t="shared" si="11"/>
        <v>0</v>
      </c>
      <c r="O31" s="1040">
        <f t="shared" si="11"/>
        <v>0</v>
      </c>
      <c r="P31" s="1811">
        <f>C31*1.65</f>
        <v>0</v>
      </c>
      <c r="Q31" s="1630" t="str">
        <f t="shared" si="7"/>
        <v>-</v>
      </c>
    </row>
    <row r="32" spans="1:19" ht="17.25" customHeight="1">
      <c r="A32" s="1628" t="s">
        <v>60</v>
      </c>
      <c r="B32" s="1806">
        <v>0</v>
      </c>
      <c r="C32" s="1806">
        <f t="shared" si="4"/>
        <v>0</v>
      </c>
      <c r="D32" s="1041">
        <v>0</v>
      </c>
      <c r="E32" s="1807">
        <v>0</v>
      </c>
      <c r="F32" s="1807">
        <v>0</v>
      </c>
      <c r="G32" s="1807">
        <v>0</v>
      </c>
      <c r="H32" s="1807">
        <v>0</v>
      </c>
      <c r="I32" s="1807">
        <v>0</v>
      </c>
      <c r="J32" s="1807">
        <v>0</v>
      </c>
      <c r="K32" s="1807">
        <v>0</v>
      </c>
      <c r="L32" s="1807">
        <v>0</v>
      </c>
      <c r="M32" s="1807">
        <v>0</v>
      </c>
      <c r="N32" s="1807">
        <v>0</v>
      </c>
      <c r="O32" s="1808">
        <v>0</v>
      </c>
      <c r="P32" s="1808">
        <f t="shared" si="5"/>
        <v>0</v>
      </c>
      <c r="Q32" s="1629" t="str">
        <f t="shared" si="7"/>
        <v>-</v>
      </c>
    </row>
    <row r="33" spans="1:19" ht="17.25" customHeight="1">
      <c r="A33" s="259" t="s">
        <v>61</v>
      </c>
      <c r="B33" s="1809">
        <v>0</v>
      </c>
      <c r="C33" s="1809">
        <f t="shared" si="4"/>
        <v>0</v>
      </c>
      <c r="D33" s="1040">
        <v>0</v>
      </c>
      <c r="E33" s="1810">
        <v>0</v>
      </c>
      <c r="F33" s="1810">
        <v>0</v>
      </c>
      <c r="G33" s="1810">
        <v>0</v>
      </c>
      <c r="H33" s="1810">
        <v>0</v>
      </c>
      <c r="I33" s="1810">
        <v>0</v>
      </c>
      <c r="J33" s="1810">
        <v>0</v>
      </c>
      <c r="K33" s="1810">
        <v>0</v>
      </c>
      <c r="L33" s="1810">
        <v>0</v>
      </c>
      <c r="M33" s="1810">
        <v>0</v>
      </c>
      <c r="N33" s="1810">
        <v>0</v>
      </c>
      <c r="O33" s="1811">
        <v>0</v>
      </c>
      <c r="P33" s="1811">
        <f t="shared" si="5"/>
        <v>0</v>
      </c>
      <c r="Q33" s="1630" t="str">
        <f t="shared" si="7"/>
        <v>-</v>
      </c>
      <c r="S33" s="838"/>
    </row>
    <row r="34" spans="1:19" ht="17.25" customHeight="1">
      <c r="A34" s="1628" t="s">
        <v>62</v>
      </c>
      <c r="B34" s="1806">
        <v>0</v>
      </c>
      <c r="C34" s="1806">
        <f t="shared" si="4"/>
        <v>0</v>
      </c>
      <c r="D34" s="1041">
        <v>0</v>
      </c>
      <c r="E34" s="1807">
        <v>0</v>
      </c>
      <c r="F34" s="1807">
        <v>0</v>
      </c>
      <c r="G34" s="1807">
        <v>0</v>
      </c>
      <c r="H34" s="1807">
        <v>0</v>
      </c>
      <c r="I34" s="1807">
        <v>0</v>
      </c>
      <c r="J34" s="1807">
        <v>0</v>
      </c>
      <c r="K34" s="1807">
        <v>0</v>
      </c>
      <c r="L34" s="1807">
        <v>0</v>
      </c>
      <c r="M34" s="1807">
        <v>0</v>
      </c>
      <c r="N34" s="1807">
        <v>0</v>
      </c>
      <c r="O34" s="1808">
        <v>0</v>
      </c>
      <c r="P34" s="1808">
        <f t="shared" si="5"/>
        <v>0</v>
      </c>
      <c r="Q34" s="1629" t="str">
        <f t="shared" si="7"/>
        <v>-</v>
      </c>
    </row>
    <row r="35" spans="1:19" ht="17.25" customHeight="1">
      <c r="A35" s="259" t="s">
        <v>63</v>
      </c>
      <c r="B35" s="1809">
        <v>0</v>
      </c>
      <c r="C35" s="1809">
        <f t="shared" si="4"/>
        <v>0</v>
      </c>
      <c r="D35" s="1040"/>
      <c r="E35" s="1810"/>
      <c r="F35" s="1810"/>
      <c r="G35" s="1810"/>
      <c r="H35" s="1810"/>
      <c r="I35" s="1810"/>
      <c r="J35" s="1810"/>
      <c r="K35" s="1810"/>
      <c r="L35" s="1810"/>
      <c r="M35" s="1810"/>
      <c r="N35" s="1810"/>
      <c r="O35" s="1811"/>
      <c r="P35" s="1811">
        <f t="shared" si="5"/>
        <v>0</v>
      </c>
      <c r="Q35" s="1630" t="str">
        <f t="shared" si="7"/>
        <v>-</v>
      </c>
    </row>
    <row r="36" spans="1:19" ht="17.25" customHeight="1">
      <c r="A36" s="1628" t="s">
        <v>567</v>
      </c>
      <c r="B36" s="1806">
        <v>0</v>
      </c>
      <c r="C36" s="1806">
        <f t="shared" si="4"/>
        <v>0</v>
      </c>
      <c r="D36" s="1041">
        <f t="shared" ref="D36:O37" si="12">$P36/12</f>
        <v>0</v>
      </c>
      <c r="E36" s="1807">
        <f t="shared" si="12"/>
        <v>0</v>
      </c>
      <c r="F36" s="1807">
        <f t="shared" si="12"/>
        <v>0</v>
      </c>
      <c r="G36" s="1807">
        <f t="shared" si="12"/>
        <v>0</v>
      </c>
      <c r="H36" s="1807">
        <f t="shared" si="12"/>
        <v>0</v>
      </c>
      <c r="I36" s="1807">
        <f t="shared" si="12"/>
        <v>0</v>
      </c>
      <c r="J36" s="1807">
        <f t="shared" si="12"/>
        <v>0</v>
      </c>
      <c r="K36" s="1807">
        <f t="shared" si="12"/>
        <v>0</v>
      </c>
      <c r="L36" s="1807">
        <f t="shared" si="12"/>
        <v>0</v>
      </c>
      <c r="M36" s="1807">
        <f t="shared" si="12"/>
        <v>0</v>
      </c>
      <c r="N36" s="1807">
        <f t="shared" si="12"/>
        <v>0</v>
      </c>
      <c r="O36" s="1808">
        <f t="shared" si="12"/>
        <v>0</v>
      </c>
      <c r="P36" s="1808">
        <f t="shared" si="5"/>
        <v>0</v>
      </c>
      <c r="Q36" s="1629" t="str">
        <f t="shared" si="7"/>
        <v>-</v>
      </c>
    </row>
    <row r="37" spans="1:19" ht="17.25" customHeight="1" thickBot="1">
      <c r="A37" s="1631" t="s">
        <v>64</v>
      </c>
      <c r="B37" s="1812">
        <v>0</v>
      </c>
      <c r="C37" s="1812">
        <f t="shared" si="4"/>
        <v>0</v>
      </c>
      <c r="D37" s="1813">
        <f t="shared" si="12"/>
        <v>0</v>
      </c>
      <c r="E37" s="1814">
        <f t="shared" si="12"/>
        <v>0</v>
      </c>
      <c r="F37" s="1814">
        <f t="shared" si="12"/>
        <v>0</v>
      </c>
      <c r="G37" s="1814">
        <f t="shared" si="12"/>
        <v>0</v>
      </c>
      <c r="H37" s="1814">
        <f t="shared" si="12"/>
        <v>0</v>
      </c>
      <c r="I37" s="1814">
        <f t="shared" si="12"/>
        <v>0</v>
      </c>
      <c r="J37" s="1814">
        <f t="shared" si="12"/>
        <v>0</v>
      </c>
      <c r="K37" s="1814">
        <f t="shared" si="12"/>
        <v>0</v>
      </c>
      <c r="L37" s="1814">
        <f t="shared" si="12"/>
        <v>0</v>
      </c>
      <c r="M37" s="1814">
        <f t="shared" si="12"/>
        <v>0</v>
      </c>
      <c r="N37" s="1814">
        <f t="shared" si="12"/>
        <v>0</v>
      </c>
      <c r="O37" s="1815">
        <f t="shared" si="12"/>
        <v>0</v>
      </c>
      <c r="P37" s="1815">
        <f t="shared" si="5"/>
        <v>0</v>
      </c>
      <c r="Q37" s="1632" t="str">
        <f t="shared" si="7"/>
        <v>-</v>
      </c>
    </row>
  </sheetData>
  <mergeCells count="2">
    <mergeCell ref="B2:C2"/>
    <mergeCell ref="D2:P2"/>
  </mergeCells>
  <pageMargins left="0.25" right="0.25" top="0.75" bottom="0.75" header="0.3" footer="0.3"/>
  <pageSetup paperSize="9" scale="47" fitToHeight="0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V187"/>
  <sheetViews>
    <sheetView zoomScale="85" zoomScaleNormal="85" workbookViewId="0">
      <selection activeCell="A2" sqref="A2"/>
    </sheetView>
  </sheetViews>
  <sheetFormatPr defaultColWidth="9.109375" defaultRowHeight="14.4"/>
  <cols>
    <col min="1" max="1" width="31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7" width="9.109375" style="352"/>
    <col min="18" max="18" width="8.88671875" style="352" customWidth="1"/>
    <col min="19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670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937" t="s">
        <v>638</v>
      </c>
    </row>
    <row r="3" spans="1:22" ht="30.75" customHeight="1" thickBot="1">
      <c r="A3" s="356"/>
      <c r="B3" s="357" t="s">
        <v>657</v>
      </c>
      <c r="C3" s="357" t="s">
        <v>663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941" t="s">
        <v>619</v>
      </c>
    </row>
    <row r="4" spans="1:22" ht="22.5" customHeight="1" thickBot="1">
      <c r="A4" s="362" t="s">
        <v>24</v>
      </c>
      <c r="B4" s="2050">
        <f>B7+B8+B13</f>
        <v>0</v>
      </c>
      <c r="C4" s="2051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367" t="str">
        <f t="shared" ref="Q4:Q16" si="3">IF(P4=0,"-",P4/C4-1)</f>
        <v>-</v>
      </c>
    </row>
    <row r="5" spans="1:22" ht="16.5" customHeight="1">
      <c r="A5" s="2179" t="s">
        <v>15</v>
      </c>
      <c r="B5" s="2052">
        <v>0</v>
      </c>
      <c r="C5" s="2053">
        <f t="shared" ref="C5" si="4">+B5/10*12</f>
        <v>0</v>
      </c>
      <c r="D5" s="371"/>
      <c r="E5" s="372"/>
      <c r="F5" s="372"/>
      <c r="G5" s="372"/>
      <c r="H5" s="373"/>
      <c r="I5" s="373"/>
      <c r="J5" s="373"/>
      <c r="K5" s="373"/>
      <c r="L5" s="373"/>
      <c r="M5" s="373"/>
      <c r="N5" s="373"/>
      <c r="O5" s="374"/>
      <c r="P5" s="369">
        <f t="shared" si="2"/>
        <v>0</v>
      </c>
      <c r="Q5" s="375" t="str">
        <f>IF(P5=0,"-",P5/C5-1)</f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2054"/>
      <c r="C6" s="2055"/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384" t="str">
        <f t="shared" si="3"/>
        <v>-</v>
      </c>
    </row>
    <row r="7" spans="1:22" s="281" customFormat="1" ht="15" customHeight="1">
      <c r="A7" s="385" t="s">
        <v>27</v>
      </c>
      <c r="B7" s="2056">
        <f>+B5+B6</f>
        <v>0</v>
      </c>
      <c r="C7" s="2057">
        <f>+C5+C6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2058">
        <v>0</v>
      </c>
      <c r="C8" s="2059">
        <f>B8</f>
        <v>0</v>
      </c>
      <c r="D8" s="396"/>
      <c r="E8" s="397"/>
      <c r="F8" s="397"/>
      <c r="G8" s="397"/>
      <c r="H8" s="397"/>
      <c r="I8" s="397"/>
      <c r="J8" s="397"/>
      <c r="K8" s="397"/>
      <c r="L8" s="397"/>
      <c r="M8" s="397"/>
      <c r="N8" s="397"/>
      <c r="O8" s="398"/>
      <c r="P8" s="399">
        <f t="shared" si="2"/>
        <v>0</v>
      </c>
      <c r="Q8" s="384" t="str">
        <f t="shared" si="3"/>
        <v>-</v>
      </c>
    </row>
    <row r="9" spans="1:22" ht="16.5" customHeight="1">
      <c r="A9" s="2180" t="s">
        <v>81</v>
      </c>
      <c r="B9" s="2060">
        <v>0</v>
      </c>
      <c r="C9" s="2053">
        <f t="shared" ref="C9" si="6">+B9/10*12</f>
        <v>0</v>
      </c>
      <c r="D9" s="402">
        <f>+'DAĞITICI-ÖTV''SİZ-İHALE HEDEF'!C3</f>
        <v>0</v>
      </c>
      <c r="E9" s="403">
        <f>+'DAĞITICI-ÖTV''SİZ-İHALE HEDEF'!D3</f>
        <v>0</v>
      </c>
      <c r="F9" s="403">
        <f>+'DAĞITICI-ÖTV''SİZ-İHALE HEDEF'!E3</f>
        <v>0</v>
      </c>
      <c r="G9" s="403">
        <f>+'DAĞITICI-ÖTV''SİZ-İHALE HEDEF'!F3</f>
        <v>0</v>
      </c>
      <c r="H9" s="403">
        <f>+'DAĞITICI-ÖTV''SİZ-İHALE HEDEF'!G3</f>
        <v>0</v>
      </c>
      <c r="I9" s="403">
        <f>+'DAĞITICI-ÖTV''SİZ-İHALE HEDEF'!H3</f>
        <v>0</v>
      </c>
      <c r="J9" s="403">
        <f>+'DAĞITICI-ÖTV''SİZ-İHALE HEDEF'!I3</f>
        <v>0</v>
      </c>
      <c r="K9" s="403">
        <f>+'DAĞITICI-ÖTV''SİZ-İHALE HEDEF'!J3</f>
        <v>0</v>
      </c>
      <c r="L9" s="403">
        <f>+'DAĞITICI-ÖTV''SİZ-İHALE HEDEF'!K3</f>
        <v>0</v>
      </c>
      <c r="M9" s="403">
        <f>+'DAĞITICI-ÖTV''SİZ-İHALE HEDEF'!L3</f>
        <v>0</v>
      </c>
      <c r="N9" s="403">
        <f>+'DAĞITICI-ÖTV''SİZ-İHALE HEDEF'!M3</f>
        <v>0</v>
      </c>
      <c r="O9" s="403">
        <f>+'DAĞITICI-ÖTV''SİZ-İHALE HEDEF'!N3</f>
        <v>0</v>
      </c>
      <c r="P9" s="386">
        <f t="shared" si="2"/>
        <v>0</v>
      </c>
      <c r="Q9" s="405" t="str">
        <f t="shared" si="3"/>
        <v>-</v>
      </c>
      <c r="S9" s="352">
        <f>5000/12</f>
        <v>416.66666666666669</v>
      </c>
    </row>
    <row r="10" spans="1:22" ht="16.5" hidden="1" customHeight="1">
      <c r="A10" s="406" t="s">
        <v>82</v>
      </c>
      <c r="B10" s="2061"/>
      <c r="C10" s="2053">
        <f t="shared" ref="C10" si="7">+B10/10*12</f>
        <v>0</v>
      </c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384" t="str">
        <f t="shared" si="3"/>
        <v>-</v>
      </c>
    </row>
    <row r="11" spans="1:22" ht="16.5" customHeight="1">
      <c r="A11" s="400" t="s">
        <v>83</v>
      </c>
      <c r="B11" s="2062"/>
      <c r="C11" s="2053"/>
      <c r="D11" s="402">
        <f>+'DAĞITICI-ÖTV''SİZ-İHALE HEDEF'!C4</f>
        <v>0</v>
      </c>
      <c r="E11" s="403">
        <f>+'DAĞITICI-ÖTV''SİZ-İHALE HEDEF'!D4</f>
        <v>0</v>
      </c>
      <c r="F11" s="403">
        <f>+'DAĞITICI-ÖTV''SİZ-İHALE HEDEF'!E4</f>
        <v>0</v>
      </c>
      <c r="G11" s="403">
        <f>+'DAĞITICI-ÖTV''SİZ-İHALE HEDEF'!F4</f>
        <v>0</v>
      </c>
      <c r="H11" s="403">
        <f>+'DAĞITICI-ÖTV''SİZ-İHALE HEDEF'!G4</f>
        <v>0</v>
      </c>
      <c r="I11" s="403">
        <f>+'DAĞITICI-ÖTV''SİZ-İHALE HEDEF'!H4</f>
        <v>0</v>
      </c>
      <c r="J11" s="403">
        <f>+'DAĞITICI-ÖTV''SİZ-İHALE HEDEF'!I4</f>
        <v>0</v>
      </c>
      <c r="K11" s="403">
        <f>+'DAĞITICI-ÖTV''SİZ-İHALE HEDEF'!J4</f>
        <v>0</v>
      </c>
      <c r="L11" s="403">
        <f>+'DAĞITICI-ÖTV''SİZ-İHALE HEDEF'!K4</f>
        <v>0</v>
      </c>
      <c r="M11" s="403">
        <f>+'DAĞITICI-ÖTV''SİZ-İHALE HEDEF'!L4</f>
        <v>0</v>
      </c>
      <c r="N11" s="403">
        <f>+'DAĞITICI-ÖTV''SİZ-İHALE HEDEF'!M4</f>
        <v>0</v>
      </c>
      <c r="O11" s="404">
        <f>+'DAĞITICI-ÖTV''SİZ-İHALE HEDEF'!N4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2054"/>
      <c r="C12" s="2055"/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384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2063">
        <f>SUM(B9:B12)</f>
        <v>0</v>
      </c>
      <c r="C13" s="2064">
        <f>SUM(C9:C12)</f>
        <v>0</v>
      </c>
      <c r="D13" s="413">
        <f>SUM(D9:D12)</f>
        <v>0</v>
      </c>
      <c r="E13" s="414">
        <f t="shared" ref="E13:O13" si="8">SUM(E9:E12)</f>
        <v>0</v>
      </c>
      <c r="F13" s="414">
        <f t="shared" si="8"/>
        <v>0</v>
      </c>
      <c r="G13" s="414">
        <f t="shared" si="8"/>
        <v>0</v>
      </c>
      <c r="H13" s="414">
        <f t="shared" si="8"/>
        <v>0</v>
      </c>
      <c r="I13" s="414">
        <f t="shared" si="8"/>
        <v>0</v>
      </c>
      <c r="J13" s="414">
        <f t="shared" si="8"/>
        <v>0</v>
      </c>
      <c r="K13" s="414">
        <f t="shared" si="8"/>
        <v>0</v>
      </c>
      <c r="L13" s="414">
        <f t="shared" si="8"/>
        <v>0</v>
      </c>
      <c r="M13" s="414">
        <f t="shared" si="8"/>
        <v>0</v>
      </c>
      <c r="N13" s="414">
        <f t="shared" si="8"/>
        <v>0</v>
      </c>
      <c r="O13" s="412">
        <f t="shared" si="8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2050">
        <f>SUM(B15:B16)</f>
        <v>0</v>
      </c>
      <c r="C14" s="2051">
        <f t="shared" ref="C14" si="9">SUM(C15:C16)</f>
        <v>0</v>
      </c>
      <c r="D14" s="417">
        <f>SUM(D15:D16)</f>
        <v>0</v>
      </c>
      <c r="E14" s="418">
        <f t="shared" ref="E14:O14" si="10">SUM(E15:E16)</f>
        <v>0</v>
      </c>
      <c r="F14" s="418">
        <f t="shared" si="10"/>
        <v>0</v>
      </c>
      <c r="G14" s="418">
        <f t="shared" si="10"/>
        <v>0</v>
      </c>
      <c r="H14" s="418">
        <f t="shared" si="10"/>
        <v>0</v>
      </c>
      <c r="I14" s="418">
        <f t="shared" si="10"/>
        <v>0</v>
      </c>
      <c r="J14" s="418">
        <f t="shared" si="10"/>
        <v>0</v>
      </c>
      <c r="K14" s="418">
        <f t="shared" si="10"/>
        <v>0</v>
      </c>
      <c r="L14" s="418">
        <f t="shared" si="10"/>
        <v>0</v>
      </c>
      <c r="M14" s="418">
        <f t="shared" si="10"/>
        <v>0</v>
      </c>
      <c r="N14" s="418">
        <f t="shared" si="10"/>
        <v>0</v>
      </c>
      <c r="O14" s="419">
        <f t="shared" si="10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2065"/>
      <c r="C15" s="2053">
        <f t="shared" ref="C15:C16" si="11">+B15/10*12</f>
        <v>0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2066"/>
      <c r="C16" s="2053">
        <f t="shared" si="11"/>
        <v>0</v>
      </c>
      <c r="D16" s="433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5"/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2050">
        <f>SUM(B18:B19)</f>
        <v>0</v>
      </c>
      <c r="C17" s="2051">
        <f t="shared" ref="C17" si="12">SUM(C18:C19)</f>
        <v>0</v>
      </c>
      <c r="D17" s="417">
        <f>SUM(D18:D19)</f>
        <v>0</v>
      </c>
      <c r="E17" s="418">
        <f t="shared" ref="E17:O17" si="13">SUM(E18:E19)</f>
        <v>0</v>
      </c>
      <c r="F17" s="418">
        <f t="shared" si="13"/>
        <v>0</v>
      </c>
      <c r="G17" s="418">
        <f t="shared" si="13"/>
        <v>0</v>
      </c>
      <c r="H17" s="418">
        <f t="shared" si="13"/>
        <v>0</v>
      </c>
      <c r="I17" s="418">
        <f t="shared" si="13"/>
        <v>0</v>
      </c>
      <c r="J17" s="418">
        <f t="shared" si="13"/>
        <v>0</v>
      </c>
      <c r="K17" s="418">
        <f t="shared" si="13"/>
        <v>0</v>
      </c>
      <c r="L17" s="418">
        <f t="shared" si="13"/>
        <v>0</v>
      </c>
      <c r="M17" s="418">
        <f t="shared" si="13"/>
        <v>0</v>
      </c>
      <c r="N17" s="418">
        <f t="shared" si="13"/>
        <v>0</v>
      </c>
      <c r="O17" s="419">
        <f t="shared" si="13"/>
        <v>0</v>
      </c>
      <c r="P17" s="420">
        <f t="shared" si="2"/>
        <v>0</v>
      </c>
      <c r="Q17" s="421" t="str">
        <f>IF(P17=0,"-",P17/C17-1)</f>
        <v>-</v>
      </c>
    </row>
    <row r="18" spans="1:22" ht="16.5" customHeight="1">
      <c r="A18" s="422" t="s">
        <v>106</v>
      </c>
      <c r="B18" s="2065"/>
      <c r="C18" s="2053"/>
      <c r="D18" s="425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7"/>
      <c r="P18" s="428">
        <f t="shared" si="2"/>
        <v>0</v>
      </c>
      <c r="Q18" s="429" t="str">
        <f>IF(P18=0,"-",P18/C18-1)</f>
        <v>-</v>
      </c>
    </row>
    <row r="19" spans="1:22" ht="16.5" customHeight="1" thickBot="1">
      <c r="A19" s="438" t="s">
        <v>105</v>
      </c>
      <c r="B19" s="2067"/>
      <c r="C19" s="2068"/>
      <c r="D19" s="441"/>
      <c r="E19" s="442"/>
      <c r="F19" s="442"/>
      <c r="G19" s="442"/>
      <c r="H19" s="442"/>
      <c r="I19" s="442"/>
      <c r="J19" s="442"/>
      <c r="K19" s="442"/>
      <c r="L19" s="442"/>
      <c r="M19" s="442"/>
      <c r="N19" s="442"/>
      <c r="O19" s="443"/>
      <c r="P19" s="444">
        <f t="shared" si="2"/>
        <v>0</v>
      </c>
      <c r="Q19" s="445" t="str">
        <f>IF(P19=0,"-",P19/C19-1)</f>
        <v>-</v>
      </c>
    </row>
    <row r="20" spans="1:22" ht="16.5" customHeight="1" thickBot="1">
      <c r="B20" s="2069"/>
      <c r="C20" s="2070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/>
    </row>
    <row r="21" spans="1:22" ht="22.5" customHeight="1" thickBot="1">
      <c r="A21" s="362" t="s">
        <v>85</v>
      </c>
      <c r="B21" s="2050"/>
      <c r="C21" s="2051"/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>IF(P21=0,"-",P21/C21-1)</f>
        <v>-</v>
      </c>
    </row>
    <row r="22" spans="1:22" ht="16.5" customHeight="1" thickBot="1">
      <c r="B22" s="2069"/>
      <c r="C22" s="2070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937" t="s">
        <v>638</v>
      </c>
    </row>
    <row r="24" spans="1:22" ht="30.75" customHeight="1" thickBot="1">
      <c r="A24" s="356"/>
      <c r="B24" s="2033" t="s">
        <v>657</v>
      </c>
      <c r="C24" s="2033" t="s">
        <v>663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941" t="s">
        <v>619</v>
      </c>
    </row>
    <row r="25" spans="1:22" ht="22.5" customHeight="1" thickBot="1">
      <c r="A25" s="362" t="s">
        <v>28</v>
      </c>
      <c r="B25" s="2050">
        <f>B28+B29+B34</f>
        <v>0</v>
      </c>
      <c r="C25" s="2051">
        <f t="shared" ref="C25:O25" si="14">C28+C29+C34</f>
        <v>0</v>
      </c>
      <c r="D25" s="365">
        <f t="shared" si="14"/>
        <v>0</v>
      </c>
      <c r="E25" s="366">
        <f t="shared" si="14"/>
        <v>0</v>
      </c>
      <c r="F25" s="366">
        <f t="shared" si="14"/>
        <v>0</v>
      </c>
      <c r="G25" s="366">
        <f t="shared" si="14"/>
        <v>0</v>
      </c>
      <c r="H25" s="366">
        <f t="shared" si="14"/>
        <v>0</v>
      </c>
      <c r="I25" s="366">
        <f t="shared" si="14"/>
        <v>0</v>
      </c>
      <c r="J25" s="366">
        <f t="shared" si="14"/>
        <v>0</v>
      </c>
      <c r="K25" s="366">
        <f t="shared" si="14"/>
        <v>0</v>
      </c>
      <c r="L25" s="366">
        <f t="shared" si="14"/>
        <v>0</v>
      </c>
      <c r="M25" s="366">
        <f t="shared" si="14"/>
        <v>0</v>
      </c>
      <c r="N25" s="366">
        <f t="shared" si="14"/>
        <v>0</v>
      </c>
      <c r="O25" s="364">
        <f t="shared" si="14"/>
        <v>0</v>
      </c>
      <c r="P25" s="363">
        <f t="shared" ref="P25:P44" si="15">SUM(D25:O25)</f>
        <v>0</v>
      </c>
      <c r="Q25" s="367" t="str">
        <f t="shared" ref="Q25:Q32" si="16">IF(P25=0,"-",P25/C25-1)</f>
        <v>-</v>
      </c>
    </row>
    <row r="26" spans="1:22" ht="16.5" customHeight="1">
      <c r="A26" s="368" t="s">
        <v>15</v>
      </c>
      <c r="B26" s="2052">
        <v>0</v>
      </c>
      <c r="C26" s="2053">
        <f>B26/10*12</f>
        <v>0</v>
      </c>
      <c r="D26" s="371">
        <f>D5*'Satış Fiyat'!D5</f>
        <v>0</v>
      </c>
      <c r="E26" s="372">
        <f>E5*'Satış Fiyat'!E5</f>
        <v>0</v>
      </c>
      <c r="F26" s="372">
        <f>F5*'Satış Fiyat'!F5</f>
        <v>0</v>
      </c>
      <c r="G26" s="372">
        <f>G5*'Satış Fiyat'!G5</f>
        <v>0</v>
      </c>
      <c r="H26" s="373">
        <f>H5*'Satış Fiyat'!H5</f>
        <v>0</v>
      </c>
      <c r="I26" s="373">
        <f>I5*'Satış Fiyat'!I5</f>
        <v>0</v>
      </c>
      <c r="J26" s="373">
        <f>J5*'Satış Fiyat'!J5</f>
        <v>0</v>
      </c>
      <c r="K26" s="373">
        <f>K5*'Satış Fiyat'!K5</f>
        <v>0</v>
      </c>
      <c r="L26" s="373">
        <f>L5*'Satış Fiyat'!L5</f>
        <v>0</v>
      </c>
      <c r="M26" s="373">
        <f>M5*'Satış Fiyat'!M5</f>
        <v>0</v>
      </c>
      <c r="N26" s="373">
        <f>N5*'Satış Fiyat'!N5</f>
        <v>0</v>
      </c>
      <c r="O26" s="374">
        <f>O5*'Satış Fiyat'!O5</f>
        <v>0</v>
      </c>
      <c r="P26" s="369">
        <f t="shared" si="15"/>
        <v>0</v>
      </c>
      <c r="Q26" s="375" t="str">
        <f t="shared" si="16"/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2054">
        <f>B6*'Satış Fiyat'!B6</f>
        <v>0</v>
      </c>
      <c r="C27" s="2055">
        <f>C6*'Satış Fiyat'!C6</f>
        <v>0</v>
      </c>
      <c r="D27" s="380">
        <f>D6*'Satış Fiyat'!D6</f>
        <v>0</v>
      </c>
      <c r="E27" s="381">
        <f>E6*'Satış Fiyat'!E6</f>
        <v>0</v>
      </c>
      <c r="F27" s="381">
        <f>F6*'Satış Fiyat'!F6</f>
        <v>0</v>
      </c>
      <c r="G27" s="381">
        <f>G6*'Satış Fiyat'!G6</f>
        <v>0</v>
      </c>
      <c r="H27" s="382">
        <f>H6*'Satış Fiyat'!H6</f>
        <v>0</v>
      </c>
      <c r="I27" s="382">
        <f>I6*'Satış Fiyat'!I6</f>
        <v>0</v>
      </c>
      <c r="J27" s="382">
        <f>J6*'Satış Fiyat'!J6</f>
        <v>0</v>
      </c>
      <c r="K27" s="382">
        <f>K6*'Satış Fiyat'!K6</f>
        <v>0</v>
      </c>
      <c r="L27" s="382">
        <f>L6*'Satış Fiyat'!L6</f>
        <v>0</v>
      </c>
      <c r="M27" s="382">
        <f>M6*'Satış Fiyat'!M6</f>
        <v>0</v>
      </c>
      <c r="N27" s="382">
        <f>N6*'Satış Fiyat'!N6</f>
        <v>0</v>
      </c>
      <c r="O27" s="383">
        <f>O6*'Satış Fiyat'!O6</f>
        <v>0</v>
      </c>
      <c r="P27" s="378">
        <f t="shared" si="15"/>
        <v>0</v>
      </c>
      <c r="Q27" s="384" t="str">
        <f t="shared" si="16"/>
        <v>-</v>
      </c>
    </row>
    <row r="28" spans="1:22" ht="15" customHeight="1">
      <c r="A28" s="385" t="s">
        <v>27</v>
      </c>
      <c r="B28" s="2056">
        <f>+B26+B27</f>
        <v>0</v>
      </c>
      <c r="C28" s="2057">
        <f>+C27+C26</f>
        <v>0</v>
      </c>
      <c r="D28" s="388">
        <f t="shared" ref="D28:O28" si="17">SUM(D26:D27)</f>
        <v>0</v>
      </c>
      <c r="E28" s="389">
        <f t="shared" si="17"/>
        <v>0</v>
      </c>
      <c r="F28" s="389">
        <f t="shared" si="17"/>
        <v>0</v>
      </c>
      <c r="G28" s="389">
        <f t="shared" si="17"/>
        <v>0</v>
      </c>
      <c r="H28" s="389">
        <f t="shared" si="17"/>
        <v>0</v>
      </c>
      <c r="I28" s="389">
        <f t="shared" si="17"/>
        <v>0</v>
      </c>
      <c r="J28" s="389">
        <f t="shared" si="17"/>
        <v>0</v>
      </c>
      <c r="K28" s="389">
        <f t="shared" si="17"/>
        <v>0</v>
      </c>
      <c r="L28" s="389">
        <f t="shared" si="17"/>
        <v>0</v>
      </c>
      <c r="M28" s="389">
        <f t="shared" si="17"/>
        <v>0</v>
      </c>
      <c r="N28" s="389">
        <f t="shared" si="17"/>
        <v>0</v>
      </c>
      <c r="O28" s="390">
        <f t="shared" si="17"/>
        <v>0</v>
      </c>
      <c r="P28" s="391">
        <f t="shared" si="15"/>
        <v>0</v>
      </c>
      <c r="Q28" s="449" t="str">
        <f t="shared" si="16"/>
        <v>-</v>
      </c>
    </row>
    <row r="29" spans="1:22" ht="16.5" customHeight="1">
      <c r="A29" s="393" t="s">
        <v>17</v>
      </c>
      <c r="B29" s="2061">
        <v>0</v>
      </c>
      <c r="C29" s="2059">
        <f>B29</f>
        <v>0</v>
      </c>
      <c r="D29" s="396">
        <f>D8*'Satış Fiyat'!D8</f>
        <v>0</v>
      </c>
      <c r="E29" s="397">
        <f>E8*'Satış Fiyat'!E8</f>
        <v>0</v>
      </c>
      <c r="F29" s="397">
        <f>F8*'Satış Fiyat'!F8</f>
        <v>0</v>
      </c>
      <c r="G29" s="397">
        <f>G8*'Satış Fiyat'!G8</f>
        <v>0</v>
      </c>
      <c r="H29" s="397">
        <f>H8*'Satış Fiyat'!H8</f>
        <v>0</v>
      </c>
      <c r="I29" s="397">
        <f>I8*'Satış Fiyat'!I8</f>
        <v>0</v>
      </c>
      <c r="J29" s="397">
        <f>J8*'Satış Fiyat'!J8</f>
        <v>0</v>
      </c>
      <c r="K29" s="397">
        <f>K8*'Satış Fiyat'!K8</f>
        <v>0</v>
      </c>
      <c r="L29" s="397">
        <f>L8*'Satış Fiyat'!L8</f>
        <v>0</v>
      </c>
      <c r="M29" s="397">
        <f>M8*'Satış Fiyat'!M8</f>
        <v>0</v>
      </c>
      <c r="N29" s="397">
        <f>N8*'Satış Fiyat'!N8</f>
        <v>0</v>
      </c>
      <c r="O29" s="398">
        <f>O8*'Satış Fiyat'!O8</f>
        <v>0</v>
      </c>
      <c r="P29" s="399">
        <f t="shared" si="15"/>
        <v>0</v>
      </c>
      <c r="Q29" s="384" t="str">
        <f t="shared" si="16"/>
        <v>-</v>
      </c>
    </row>
    <row r="30" spans="1:22" ht="16.5" customHeight="1">
      <c r="A30" s="400" t="s">
        <v>81</v>
      </c>
      <c r="B30" s="2062">
        <v>0</v>
      </c>
      <c r="C30" s="2053">
        <f>B30/10*12</f>
        <v>0</v>
      </c>
      <c r="D30" s="402">
        <f>D9*'DAĞITICI-ÖTV''SİZ-İHALE HEDEF'!C45</f>
        <v>0</v>
      </c>
      <c r="E30" s="403">
        <f>E9*'DAĞITICI-ÖTV''SİZ-İHALE HEDEF'!D45</f>
        <v>0</v>
      </c>
      <c r="F30" s="1560">
        <f>F9*'DAĞITICI-ÖTV''SİZ-İHALE HEDEF'!E45</f>
        <v>0</v>
      </c>
      <c r="G30" s="403">
        <f>G9*'DAĞITICI-ÖTV''SİZ-İHALE HEDEF'!F45</f>
        <v>0</v>
      </c>
      <c r="H30" s="403">
        <f>H9*'DAĞITICI-ÖTV''SİZ-İHALE HEDEF'!G45</f>
        <v>0</v>
      </c>
      <c r="I30" s="403">
        <f>I9*'DAĞITICI-ÖTV''SİZ-İHALE HEDEF'!H45</f>
        <v>0</v>
      </c>
      <c r="J30" s="403">
        <f>J9*'DAĞITICI-ÖTV''SİZ-İHALE HEDEF'!I45</f>
        <v>0</v>
      </c>
      <c r="K30" s="403">
        <f>K9*'DAĞITICI-ÖTV''SİZ-İHALE HEDEF'!J45</f>
        <v>0</v>
      </c>
      <c r="L30" s="403">
        <f>L9*'DAĞITICI-ÖTV''SİZ-İHALE HEDEF'!K45</f>
        <v>0</v>
      </c>
      <c r="M30" s="403">
        <f>M9*'DAĞITICI-ÖTV''SİZ-İHALE HEDEF'!L45</f>
        <v>0</v>
      </c>
      <c r="N30" s="403">
        <f>N9*'DAĞITICI-ÖTV''SİZ-İHALE HEDEF'!M45</f>
        <v>0</v>
      </c>
      <c r="O30" s="404">
        <f>O9*'DAĞITICI-ÖTV''SİZ-İHALE HEDEF'!N45</f>
        <v>0</v>
      </c>
      <c r="P30" s="386">
        <f t="shared" si="15"/>
        <v>0</v>
      </c>
      <c r="Q30" s="405" t="str">
        <f t="shared" si="16"/>
        <v>-</v>
      </c>
      <c r="R30" s="352" t="e">
        <f>+C30/C9</f>
        <v>#DIV/0!</v>
      </c>
    </row>
    <row r="31" spans="1:22" ht="16.5" hidden="1" customHeight="1">
      <c r="A31" s="406" t="s">
        <v>82</v>
      </c>
      <c r="B31" s="2061">
        <f>B10*'Satış Fiyat'!B10</f>
        <v>0</v>
      </c>
      <c r="C31" s="2059">
        <f>C10*'Satış Fiyat'!C10</f>
        <v>0</v>
      </c>
      <c r="D31" s="396">
        <f>D10*'Satış Fiyat'!D10</f>
        <v>0</v>
      </c>
      <c r="E31" s="397">
        <f>E10*'Satış Fiyat'!E10</f>
        <v>0</v>
      </c>
      <c r="F31" s="397">
        <f>F10*'Satış Fiyat'!F10</f>
        <v>0</v>
      </c>
      <c r="G31" s="397">
        <f>G10*'Satış Fiyat'!G10</f>
        <v>0</v>
      </c>
      <c r="H31" s="397">
        <f>H10*'Satış Fiyat'!H10</f>
        <v>0</v>
      </c>
      <c r="I31" s="397">
        <f>I10*'Satış Fiyat'!I10</f>
        <v>0</v>
      </c>
      <c r="J31" s="397">
        <f>J10*'Satış Fiyat'!J10</f>
        <v>0</v>
      </c>
      <c r="K31" s="397">
        <f>K10*'Satış Fiyat'!K10</f>
        <v>0</v>
      </c>
      <c r="L31" s="397">
        <f>L10*'Satış Fiyat'!L10</f>
        <v>0</v>
      </c>
      <c r="M31" s="397">
        <f>M10*'Satış Fiyat'!M10</f>
        <v>0</v>
      </c>
      <c r="N31" s="397">
        <f>N10*'Satış Fiyat'!N10</f>
        <v>0</v>
      </c>
      <c r="O31" s="398">
        <f>O10*'Satış Fiyat'!O10</f>
        <v>0</v>
      </c>
      <c r="P31" s="399">
        <f t="shared" si="15"/>
        <v>0</v>
      </c>
      <c r="Q31" s="384" t="str">
        <f t="shared" si="16"/>
        <v>-</v>
      </c>
      <c r="R31" s="352" t="e">
        <f t="shared" ref="R31:R34" si="18">+C31/C10</f>
        <v>#DIV/0!</v>
      </c>
    </row>
    <row r="32" spans="1:22" ht="16.5" customHeight="1">
      <c r="A32" s="400" t="s">
        <v>83</v>
      </c>
      <c r="B32" s="2062"/>
      <c r="C32" s="2071"/>
      <c r="D32" s="402">
        <f>D11*'DAĞITICI-ÖTV''SİZ-İHALE HEDEF'!C46</f>
        <v>0</v>
      </c>
      <c r="E32" s="403">
        <f>E11*'DAĞITICI-ÖTV''SİZ-İHALE HEDEF'!D46</f>
        <v>0</v>
      </c>
      <c r="F32" s="1560">
        <f>F11*'DAĞITICI-ÖTV''SİZ-İHALE HEDEF'!E46</f>
        <v>0</v>
      </c>
      <c r="G32" s="403">
        <f>G11*'DAĞITICI-ÖTV''SİZ-İHALE HEDEF'!F46</f>
        <v>0</v>
      </c>
      <c r="H32" s="403">
        <f>H11*'DAĞITICI-ÖTV''SİZ-İHALE HEDEF'!G46</f>
        <v>0</v>
      </c>
      <c r="I32" s="403">
        <f>I11*'DAĞITICI-ÖTV''SİZ-İHALE HEDEF'!H46</f>
        <v>0</v>
      </c>
      <c r="J32" s="403">
        <f>J11*'DAĞITICI-ÖTV''SİZ-İHALE HEDEF'!I46</f>
        <v>0</v>
      </c>
      <c r="K32" s="403">
        <f>K11*'DAĞITICI-ÖTV''SİZ-İHALE HEDEF'!J46</f>
        <v>0</v>
      </c>
      <c r="L32" s="403">
        <f>L11*'DAĞITICI-ÖTV''SİZ-İHALE HEDEF'!K46</f>
        <v>0</v>
      </c>
      <c r="M32" s="403">
        <f>M11*'DAĞITICI-ÖTV''SİZ-İHALE HEDEF'!L46</f>
        <v>0</v>
      </c>
      <c r="N32" s="403">
        <f>N11*'DAĞITICI-ÖTV''SİZ-İHALE HEDEF'!M46</f>
        <v>0</v>
      </c>
      <c r="O32" s="404">
        <f>O11*'DAĞITICI-ÖTV''SİZ-İHALE HEDEF'!N46</f>
        <v>0</v>
      </c>
      <c r="P32" s="386">
        <f t="shared" si="15"/>
        <v>0</v>
      </c>
      <c r="Q32" s="405" t="str">
        <f t="shared" si="16"/>
        <v>-</v>
      </c>
      <c r="R32" s="352" t="e">
        <f t="shared" si="18"/>
        <v>#DIV/0!</v>
      </c>
    </row>
    <row r="33" spans="1:22" ht="16.5" hidden="1" customHeight="1">
      <c r="A33" s="406" t="s">
        <v>84</v>
      </c>
      <c r="B33" s="2054">
        <f>B12*'Satış Fiyat'!B12</f>
        <v>0</v>
      </c>
      <c r="C33" s="2055">
        <f>C12*'Satış Fiyat'!C12</f>
        <v>0</v>
      </c>
      <c r="D33" s="407">
        <f>D12*'Satış Fiyat'!D12</f>
        <v>0</v>
      </c>
      <c r="E33" s="382">
        <f>E12*'Satış Fiyat'!E12</f>
        <v>0</v>
      </c>
      <c r="F33" s="382">
        <f>F12*'Satış Fiyat'!F12</f>
        <v>0</v>
      </c>
      <c r="G33" s="382">
        <f>G12*'Satış Fiyat'!G12</f>
        <v>0</v>
      </c>
      <c r="H33" s="382">
        <f>H12*'Satış Fiyat'!H12</f>
        <v>0</v>
      </c>
      <c r="I33" s="381">
        <f>I12*'Satış Fiyat'!I12</f>
        <v>0</v>
      </c>
      <c r="J33" s="381">
        <f>J12*'Satış Fiyat'!J12</f>
        <v>0</v>
      </c>
      <c r="K33" s="382">
        <f>K12*'Satış Fiyat'!K12</f>
        <v>0</v>
      </c>
      <c r="L33" s="382">
        <f>L12*'Satış Fiyat'!L12</f>
        <v>0</v>
      </c>
      <c r="M33" s="382">
        <f>M12*'Satış Fiyat'!M12</f>
        <v>0</v>
      </c>
      <c r="N33" s="382">
        <f>N12*'Satış Fiyat'!N12</f>
        <v>0</v>
      </c>
      <c r="O33" s="383">
        <f>O12*'Satış Fiyat'!O12</f>
        <v>0</v>
      </c>
      <c r="P33" s="399">
        <f t="shared" si="15"/>
        <v>0</v>
      </c>
      <c r="Q33" s="384" t="str">
        <f t="shared" ref="Q33:Q40" si="19">IF(P33=0,"-",P33/C33-1)</f>
        <v>-</v>
      </c>
      <c r="R33" s="352" t="e">
        <f t="shared" si="18"/>
        <v>#DIV/0!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2063">
        <f>SUM(B30:B33)</f>
        <v>0</v>
      </c>
      <c r="C34" s="2064">
        <f>SUM(C30:C33)</f>
        <v>0</v>
      </c>
      <c r="D34" s="413">
        <f>SUM(D30:D33)</f>
        <v>0</v>
      </c>
      <c r="E34" s="414">
        <f t="shared" ref="E34:O34" si="20">SUM(E30:E33)</f>
        <v>0</v>
      </c>
      <c r="F34" s="414">
        <f t="shared" si="20"/>
        <v>0</v>
      </c>
      <c r="G34" s="414">
        <f t="shared" si="20"/>
        <v>0</v>
      </c>
      <c r="H34" s="414">
        <f t="shared" si="20"/>
        <v>0</v>
      </c>
      <c r="I34" s="414">
        <f t="shared" si="20"/>
        <v>0</v>
      </c>
      <c r="J34" s="414">
        <f t="shared" si="20"/>
        <v>0</v>
      </c>
      <c r="K34" s="414">
        <f t="shared" si="20"/>
        <v>0</v>
      </c>
      <c r="L34" s="414">
        <f t="shared" si="20"/>
        <v>0</v>
      </c>
      <c r="M34" s="414">
        <f t="shared" si="20"/>
        <v>0</v>
      </c>
      <c r="N34" s="414">
        <f t="shared" si="20"/>
        <v>0</v>
      </c>
      <c r="O34" s="412">
        <f t="shared" si="20"/>
        <v>0</v>
      </c>
      <c r="P34" s="411">
        <f t="shared" si="15"/>
        <v>0</v>
      </c>
      <c r="Q34" s="415" t="str">
        <f t="shared" si="19"/>
        <v>-</v>
      </c>
      <c r="R34" s="352" t="e">
        <f t="shared" si="18"/>
        <v>#DIV/0!</v>
      </c>
    </row>
    <row r="35" spans="1:22" ht="22.5" customHeight="1" thickBot="1">
      <c r="A35" s="362" t="s">
        <v>29</v>
      </c>
      <c r="B35" s="2072">
        <f>+B36+B37</f>
        <v>0</v>
      </c>
      <c r="C35" s="2073">
        <f t="shared" ref="C35:O35" si="21">SUM(C36:C37)</f>
        <v>0</v>
      </c>
      <c r="D35" s="417">
        <f t="shared" si="21"/>
        <v>0</v>
      </c>
      <c r="E35" s="418">
        <f t="shared" si="21"/>
        <v>0</v>
      </c>
      <c r="F35" s="418">
        <f t="shared" si="21"/>
        <v>0</v>
      </c>
      <c r="G35" s="418">
        <f t="shared" si="21"/>
        <v>0</v>
      </c>
      <c r="H35" s="418">
        <f t="shared" si="21"/>
        <v>0</v>
      </c>
      <c r="I35" s="418">
        <f t="shared" si="21"/>
        <v>0</v>
      </c>
      <c r="J35" s="418">
        <f t="shared" si="21"/>
        <v>0</v>
      </c>
      <c r="K35" s="418">
        <f t="shared" si="21"/>
        <v>0</v>
      </c>
      <c r="L35" s="418">
        <f t="shared" si="21"/>
        <v>0</v>
      </c>
      <c r="M35" s="418">
        <f t="shared" si="21"/>
        <v>0</v>
      </c>
      <c r="N35" s="418">
        <f t="shared" si="21"/>
        <v>0</v>
      </c>
      <c r="O35" s="419">
        <f t="shared" si="21"/>
        <v>0</v>
      </c>
      <c r="P35" s="420">
        <f t="shared" si="15"/>
        <v>0</v>
      </c>
      <c r="Q35" s="421" t="str">
        <f t="shared" si="19"/>
        <v>-</v>
      </c>
    </row>
    <row r="36" spans="1:22" ht="16.5" customHeight="1">
      <c r="A36" s="422" t="s">
        <v>19</v>
      </c>
      <c r="B36" s="2065">
        <f>B15*'Satış Fiyat'!B15</f>
        <v>0</v>
      </c>
      <c r="C36" s="2074">
        <f>C15*'Satış Fiyat'!C15</f>
        <v>0</v>
      </c>
      <c r="D36" s="425">
        <f>D15*'Satış Fiyat'!D15</f>
        <v>0</v>
      </c>
      <c r="E36" s="426">
        <f>E15*'Satış Fiyat'!E15</f>
        <v>0</v>
      </c>
      <c r="F36" s="426">
        <f>F15*'Satış Fiyat'!F15</f>
        <v>0</v>
      </c>
      <c r="G36" s="426">
        <f>G15*'Satış Fiyat'!G15</f>
        <v>0</v>
      </c>
      <c r="H36" s="426">
        <f>H15*'Satış Fiyat'!H15</f>
        <v>0</v>
      </c>
      <c r="I36" s="426">
        <f>I15*'Satış Fiyat'!I15</f>
        <v>0</v>
      </c>
      <c r="J36" s="426">
        <f>J15*'Satış Fiyat'!J15</f>
        <v>0</v>
      </c>
      <c r="K36" s="426">
        <f>K15*'Satış Fiyat'!K15</f>
        <v>0</v>
      </c>
      <c r="L36" s="426">
        <f>L15*'Satış Fiyat'!L15</f>
        <v>0</v>
      </c>
      <c r="M36" s="426">
        <f>M15*'Satış Fiyat'!M15</f>
        <v>0</v>
      </c>
      <c r="N36" s="426">
        <f>N15*'Satış Fiyat'!N15</f>
        <v>0</v>
      </c>
      <c r="O36" s="427">
        <f>O15*'Satış Fiyat'!O15</f>
        <v>0</v>
      </c>
      <c r="P36" s="428">
        <f t="shared" si="15"/>
        <v>0</v>
      </c>
      <c r="Q36" s="429" t="str">
        <f t="shared" si="19"/>
        <v>-</v>
      </c>
    </row>
    <row r="37" spans="1:22" ht="16.5" customHeight="1" thickBot="1">
      <c r="A37" s="430" t="s">
        <v>20</v>
      </c>
      <c r="B37" s="2066">
        <f>B16*'Satış Fiyat'!B16</f>
        <v>0</v>
      </c>
      <c r="C37" s="2075">
        <f>C16*'Satış Fiyat'!C16</f>
        <v>0</v>
      </c>
      <c r="D37" s="433">
        <f>D16*'Satış Fiyat'!D16</f>
        <v>0</v>
      </c>
      <c r="E37" s="434">
        <f>E16*'Satış Fiyat'!E16</f>
        <v>0</v>
      </c>
      <c r="F37" s="434">
        <f>F16*'Satış Fiyat'!F16</f>
        <v>0</v>
      </c>
      <c r="G37" s="434">
        <f>G16*'Satış Fiyat'!G16</f>
        <v>0</v>
      </c>
      <c r="H37" s="434">
        <f>H16*'Satış Fiyat'!H16</f>
        <v>0</v>
      </c>
      <c r="I37" s="434">
        <f>I16*'Satış Fiyat'!I16</f>
        <v>0</v>
      </c>
      <c r="J37" s="434">
        <f>J16*'Satış Fiyat'!J16</f>
        <v>0</v>
      </c>
      <c r="K37" s="434">
        <f>K16*'Satış Fiyat'!K16</f>
        <v>0</v>
      </c>
      <c r="L37" s="434">
        <f>L16*'Satış Fiyat'!L16</f>
        <v>0</v>
      </c>
      <c r="M37" s="434">
        <f>M16*'Satış Fiyat'!M16</f>
        <v>0</v>
      </c>
      <c r="N37" s="434">
        <f>N16*'Satış Fiyat'!N16</f>
        <v>0</v>
      </c>
      <c r="O37" s="435">
        <f>O16*'Satış Fiyat'!O16</f>
        <v>0</v>
      </c>
      <c r="P37" s="436">
        <f t="shared" si="15"/>
        <v>0</v>
      </c>
      <c r="Q37" s="437" t="str">
        <f t="shared" si="19"/>
        <v>-</v>
      </c>
    </row>
    <row r="38" spans="1:22" ht="22.5" customHeight="1" thickBot="1">
      <c r="A38" s="362" t="s">
        <v>30</v>
      </c>
      <c r="B38" s="2050">
        <f t="shared" ref="B38:O38" si="22">SUM(B39:B40)</f>
        <v>0</v>
      </c>
      <c r="C38" s="2073">
        <f t="shared" si="22"/>
        <v>0</v>
      </c>
      <c r="D38" s="417">
        <f t="shared" si="22"/>
        <v>0</v>
      </c>
      <c r="E38" s="418">
        <f t="shared" si="22"/>
        <v>0</v>
      </c>
      <c r="F38" s="418">
        <f t="shared" si="22"/>
        <v>0</v>
      </c>
      <c r="G38" s="418">
        <f t="shared" si="22"/>
        <v>0</v>
      </c>
      <c r="H38" s="418">
        <f t="shared" si="22"/>
        <v>0</v>
      </c>
      <c r="I38" s="418">
        <f t="shared" si="22"/>
        <v>0</v>
      </c>
      <c r="J38" s="418">
        <f t="shared" si="22"/>
        <v>0</v>
      </c>
      <c r="K38" s="418">
        <f t="shared" si="22"/>
        <v>0</v>
      </c>
      <c r="L38" s="418">
        <f t="shared" si="22"/>
        <v>0</v>
      </c>
      <c r="M38" s="418">
        <f t="shared" si="22"/>
        <v>0</v>
      </c>
      <c r="N38" s="418">
        <f t="shared" si="22"/>
        <v>0</v>
      </c>
      <c r="O38" s="419">
        <f t="shared" si="22"/>
        <v>0</v>
      </c>
      <c r="P38" s="420">
        <f t="shared" si="15"/>
        <v>0</v>
      </c>
      <c r="Q38" s="421" t="str">
        <f t="shared" si="19"/>
        <v>-</v>
      </c>
    </row>
    <row r="39" spans="1:22" ht="16.5" customHeight="1">
      <c r="A39" s="422" t="s">
        <v>106</v>
      </c>
      <c r="B39" s="2065">
        <f>B18*'Satış Fiyat'!B18</f>
        <v>0</v>
      </c>
      <c r="C39" s="2074">
        <f>C18*'Satış Fiyat'!C18</f>
        <v>0</v>
      </c>
      <c r="D39" s="425">
        <f>D18*'Satış Fiyat'!D18</f>
        <v>0</v>
      </c>
      <c r="E39" s="426">
        <f>E18*'Satış Fiyat'!E18</f>
        <v>0</v>
      </c>
      <c r="F39" s="426">
        <f>F18*'Satış Fiyat'!F18</f>
        <v>0</v>
      </c>
      <c r="G39" s="426">
        <f>G18*'Satış Fiyat'!G18</f>
        <v>0</v>
      </c>
      <c r="H39" s="426">
        <f>H18*'Satış Fiyat'!H18</f>
        <v>0</v>
      </c>
      <c r="I39" s="426">
        <f>I18*'Satış Fiyat'!I18</f>
        <v>0</v>
      </c>
      <c r="J39" s="426">
        <f>J18*'Satış Fiyat'!J18</f>
        <v>0</v>
      </c>
      <c r="K39" s="426">
        <f>K18*'Satış Fiyat'!K18</f>
        <v>0</v>
      </c>
      <c r="L39" s="426">
        <f>L18*'Satış Fiyat'!L18</f>
        <v>0</v>
      </c>
      <c r="M39" s="426">
        <f>M18*'Satış Fiyat'!M18</f>
        <v>0</v>
      </c>
      <c r="N39" s="426">
        <f>N18*'Satış Fiyat'!N18</f>
        <v>0</v>
      </c>
      <c r="O39" s="427">
        <f>O18*'Satış Fiyat'!O18</f>
        <v>0</v>
      </c>
      <c r="P39" s="428">
        <f t="shared" si="15"/>
        <v>0</v>
      </c>
      <c r="Q39" s="429" t="str">
        <f t="shared" si="19"/>
        <v>-</v>
      </c>
    </row>
    <row r="40" spans="1:22" ht="16.5" customHeight="1" thickBot="1">
      <c r="A40" s="438" t="s">
        <v>105</v>
      </c>
      <c r="B40" s="2067"/>
      <c r="C40" s="2076">
        <f>C19*'Satış Fiyat'!C19</f>
        <v>0</v>
      </c>
      <c r="D40" s="441">
        <f>D19*'Satış Fiyat'!D19</f>
        <v>0</v>
      </c>
      <c r="E40" s="442">
        <f>E19*'Satış Fiyat'!E19</f>
        <v>0</v>
      </c>
      <c r="F40" s="442">
        <f>F19*'Satış Fiyat'!F19</f>
        <v>0</v>
      </c>
      <c r="G40" s="442">
        <f>G19*'Satış Fiyat'!G19</f>
        <v>0</v>
      </c>
      <c r="H40" s="442">
        <f>H19*'Satış Fiyat'!H19</f>
        <v>0</v>
      </c>
      <c r="I40" s="442">
        <f>I19*'Satış Fiyat'!I19</f>
        <v>0</v>
      </c>
      <c r="J40" s="442">
        <f>J19*'Satış Fiyat'!J19</f>
        <v>0</v>
      </c>
      <c r="K40" s="442">
        <f>K19*'Satış Fiyat'!K19</f>
        <v>0</v>
      </c>
      <c r="L40" s="442">
        <f>L19*'Satış Fiyat'!L19</f>
        <v>0</v>
      </c>
      <c r="M40" s="442">
        <f>M19*'Satış Fiyat'!M19</f>
        <v>0</v>
      </c>
      <c r="N40" s="442">
        <f>N19*'Satış Fiyat'!N19</f>
        <v>0</v>
      </c>
      <c r="O40" s="443">
        <f>O19*'Satış Fiyat'!O19</f>
        <v>0</v>
      </c>
      <c r="P40" s="444">
        <f t="shared" si="15"/>
        <v>0</v>
      </c>
      <c r="Q40" s="445" t="str">
        <f t="shared" si="19"/>
        <v>-</v>
      </c>
    </row>
    <row r="41" spans="1:22" ht="16.5" customHeight="1" thickBot="1">
      <c r="B41" s="2069"/>
      <c r="C41" s="2070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2050">
        <f>B21*'Satış Fiyat'!B21</f>
        <v>0</v>
      </c>
      <c r="C42" s="2051">
        <f>C21*'Satış Fiyat'!C21</f>
        <v>0</v>
      </c>
      <c r="D42" s="365">
        <f>D21*'Satış Fiyat'!D21</f>
        <v>0</v>
      </c>
      <c r="E42" s="366">
        <f>E21*'Satış Fiyat'!E21</f>
        <v>0</v>
      </c>
      <c r="F42" s="366">
        <f>F21*'Satış Fiyat'!F21</f>
        <v>0</v>
      </c>
      <c r="G42" s="366">
        <f>G21*'Satış Fiyat'!G21</f>
        <v>0</v>
      </c>
      <c r="H42" s="366">
        <f>H21*'Satış Fiyat'!H21</f>
        <v>0</v>
      </c>
      <c r="I42" s="366">
        <f>I21*'Satış Fiyat'!I21</f>
        <v>0</v>
      </c>
      <c r="J42" s="366">
        <f>J21*'Satış Fiyat'!J21</f>
        <v>0</v>
      </c>
      <c r="K42" s="366">
        <f>K21*'Satış Fiyat'!K21</f>
        <v>0</v>
      </c>
      <c r="L42" s="366">
        <f>L21*'Satış Fiyat'!L21</f>
        <v>0</v>
      </c>
      <c r="M42" s="366">
        <f>M21*'Satış Fiyat'!M21</f>
        <v>0</v>
      </c>
      <c r="N42" s="366">
        <f>N21*'Satış Fiyat'!N21</f>
        <v>0</v>
      </c>
      <c r="O42" s="448">
        <f>O21*'Satış Fiyat'!O21</f>
        <v>0</v>
      </c>
      <c r="P42" s="363">
        <f t="shared" si="15"/>
        <v>0</v>
      </c>
      <c r="Q42" s="367" t="str">
        <f>IF(P42=0,"-",P42/C42-1)</f>
        <v>-</v>
      </c>
    </row>
    <row r="43" spans="1:22" s="454" customFormat="1" ht="14.25" customHeight="1" thickBot="1">
      <c r="A43" s="451"/>
      <c r="B43" s="2077"/>
      <c r="C43" s="2077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5"/>
        <v>0</v>
      </c>
      <c r="Q43" s="453"/>
    </row>
    <row r="44" spans="1:22" s="454" customFormat="1" ht="23.25" customHeight="1" thickBot="1">
      <c r="A44" s="362" t="s">
        <v>31</v>
      </c>
      <c r="B44" s="2050">
        <f>+B25+B35+B38+B42</f>
        <v>0</v>
      </c>
      <c r="C44" s="2051">
        <f t="shared" ref="C44:O44" si="23">+C25+C35+C38+C42</f>
        <v>0</v>
      </c>
      <c r="D44" s="365">
        <f>+D25+D35+D38+D42</f>
        <v>0</v>
      </c>
      <c r="E44" s="366">
        <f t="shared" si="23"/>
        <v>0</v>
      </c>
      <c r="F44" s="366">
        <f t="shared" si="23"/>
        <v>0</v>
      </c>
      <c r="G44" s="366">
        <f>+G25+G35+G38+G42</f>
        <v>0</v>
      </c>
      <c r="H44" s="366">
        <f t="shared" si="23"/>
        <v>0</v>
      </c>
      <c r="I44" s="366">
        <f t="shared" si="23"/>
        <v>0</v>
      </c>
      <c r="J44" s="366">
        <f t="shared" si="23"/>
        <v>0</v>
      </c>
      <c r="K44" s="366">
        <f t="shared" si="23"/>
        <v>0</v>
      </c>
      <c r="L44" s="366">
        <f t="shared" si="23"/>
        <v>0</v>
      </c>
      <c r="M44" s="366">
        <f t="shared" si="23"/>
        <v>0</v>
      </c>
      <c r="N44" s="366">
        <f t="shared" si="23"/>
        <v>0</v>
      </c>
      <c r="O44" s="364">
        <f t="shared" si="23"/>
        <v>0</v>
      </c>
      <c r="P44" s="363">
        <f t="shared" si="15"/>
        <v>0</v>
      </c>
      <c r="Q44" s="367" t="str">
        <f>IF(P44=0,"-",P44/C44-1)</f>
        <v>-</v>
      </c>
    </row>
    <row r="45" spans="1:22" s="454" customFormat="1" ht="23.25" customHeight="1" thickBot="1">
      <c r="A45" s="451"/>
      <c r="B45" s="2077"/>
      <c r="C45" s="2077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937" t="s">
        <v>638</v>
      </c>
    </row>
    <row r="47" spans="1:22" ht="30.75" customHeight="1" thickBot="1">
      <c r="A47" s="356"/>
      <c r="B47" s="2033" t="s">
        <v>657</v>
      </c>
      <c r="C47" s="2033" t="s">
        <v>663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94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2050">
        <f>B51+B52+B57</f>
        <v>0</v>
      </c>
      <c r="C48" s="2051">
        <f t="shared" ref="C48:O48" si="24">C51+C52+C57</f>
        <v>0</v>
      </c>
      <c r="D48" s="365">
        <f t="shared" si="24"/>
        <v>0</v>
      </c>
      <c r="E48" s="366">
        <f t="shared" si="24"/>
        <v>0</v>
      </c>
      <c r="F48" s="366">
        <f t="shared" si="24"/>
        <v>0</v>
      </c>
      <c r="G48" s="366">
        <f t="shared" si="24"/>
        <v>0</v>
      </c>
      <c r="H48" s="366">
        <f t="shared" si="24"/>
        <v>0</v>
      </c>
      <c r="I48" s="366">
        <f t="shared" si="24"/>
        <v>0</v>
      </c>
      <c r="J48" s="366">
        <f t="shared" si="24"/>
        <v>0</v>
      </c>
      <c r="K48" s="366">
        <f t="shared" si="24"/>
        <v>0</v>
      </c>
      <c r="L48" s="366">
        <f t="shared" si="24"/>
        <v>0</v>
      </c>
      <c r="M48" s="366">
        <f t="shared" si="24"/>
        <v>0</v>
      </c>
      <c r="N48" s="366">
        <f t="shared" si="24"/>
        <v>0</v>
      </c>
      <c r="O48" s="364">
        <f t="shared" si="24"/>
        <v>0</v>
      </c>
      <c r="P48" s="363">
        <f t="shared" ref="P48:P66" si="25">SUM(D48:O48)</f>
        <v>0</v>
      </c>
      <c r="Q48" s="367" t="str">
        <f t="shared" ref="Q48:Q63" si="26"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2052">
        <v>0</v>
      </c>
      <c r="C49" s="2053">
        <f>B49/10*12</f>
        <v>0</v>
      </c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27">+$T$49*H26</f>
        <v>0</v>
      </c>
      <c r="I49" s="373">
        <f>+$T$49*I26</f>
        <v>0</v>
      </c>
      <c r="J49" s="373">
        <f>+$U$49*J26</f>
        <v>0</v>
      </c>
      <c r="K49" s="373">
        <f t="shared" ref="K49" si="28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5"/>
        <v>0</v>
      </c>
      <c r="Q49" s="375" t="str">
        <f t="shared" si="26"/>
        <v>-</v>
      </c>
      <c r="R49" s="376"/>
      <c r="S49" s="457"/>
      <c r="T49" s="457"/>
      <c r="U49" s="457"/>
      <c r="V49" s="457"/>
    </row>
    <row r="50" spans="1:22" ht="16.5" hidden="1" customHeight="1">
      <c r="A50" s="377" t="s">
        <v>16</v>
      </c>
      <c r="B50" s="2054"/>
      <c r="C50" s="2055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5"/>
        <v>0</v>
      </c>
      <c r="Q50" s="384" t="str">
        <f t="shared" si="26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2056">
        <f>+B49+B50</f>
        <v>0</v>
      </c>
      <c r="C51" s="2057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5"/>
        <v>0</v>
      </c>
      <c r="Q51" s="449" t="str">
        <f t="shared" si="26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2061"/>
      <c r="C52" s="2059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5"/>
        <v>0</v>
      </c>
      <c r="Q52" s="384" t="str">
        <f t="shared" si="26"/>
        <v>-</v>
      </c>
      <c r="S52" s="460"/>
      <c r="T52" s="460"/>
      <c r="U52" s="460"/>
      <c r="V52" s="460"/>
    </row>
    <row r="53" spans="1:22" ht="16.5" customHeight="1">
      <c r="A53" s="400" t="s">
        <v>81</v>
      </c>
      <c r="B53" s="2060">
        <v>0</v>
      </c>
      <c r="C53" s="2053">
        <f>B53/10*12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5"/>
        <v>0</v>
      </c>
      <c r="Q53" s="405" t="str">
        <f t="shared" si="26"/>
        <v>-</v>
      </c>
      <c r="S53" s="461">
        <v>0.1</v>
      </c>
      <c r="T53" s="461">
        <v>0.1</v>
      </c>
      <c r="U53" s="461">
        <v>0.1</v>
      </c>
      <c r="V53" s="461">
        <v>0.1</v>
      </c>
    </row>
    <row r="54" spans="1:22" ht="16.5" hidden="1" customHeight="1">
      <c r="A54" s="406" t="s">
        <v>82</v>
      </c>
      <c r="B54" s="2061"/>
      <c r="C54" s="2059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5"/>
        <v>0</v>
      </c>
      <c r="Q54" s="384" t="str">
        <f t="shared" si="26"/>
        <v>-</v>
      </c>
      <c r="S54" s="460"/>
      <c r="T54" s="460"/>
      <c r="U54" s="460"/>
      <c r="V54" s="460"/>
    </row>
    <row r="55" spans="1:22" ht="16.5" customHeight="1">
      <c r="A55" s="400" t="s">
        <v>83</v>
      </c>
      <c r="B55" s="2062"/>
      <c r="C55" s="2071"/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5"/>
        <v>0</v>
      </c>
      <c r="Q55" s="405" t="str">
        <f t="shared" si="26"/>
        <v>-</v>
      </c>
      <c r="S55" s="461">
        <v>0.1</v>
      </c>
      <c r="T55" s="461">
        <v>0.1</v>
      </c>
      <c r="U55" s="461">
        <v>0.1</v>
      </c>
      <c r="V55" s="461">
        <v>0.1</v>
      </c>
    </row>
    <row r="56" spans="1:22" ht="16.5" hidden="1" customHeight="1">
      <c r="A56" s="406" t="s">
        <v>84</v>
      </c>
      <c r="B56" s="2054"/>
      <c r="C56" s="2055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5"/>
        <v>0</v>
      </c>
      <c r="Q56" s="384" t="str">
        <f t="shared" si="26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2063">
        <f t="shared" ref="B57:F57" si="46">SUM(B53:B56)</f>
        <v>0</v>
      </c>
      <c r="C57" s="2064">
        <f t="shared" si="46"/>
        <v>0</v>
      </c>
      <c r="D57" s="413">
        <f t="shared" si="46"/>
        <v>0</v>
      </c>
      <c r="E57" s="414">
        <f t="shared" si="46"/>
        <v>0</v>
      </c>
      <c r="F57" s="414">
        <f t="shared" si="46"/>
        <v>0</v>
      </c>
      <c r="G57" s="414">
        <f>SUM(G53:G56)</f>
        <v>0</v>
      </c>
      <c r="H57" s="414">
        <f t="shared" ref="H57" si="47">SUM(H53:H56)</f>
        <v>0</v>
      </c>
      <c r="I57" s="414">
        <f>SUM(I53:I56)</f>
        <v>0</v>
      </c>
      <c r="J57" s="414">
        <f>SUM(J53:J56)</f>
        <v>0</v>
      </c>
      <c r="K57" s="414">
        <f t="shared" ref="K57" si="48">SUM(K53:K56)</f>
        <v>0</v>
      </c>
      <c r="L57" s="414">
        <f>SUM(L53:L56)</f>
        <v>0</v>
      </c>
      <c r="M57" s="414">
        <f>SUM(M53:M56)</f>
        <v>0</v>
      </c>
      <c r="N57" s="414">
        <f t="shared" ref="N57" si="49">SUM(N53:N56)</f>
        <v>0</v>
      </c>
      <c r="O57" s="412">
        <f>SUM(O53:O56)</f>
        <v>0</v>
      </c>
      <c r="P57" s="411">
        <f t="shared" si="25"/>
        <v>0</v>
      </c>
      <c r="Q57" s="415" t="str">
        <f t="shared" si="26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2072">
        <f>+B59+B60</f>
        <v>0</v>
      </c>
      <c r="C58" s="2073">
        <f t="shared" ref="C58:F58" si="50">SUM(C59:C60)</f>
        <v>0</v>
      </c>
      <c r="D58" s="417">
        <f t="shared" si="50"/>
        <v>0</v>
      </c>
      <c r="E58" s="418">
        <f t="shared" si="50"/>
        <v>0</v>
      </c>
      <c r="F58" s="418">
        <f t="shared" si="50"/>
        <v>0</v>
      </c>
      <c r="G58" s="418">
        <f>SUM(G59:G60)</f>
        <v>0</v>
      </c>
      <c r="H58" s="418">
        <f t="shared" ref="H58" si="51">SUM(H59:H60)</f>
        <v>0</v>
      </c>
      <c r="I58" s="418">
        <f>SUM(I59:I60)</f>
        <v>0</v>
      </c>
      <c r="J58" s="418">
        <f>SUM(J59:J60)</f>
        <v>0</v>
      </c>
      <c r="K58" s="418">
        <f t="shared" ref="K58" si="52">SUM(K59:K60)</f>
        <v>0</v>
      </c>
      <c r="L58" s="418">
        <f>SUM(L59:L60)</f>
        <v>0</v>
      </c>
      <c r="M58" s="418">
        <f>SUM(M59:M60)</f>
        <v>0</v>
      </c>
      <c r="N58" s="418">
        <f t="shared" ref="N58" si="53">SUM(N59:N60)</f>
        <v>0</v>
      </c>
      <c r="O58" s="419">
        <f>SUM(O59:O60)</f>
        <v>0</v>
      </c>
      <c r="P58" s="420">
        <f t="shared" si="25"/>
        <v>0</v>
      </c>
      <c r="Q58" s="421" t="str">
        <f t="shared" si="26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2065"/>
      <c r="C59" s="2074"/>
      <c r="D59" s="425">
        <f>+$S$59*D36</f>
        <v>0</v>
      </c>
      <c r="E59" s="426">
        <f t="shared" ref="E59:F59" si="54">+$S$59*E36</f>
        <v>0</v>
      </c>
      <c r="F59" s="426">
        <f t="shared" si="54"/>
        <v>0</v>
      </c>
      <c r="G59" s="426">
        <f>+$T$59*G36</f>
        <v>0</v>
      </c>
      <c r="H59" s="426">
        <f t="shared" ref="H59" si="55">+$T$59*H36</f>
        <v>0</v>
      </c>
      <c r="I59" s="426">
        <f>+$T$59*I36</f>
        <v>0</v>
      </c>
      <c r="J59" s="426">
        <f>+$U$59*J36</f>
        <v>0</v>
      </c>
      <c r="K59" s="426">
        <f t="shared" ref="K59" si="56">+$U$59*K36</f>
        <v>0</v>
      </c>
      <c r="L59" s="426">
        <f>+$U$59*L36</f>
        <v>0</v>
      </c>
      <c r="M59" s="426">
        <f>+$V$59*M36</f>
        <v>0</v>
      </c>
      <c r="N59" s="426">
        <f t="shared" ref="N59" si="57">+$V$59*N36</f>
        <v>0</v>
      </c>
      <c r="O59" s="427">
        <f>+$V$59*O36</f>
        <v>0</v>
      </c>
      <c r="P59" s="428">
        <f t="shared" si="25"/>
        <v>0</v>
      </c>
      <c r="Q59" s="429" t="str">
        <f t="shared" si="26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2066"/>
      <c r="C60" s="2075"/>
      <c r="D60" s="433">
        <f>+$S$60*D37</f>
        <v>0</v>
      </c>
      <c r="E60" s="434">
        <f t="shared" ref="E60:F60" si="58">+$S$60*E37</f>
        <v>0</v>
      </c>
      <c r="F60" s="434">
        <f t="shared" si="58"/>
        <v>0</v>
      </c>
      <c r="G60" s="434">
        <f>+$T$60*G37</f>
        <v>0</v>
      </c>
      <c r="H60" s="434">
        <f t="shared" ref="H60" si="59">+$T$60*H37</f>
        <v>0</v>
      </c>
      <c r="I60" s="434">
        <f>+$T$60*I37</f>
        <v>0</v>
      </c>
      <c r="J60" s="434">
        <f>+$U$60*J37</f>
        <v>0</v>
      </c>
      <c r="K60" s="434">
        <f t="shared" ref="K60" si="60">+$U$60*K37</f>
        <v>0</v>
      </c>
      <c r="L60" s="434">
        <f>+$U$60*L37</f>
        <v>0</v>
      </c>
      <c r="M60" s="434">
        <f>+$V$60*M37</f>
        <v>0</v>
      </c>
      <c r="N60" s="434">
        <f t="shared" ref="N60" si="61">+$V$60*N37</f>
        <v>0</v>
      </c>
      <c r="O60" s="435">
        <f>+$V$60*O37</f>
        <v>0</v>
      </c>
      <c r="P60" s="436">
        <f t="shared" si="25"/>
        <v>0</v>
      </c>
      <c r="Q60" s="437" t="str">
        <f t="shared" si="26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2050">
        <f t="shared" ref="B61:F61" si="62">SUM(B62:B63)</f>
        <v>0</v>
      </c>
      <c r="C61" s="2073">
        <f t="shared" si="62"/>
        <v>0</v>
      </c>
      <c r="D61" s="417">
        <f t="shared" si="62"/>
        <v>0</v>
      </c>
      <c r="E61" s="418">
        <f t="shared" si="62"/>
        <v>0</v>
      </c>
      <c r="F61" s="418">
        <f t="shared" si="62"/>
        <v>0</v>
      </c>
      <c r="G61" s="418">
        <f>SUM(G62:G63)</f>
        <v>0</v>
      </c>
      <c r="H61" s="418">
        <f t="shared" ref="H61" si="63">SUM(H62:H63)</f>
        <v>0</v>
      </c>
      <c r="I61" s="418">
        <f>SUM(I62:I63)</f>
        <v>0</v>
      </c>
      <c r="J61" s="418">
        <f>SUM(J62:J63)</f>
        <v>0</v>
      </c>
      <c r="K61" s="418">
        <f t="shared" ref="K61" si="64">SUM(K62:K63)</f>
        <v>0</v>
      </c>
      <c r="L61" s="418">
        <f>SUM(L62:L63)</f>
        <v>0</v>
      </c>
      <c r="M61" s="418">
        <f>SUM(M62:M63)</f>
        <v>0</v>
      </c>
      <c r="N61" s="418">
        <f t="shared" ref="N61" si="65">SUM(N62:N63)</f>
        <v>0</v>
      </c>
      <c r="O61" s="419">
        <f>SUM(O62:O63)</f>
        <v>0</v>
      </c>
      <c r="P61" s="420">
        <f t="shared" si="25"/>
        <v>0</v>
      </c>
      <c r="Q61" s="421" t="str">
        <f t="shared" si="26"/>
        <v>-</v>
      </c>
    </row>
    <row r="62" spans="1:22" ht="16.5" customHeight="1">
      <c r="A62" s="422" t="s">
        <v>106</v>
      </c>
      <c r="B62" s="2065"/>
      <c r="C62" s="2074"/>
      <c r="D62" s="425">
        <f>+$S$62*D39</f>
        <v>0</v>
      </c>
      <c r="E62" s="426">
        <f t="shared" ref="E62:F62" si="66">+$S$62*E39</f>
        <v>0</v>
      </c>
      <c r="F62" s="426">
        <f t="shared" si="66"/>
        <v>0</v>
      </c>
      <c r="G62" s="426">
        <f>+$T$62*G39</f>
        <v>0</v>
      </c>
      <c r="H62" s="426">
        <f t="shared" ref="H62" si="67">+$T$62*H39</f>
        <v>0</v>
      </c>
      <c r="I62" s="426">
        <f>+$T$62*I39</f>
        <v>0</v>
      </c>
      <c r="J62" s="426">
        <f>+$U$62*J39</f>
        <v>0</v>
      </c>
      <c r="K62" s="426">
        <f t="shared" ref="K62" si="68">+$U$62*K39</f>
        <v>0</v>
      </c>
      <c r="L62" s="426">
        <f>+$U$62*L39</f>
        <v>0</v>
      </c>
      <c r="M62" s="426">
        <f>+$V$62*M39</f>
        <v>0</v>
      </c>
      <c r="N62" s="426">
        <f t="shared" ref="N62" si="69">+$V$62*N39</f>
        <v>0</v>
      </c>
      <c r="O62" s="427">
        <f>+$V$62*O39</f>
        <v>0</v>
      </c>
      <c r="P62" s="428">
        <f t="shared" si="25"/>
        <v>0</v>
      </c>
      <c r="Q62" s="429" t="str">
        <f t="shared" si="26"/>
        <v>-</v>
      </c>
    </row>
    <row r="63" spans="1:22" ht="16.5" customHeight="1" thickBot="1">
      <c r="A63" s="438" t="s">
        <v>105</v>
      </c>
      <c r="B63" s="2067"/>
      <c r="C63" s="2076"/>
      <c r="D63" s="441">
        <f>+$S$63*D40</f>
        <v>0</v>
      </c>
      <c r="E63" s="442">
        <f t="shared" ref="E63:F63" si="70">+$S$63*E40</f>
        <v>0</v>
      </c>
      <c r="F63" s="442">
        <f t="shared" si="70"/>
        <v>0</v>
      </c>
      <c r="G63" s="442">
        <f>+$T$63*G40</f>
        <v>0</v>
      </c>
      <c r="H63" s="442">
        <f t="shared" ref="H63" si="71">+$T$63*H40</f>
        <v>0</v>
      </c>
      <c r="I63" s="442">
        <f>+$T$63*I40</f>
        <v>0</v>
      </c>
      <c r="J63" s="442">
        <f>+$U$63*J40</f>
        <v>0</v>
      </c>
      <c r="K63" s="442">
        <f t="shared" ref="K63" si="72">+$U$63*K40</f>
        <v>0</v>
      </c>
      <c r="L63" s="442">
        <f>+$U$63*L40</f>
        <v>0</v>
      </c>
      <c r="M63" s="442">
        <f>+$V$63*M40</f>
        <v>0</v>
      </c>
      <c r="N63" s="442">
        <f t="shared" ref="N63" si="73">+$V$63*N40</f>
        <v>0</v>
      </c>
      <c r="O63" s="443">
        <f>+$V$63*O40</f>
        <v>0</v>
      </c>
      <c r="P63" s="444">
        <f t="shared" si="25"/>
        <v>0</v>
      </c>
      <c r="Q63" s="445" t="str">
        <f t="shared" si="26"/>
        <v>-</v>
      </c>
    </row>
    <row r="64" spans="1:22" ht="16.5" customHeight="1" thickBot="1">
      <c r="B64" s="2069"/>
      <c r="C64" s="2070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2050"/>
      <c r="C65" s="2051"/>
      <c r="D65" s="365">
        <f>+$S$65*D42</f>
        <v>0</v>
      </c>
      <c r="E65" s="366">
        <f t="shared" ref="E65:F65" si="74">+$S$65*E42</f>
        <v>0</v>
      </c>
      <c r="F65" s="366">
        <f t="shared" si="74"/>
        <v>0</v>
      </c>
      <c r="G65" s="366">
        <f>+$T$65*G42</f>
        <v>0</v>
      </c>
      <c r="H65" s="366">
        <f t="shared" ref="H65" si="75">+$T$65*H42</f>
        <v>0</v>
      </c>
      <c r="I65" s="366">
        <f>+$T$65*I42</f>
        <v>0</v>
      </c>
      <c r="J65" s="366">
        <f>+$T$65*J42</f>
        <v>0</v>
      </c>
      <c r="K65" s="366">
        <f t="shared" ref="K65" si="76">+$T$65*K42</f>
        <v>0</v>
      </c>
      <c r="L65" s="366">
        <f>+$U$65*L42</f>
        <v>0</v>
      </c>
      <c r="M65" s="366">
        <f>+$V$65*M42</f>
        <v>0</v>
      </c>
      <c r="N65" s="366">
        <f t="shared" ref="N65" si="77">+$V$65*N42</f>
        <v>0</v>
      </c>
      <c r="O65" s="448">
        <f>+$V$65*O42</f>
        <v>0</v>
      </c>
      <c r="P65" s="363">
        <f t="shared" si="25"/>
        <v>0</v>
      </c>
      <c r="Q65" s="367" t="str">
        <f>IF(P65=0,"-",P65/C65-1)</f>
        <v>-</v>
      </c>
    </row>
    <row r="66" spans="1:22" ht="16.5" customHeight="1" thickBot="1">
      <c r="A66" s="451"/>
      <c r="B66" s="2077"/>
      <c r="C66" s="2077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5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2050">
        <f>+B48+B58+B61+B65</f>
        <v>0</v>
      </c>
      <c r="C67" s="2051">
        <f t="shared" ref="C67" si="78">+C48+C58+C61+C65</f>
        <v>0</v>
      </c>
      <c r="D67" s="365">
        <f>+D48+D58+D61+D65</f>
        <v>0</v>
      </c>
      <c r="E67" s="366">
        <f t="shared" ref="E67:F67" si="79">+E48+E58+E61+E65</f>
        <v>0</v>
      </c>
      <c r="F67" s="366">
        <f t="shared" si="79"/>
        <v>0</v>
      </c>
      <c r="G67" s="366">
        <f>+G48+G58+G61+G65</f>
        <v>0</v>
      </c>
      <c r="H67" s="366">
        <f t="shared" ref="H67:I67" si="80">+H48+H58+H61+H65</f>
        <v>0</v>
      </c>
      <c r="I67" s="366">
        <f t="shared" si="80"/>
        <v>0</v>
      </c>
      <c r="J67" s="366">
        <f>+J48+J58+J61+J65</f>
        <v>0</v>
      </c>
      <c r="K67" s="366">
        <f t="shared" ref="K67" si="81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82">+N48+N58+N61+N65</f>
        <v>0</v>
      </c>
      <c r="O67" s="364">
        <f>+O48+O58+O61+O65</f>
        <v>0</v>
      </c>
      <c r="P67" s="363">
        <f>SUM(D67:O67)</f>
        <v>0</v>
      </c>
      <c r="Q67" s="367" t="str">
        <f>IF(P67=0,"-",P67/C67-1)</f>
        <v>-</v>
      </c>
      <c r="S67" s="467"/>
      <c r="T67" s="467"/>
      <c r="U67" s="467"/>
      <c r="V67" s="467"/>
    </row>
    <row r="68" spans="1:22" ht="15" thickBot="1">
      <c r="B68" s="2069"/>
      <c r="C68" s="2069"/>
    </row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937" t="s">
        <v>638</v>
      </c>
    </row>
    <row r="70" spans="1:22" ht="30.75" customHeight="1" thickBot="1">
      <c r="A70" s="356"/>
      <c r="B70" s="2033" t="s">
        <v>657</v>
      </c>
      <c r="C70" s="2033" t="s">
        <v>663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941" t="s">
        <v>619</v>
      </c>
    </row>
    <row r="71" spans="1:22" ht="22.5" customHeight="1" thickBot="1">
      <c r="A71" s="362" t="s">
        <v>28</v>
      </c>
      <c r="B71" s="2050">
        <f>B74+B75+B80</f>
        <v>0</v>
      </c>
      <c r="C71" s="2051">
        <f t="shared" ref="C71:O71" si="83">C74+C75+C80</f>
        <v>0</v>
      </c>
      <c r="D71" s="365">
        <f t="shared" si="83"/>
        <v>0</v>
      </c>
      <c r="E71" s="366">
        <f t="shared" si="83"/>
        <v>0</v>
      </c>
      <c r="F71" s="366">
        <f t="shared" si="83"/>
        <v>0</v>
      </c>
      <c r="G71" s="366">
        <f t="shared" si="83"/>
        <v>0</v>
      </c>
      <c r="H71" s="366">
        <f t="shared" si="83"/>
        <v>0</v>
      </c>
      <c r="I71" s="366">
        <f t="shared" si="83"/>
        <v>0</v>
      </c>
      <c r="J71" s="366">
        <f t="shared" si="83"/>
        <v>0</v>
      </c>
      <c r="K71" s="366">
        <f t="shared" si="83"/>
        <v>0</v>
      </c>
      <c r="L71" s="366">
        <f t="shared" si="83"/>
        <v>0</v>
      </c>
      <c r="M71" s="366">
        <f t="shared" si="83"/>
        <v>0</v>
      </c>
      <c r="N71" s="366">
        <f t="shared" si="83"/>
        <v>0</v>
      </c>
      <c r="O71" s="364">
        <f t="shared" si="83"/>
        <v>0</v>
      </c>
      <c r="P71" s="363">
        <f>SUM(D71:O71)</f>
        <v>0</v>
      </c>
      <c r="Q71" s="367" t="str">
        <f t="shared" ref="Q71:Q86" si="84">IF(P71=0,"-",P71/C71-1)</f>
        <v>-</v>
      </c>
    </row>
    <row r="72" spans="1:22" ht="16.5" customHeight="1">
      <c r="A72" s="368" t="s">
        <v>15</v>
      </c>
      <c r="B72" s="2052">
        <f t="shared" ref="B72:O73" si="85">+B26-B49</f>
        <v>0</v>
      </c>
      <c r="C72" s="2053">
        <f t="shared" si="85"/>
        <v>0</v>
      </c>
      <c r="D72" s="371">
        <f t="shared" si="85"/>
        <v>0</v>
      </c>
      <c r="E72" s="372">
        <f t="shared" si="85"/>
        <v>0</v>
      </c>
      <c r="F72" s="372">
        <f t="shared" si="85"/>
        <v>0</v>
      </c>
      <c r="G72" s="372">
        <f t="shared" si="85"/>
        <v>0</v>
      </c>
      <c r="H72" s="373">
        <f t="shared" si="85"/>
        <v>0</v>
      </c>
      <c r="I72" s="373">
        <f t="shared" si="85"/>
        <v>0</v>
      </c>
      <c r="J72" s="373">
        <f t="shared" si="85"/>
        <v>0</v>
      </c>
      <c r="K72" s="373">
        <f t="shared" si="85"/>
        <v>0</v>
      </c>
      <c r="L72" s="373">
        <f t="shared" si="85"/>
        <v>0</v>
      </c>
      <c r="M72" s="373">
        <f t="shared" si="85"/>
        <v>0</v>
      </c>
      <c r="N72" s="373">
        <f t="shared" si="85"/>
        <v>0</v>
      </c>
      <c r="O72" s="374">
        <f t="shared" si="85"/>
        <v>0</v>
      </c>
      <c r="P72" s="369">
        <f t="shared" ref="P72:P90" si="86">SUM(D72:O72)</f>
        <v>0</v>
      </c>
      <c r="Q72" s="375" t="str">
        <f t="shared" si="84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2054">
        <f t="shared" si="85"/>
        <v>0</v>
      </c>
      <c r="C73" s="2055">
        <f t="shared" si="85"/>
        <v>0</v>
      </c>
      <c r="D73" s="380">
        <f t="shared" si="85"/>
        <v>0</v>
      </c>
      <c r="E73" s="381">
        <f t="shared" si="85"/>
        <v>0</v>
      </c>
      <c r="F73" s="381">
        <f t="shared" si="85"/>
        <v>0</v>
      </c>
      <c r="G73" s="381">
        <f t="shared" si="85"/>
        <v>0</v>
      </c>
      <c r="H73" s="382">
        <f t="shared" si="85"/>
        <v>0</v>
      </c>
      <c r="I73" s="382">
        <f t="shared" si="85"/>
        <v>0</v>
      </c>
      <c r="J73" s="382">
        <f t="shared" si="85"/>
        <v>0</v>
      </c>
      <c r="K73" s="382">
        <f t="shared" si="85"/>
        <v>0</v>
      </c>
      <c r="L73" s="382">
        <f t="shared" si="85"/>
        <v>0</v>
      </c>
      <c r="M73" s="382">
        <f t="shared" si="85"/>
        <v>0</v>
      </c>
      <c r="N73" s="382">
        <f t="shared" si="85"/>
        <v>0</v>
      </c>
      <c r="O73" s="383">
        <f t="shared" si="85"/>
        <v>0</v>
      </c>
      <c r="P73" s="378">
        <f t="shared" si="86"/>
        <v>0</v>
      </c>
      <c r="Q73" s="384" t="str">
        <f t="shared" si="84"/>
        <v>-</v>
      </c>
    </row>
    <row r="74" spans="1:22" ht="15" customHeight="1">
      <c r="A74" s="385" t="s">
        <v>27</v>
      </c>
      <c r="B74" s="2056">
        <f>+B72+B73</f>
        <v>0</v>
      </c>
      <c r="C74" s="2057">
        <f>+C73+C72</f>
        <v>0</v>
      </c>
      <c r="D74" s="388">
        <f t="shared" ref="D74:O74" si="87">SUM(D72:D73)</f>
        <v>0</v>
      </c>
      <c r="E74" s="389">
        <f t="shared" si="87"/>
        <v>0</v>
      </c>
      <c r="F74" s="389">
        <f t="shared" si="87"/>
        <v>0</v>
      </c>
      <c r="G74" s="389">
        <f t="shared" si="87"/>
        <v>0</v>
      </c>
      <c r="H74" s="389">
        <f t="shared" si="87"/>
        <v>0</v>
      </c>
      <c r="I74" s="389">
        <f t="shared" si="87"/>
        <v>0</v>
      </c>
      <c r="J74" s="389">
        <f t="shared" si="87"/>
        <v>0</v>
      </c>
      <c r="K74" s="389">
        <f t="shared" si="87"/>
        <v>0</v>
      </c>
      <c r="L74" s="389">
        <f t="shared" si="87"/>
        <v>0</v>
      </c>
      <c r="M74" s="389">
        <f t="shared" si="87"/>
        <v>0</v>
      </c>
      <c r="N74" s="389">
        <f t="shared" si="87"/>
        <v>0</v>
      </c>
      <c r="O74" s="390">
        <f t="shared" si="87"/>
        <v>0</v>
      </c>
      <c r="P74" s="391">
        <f t="shared" si="86"/>
        <v>0</v>
      </c>
      <c r="Q74" s="449" t="str">
        <f t="shared" si="84"/>
        <v>-</v>
      </c>
    </row>
    <row r="75" spans="1:22" ht="16.5" customHeight="1">
      <c r="A75" s="393" t="s">
        <v>17</v>
      </c>
      <c r="B75" s="2061">
        <f t="shared" ref="B75:O79" si="88">+B29-B52</f>
        <v>0</v>
      </c>
      <c r="C75" s="2059">
        <f t="shared" si="88"/>
        <v>0</v>
      </c>
      <c r="D75" s="396">
        <f t="shared" si="88"/>
        <v>0</v>
      </c>
      <c r="E75" s="397">
        <f t="shared" si="88"/>
        <v>0</v>
      </c>
      <c r="F75" s="397">
        <f t="shared" si="88"/>
        <v>0</v>
      </c>
      <c r="G75" s="397">
        <f t="shared" si="88"/>
        <v>0</v>
      </c>
      <c r="H75" s="397">
        <f t="shared" si="88"/>
        <v>0</v>
      </c>
      <c r="I75" s="397">
        <f t="shared" si="88"/>
        <v>0</v>
      </c>
      <c r="J75" s="397">
        <f t="shared" si="88"/>
        <v>0</v>
      </c>
      <c r="K75" s="397">
        <f t="shared" si="88"/>
        <v>0</v>
      </c>
      <c r="L75" s="397">
        <f t="shared" si="88"/>
        <v>0</v>
      </c>
      <c r="M75" s="397">
        <f t="shared" si="88"/>
        <v>0</v>
      </c>
      <c r="N75" s="397">
        <f t="shared" si="88"/>
        <v>0</v>
      </c>
      <c r="O75" s="398">
        <f t="shared" si="88"/>
        <v>0</v>
      </c>
      <c r="P75" s="399">
        <f t="shared" si="86"/>
        <v>0</v>
      </c>
      <c r="Q75" s="384" t="str">
        <f t="shared" si="84"/>
        <v>-</v>
      </c>
    </row>
    <row r="76" spans="1:22" ht="16.5" customHeight="1">
      <c r="A76" s="400" t="s">
        <v>81</v>
      </c>
      <c r="B76" s="2060">
        <f t="shared" si="88"/>
        <v>0</v>
      </c>
      <c r="C76" s="2057">
        <f t="shared" si="88"/>
        <v>0</v>
      </c>
      <c r="D76" s="388">
        <f t="shared" si="88"/>
        <v>0</v>
      </c>
      <c r="E76" s="389">
        <f t="shared" si="88"/>
        <v>0</v>
      </c>
      <c r="F76" s="389">
        <f t="shared" si="88"/>
        <v>0</v>
      </c>
      <c r="G76" s="389">
        <f t="shared" si="88"/>
        <v>0</v>
      </c>
      <c r="H76" s="389">
        <f t="shared" si="88"/>
        <v>0</v>
      </c>
      <c r="I76" s="389">
        <f t="shared" si="88"/>
        <v>0</v>
      </c>
      <c r="J76" s="389">
        <f t="shared" si="88"/>
        <v>0</v>
      </c>
      <c r="K76" s="389">
        <f t="shared" si="88"/>
        <v>0</v>
      </c>
      <c r="L76" s="389">
        <f t="shared" si="88"/>
        <v>0</v>
      </c>
      <c r="M76" s="389">
        <f t="shared" si="88"/>
        <v>0</v>
      </c>
      <c r="N76" s="389">
        <f t="shared" si="88"/>
        <v>0</v>
      </c>
      <c r="O76" s="390">
        <f t="shared" si="88"/>
        <v>0</v>
      </c>
      <c r="P76" s="386">
        <f t="shared" si="86"/>
        <v>0</v>
      </c>
      <c r="Q76" s="405" t="str">
        <f t="shared" si="84"/>
        <v>-</v>
      </c>
    </row>
    <row r="77" spans="1:22" ht="16.5" hidden="1" customHeight="1">
      <c r="A77" s="406" t="s">
        <v>82</v>
      </c>
      <c r="B77" s="2061">
        <f t="shared" si="88"/>
        <v>0</v>
      </c>
      <c r="C77" s="2059">
        <f t="shared" si="88"/>
        <v>0</v>
      </c>
      <c r="D77" s="396">
        <f t="shared" si="88"/>
        <v>0</v>
      </c>
      <c r="E77" s="397">
        <f t="shared" si="88"/>
        <v>0</v>
      </c>
      <c r="F77" s="397">
        <f t="shared" si="88"/>
        <v>0</v>
      </c>
      <c r="G77" s="397">
        <f t="shared" si="88"/>
        <v>0</v>
      </c>
      <c r="H77" s="397">
        <f t="shared" si="88"/>
        <v>0</v>
      </c>
      <c r="I77" s="397">
        <f t="shared" si="88"/>
        <v>0</v>
      </c>
      <c r="J77" s="397">
        <f t="shared" si="88"/>
        <v>0</v>
      </c>
      <c r="K77" s="397">
        <f t="shared" si="88"/>
        <v>0</v>
      </c>
      <c r="L77" s="397">
        <f t="shared" si="88"/>
        <v>0</v>
      </c>
      <c r="M77" s="397">
        <f t="shared" si="88"/>
        <v>0</v>
      </c>
      <c r="N77" s="397">
        <f t="shared" si="88"/>
        <v>0</v>
      </c>
      <c r="O77" s="398">
        <f t="shared" si="88"/>
        <v>0</v>
      </c>
      <c r="P77" s="399">
        <f>SUM(D77:O77)</f>
        <v>0</v>
      </c>
      <c r="Q77" s="384" t="str">
        <f t="shared" si="84"/>
        <v>-</v>
      </c>
    </row>
    <row r="78" spans="1:22" ht="16.5" customHeight="1">
      <c r="A78" s="400" t="s">
        <v>83</v>
      </c>
      <c r="B78" s="2062">
        <f t="shared" si="88"/>
        <v>0</v>
      </c>
      <c r="C78" s="2071">
        <f t="shared" si="88"/>
        <v>0</v>
      </c>
      <c r="D78" s="402">
        <f t="shared" si="88"/>
        <v>0</v>
      </c>
      <c r="E78" s="403">
        <f t="shared" si="88"/>
        <v>0</v>
      </c>
      <c r="F78" s="403">
        <f t="shared" si="88"/>
        <v>0</v>
      </c>
      <c r="G78" s="403">
        <f t="shared" si="88"/>
        <v>0</v>
      </c>
      <c r="H78" s="403">
        <f t="shared" si="88"/>
        <v>0</v>
      </c>
      <c r="I78" s="403">
        <f t="shared" si="88"/>
        <v>0</v>
      </c>
      <c r="J78" s="403">
        <f t="shared" si="88"/>
        <v>0</v>
      </c>
      <c r="K78" s="403">
        <f t="shared" si="88"/>
        <v>0</v>
      </c>
      <c r="L78" s="403">
        <f t="shared" si="88"/>
        <v>0</v>
      </c>
      <c r="M78" s="403">
        <f t="shared" si="88"/>
        <v>0</v>
      </c>
      <c r="N78" s="403">
        <f t="shared" si="88"/>
        <v>0</v>
      </c>
      <c r="O78" s="404">
        <f t="shared" si="88"/>
        <v>0</v>
      </c>
      <c r="P78" s="386">
        <f t="shared" si="86"/>
        <v>0</v>
      </c>
      <c r="Q78" s="405" t="str">
        <f t="shared" si="84"/>
        <v>-</v>
      </c>
    </row>
    <row r="79" spans="1:22" ht="16.5" hidden="1" customHeight="1">
      <c r="A79" s="406" t="s">
        <v>84</v>
      </c>
      <c r="B79" s="2054">
        <f t="shared" si="88"/>
        <v>0</v>
      </c>
      <c r="C79" s="2055">
        <f t="shared" si="88"/>
        <v>0</v>
      </c>
      <c r="D79" s="407">
        <f t="shared" si="88"/>
        <v>0</v>
      </c>
      <c r="E79" s="382">
        <f t="shared" si="88"/>
        <v>0</v>
      </c>
      <c r="F79" s="382">
        <f t="shared" si="88"/>
        <v>0</v>
      </c>
      <c r="G79" s="382">
        <f t="shared" si="88"/>
        <v>0</v>
      </c>
      <c r="H79" s="382">
        <f t="shared" si="88"/>
        <v>0</v>
      </c>
      <c r="I79" s="381">
        <f t="shared" si="88"/>
        <v>0</v>
      </c>
      <c r="J79" s="381">
        <f t="shared" si="88"/>
        <v>0</v>
      </c>
      <c r="K79" s="382">
        <f t="shared" si="88"/>
        <v>0</v>
      </c>
      <c r="L79" s="382">
        <f t="shared" si="88"/>
        <v>0</v>
      </c>
      <c r="M79" s="382">
        <f t="shared" si="88"/>
        <v>0</v>
      </c>
      <c r="N79" s="382">
        <f t="shared" si="88"/>
        <v>0</v>
      </c>
      <c r="O79" s="383">
        <f t="shared" si="88"/>
        <v>0</v>
      </c>
      <c r="P79" s="399">
        <f t="shared" si="86"/>
        <v>0</v>
      </c>
      <c r="Q79" s="384" t="str">
        <f t="shared" si="84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2063">
        <f t="shared" ref="B80:O80" si="89">SUM(B76:B79)</f>
        <v>0</v>
      </c>
      <c r="C80" s="2064">
        <f t="shared" si="89"/>
        <v>0</v>
      </c>
      <c r="D80" s="413">
        <f t="shared" si="89"/>
        <v>0</v>
      </c>
      <c r="E80" s="414">
        <f t="shared" si="89"/>
        <v>0</v>
      </c>
      <c r="F80" s="414">
        <f t="shared" si="89"/>
        <v>0</v>
      </c>
      <c r="G80" s="414">
        <f t="shared" si="89"/>
        <v>0</v>
      </c>
      <c r="H80" s="414">
        <f t="shared" si="89"/>
        <v>0</v>
      </c>
      <c r="I80" s="414">
        <f t="shared" si="89"/>
        <v>0</v>
      </c>
      <c r="J80" s="414">
        <f t="shared" si="89"/>
        <v>0</v>
      </c>
      <c r="K80" s="414">
        <f t="shared" si="89"/>
        <v>0</v>
      </c>
      <c r="L80" s="414">
        <f t="shared" si="89"/>
        <v>0</v>
      </c>
      <c r="M80" s="414">
        <f t="shared" si="89"/>
        <v>0</v>
      </c>
      <c r="N80" s="414">
        <f t="shared" si="89"/>
        <v>0</v>
      </c>
      <c r="O80" s="412">
        <f t="shared" si="89"/>
        <v>0</v>
      </c>
      <c r="P80" s="411">
        <f t="shared" si="86"/>
        <v>0</v>
      </c>
      <c r="Q80" s="415" t="str">
        <f t="shared" si="84"/>
        <v>-</v>
      </c>
    </row>
    <row r="81" spans="1:22" ht="22.5" customHeight="1" thickBot="1">
      <c r="A81" s="362" t="s">
        <v>29</v>
      </c>
      <c r="B81" s="2072">
        <f t="shared" ref="B81:O86" si="90">+B35-B58</f>
        <v>0</v>
      </c>
      <c r="C81" s="2073">
        <f t="shared" si="90"/>
        <v>0</v>
      </c>
      <c r="D81" s="417">
        <f t="shared" si="90"/>
        <v>0</v>
      </c>
      <c r="E81" s="418">
        <f t="shared" si="90"/>
        <v>0</v>
      </c>
      <c r="F81" s="418">
        <f t="shared" si="90"/>
        <v>0</v>
      </c>
      <c r="G81" s="418">
        <f t="shared" si="90"/>
        <v>0</v>
      </c>
      <c r="H81" s="418">
        <f t="shared" si="90"/>
        <v>0</v>
      </c>
      <c r="I81" s="418">
        <f t="shared" si="90"/>
        <v>0</v>
      </c>
      <c r="J81" s="418">
        <f t="shared" si="90"/>
        <v>0</v>
      </c>
      <c r="K81" s="418">
        <f t="shared" si="90"/>
        <v>0</v>
      </c>
      <c r="L81" s="418">
        <f t="shared" si="90"/>
        <v>0</v>
      </c>
      <c r="M81" s="418">
        <f t="shared" si="90"/>
        <v>0</v>
      </c>
      <c r="N81" s="418">
        <f t="shared" si="90"/>
        <v>0</v>
      </c>
      <c r="O81" s="419">
        <f t="shared" si="90"/>
        <v>0</v>
      </c>
      <c r="P81" s="420">
        <f t="shared" si="86"/>
        <v>0</v>
      </c>
      <c r="Q81" s="421" t="str">
        <f t="shared" si="84"/>
        <v>-</v>
      </c>
    </row>
    <row r="82" spans="1:22" ht="16.5" customHeight="1">
      <c r="A82" s="422" t="s">
        <v>19</v>
      </c>
      <c r="B82" s="2065">
        <f t="shared" si="90"/>
        <v>0</v>
      </c>
      <c r="C82" s="2074">
        <f t="shared" si="90"/>
        <v>0</v>
      </c>
      <c r="D82" s="425">
        <f t="shared" si="90"/>
        <v>0</v>
      </c>
      <c r="E82" s="426">
        <f t="shared" si="90"/>
        <v>0</v>
      </c>
      <c r="F82" s="426">
        <f t="shared" si="90"/>
        <v>0</v>
      </c>
      <c r="G82" s="426">
        <f t="shared" si="90"/>
        <v>0</v>
      </c>
      <c r="H82" s="426">
        <f t="shared" si="90"/>
        <v>0</v>
      </c>
      <c r="I82" s="426">
        <f t="shared" si="90"/>
        <v>0</v>
      </c>
      <c r="J82" s="426">
        <f t="shared" si="90"/>
        <v>0</v>
      </c>
      <c r="K82" s="426">
        <f t="shared" si="90"/>
        <v>0</v>
      </c>
      <c r="L82" s="426">
        <f t="shared" si="90"/>
        <v>0</v>
      </c>
      <c r="M82" s="426">
        <f t="shared" si="90"/>
        <v>0</v>
      </c>
      <c r="N82" s="426">
        <f t="shared" si="90"/>
        <v>0</v>
      </c>
      <c r="O82" s="427">
        <f t="shared" si="90"/>
        <v>0</v>
      </c>
      <c r="P82" s="428">
        <f t="shared" si="86"/>
        <v>0</v>
      </c>
      <c r="Q82" s="429" t="str">
        <f t="shared" si="84"/>
        <v>-</v>
      </c>
    </row>
    <row r="83" spans="1:22" ht="16.5" customHeight="1" thickBot="1">
      <c r="A83" s="430" t="s">
        <v>20</v>
      </c>
      <c r="B83" s="2066">
        <f t="shared" si="90"/>
        <v>0</v>
      </c>
      <c r="C83" s="2075">
        <f t="shared" si="90"/>
        <v>0</v>
      </c>
      <c r="D83" s="433">
        <f t="shared" si="90"/>
        <v>0</v>
      </c>
      <c r="E83" s="434">
        <f t="shared" si="90"/>
        <v>0</v>
      </c>
      <c r="F83" s="434">
        <f t="shared" si="90"/>
        <v>0</v>
      </c>
      <c r="G83" s="434">
        <f t="shared" si="90"/>
        <v>0</v>
      </c>
      <c r="H83" s="434">
        <f t="shared" si="90"/>
        <v>0</v>
      </c>
      <c r="I83" s="434">
        <f t="shared" si="90"/>
        <v>0</v>
      </c>
      <c r="J83" s="434">
        <f t="shared" si="90"/>
        <v>0</v>
      </c>
      <c r="K83" s="434">
        <f t="shared" si="90"/>
        <v>0</v>
      </c>
      <c r="L83" s="434">
        <f t="shared" si="90"/>
        <v>0</v>
      </c>
      <c r="M83" s="434">
        <f t="shared" si="90"/>
        <v>0</v>
      </c>
      <c r="N83" s="434">
        <f t="shared" si="90"/>
        <v>0</v>
      </c>
      <c r="O83" s="435">
        <f t="shared" si="90"/>
        <v>0</v>
      </c>
      <c r="P83" s="436">
        <f t="shared" si="86"/>
        <v>0</v>
      </c>
      <c r="Q83" s="437" t="str">
        <f t="shared" si="84"/>
        <v>-</v>
      </c>
    </row>
    <row r="84" spans="1:22" ht="22.5" customHeight="1" thickBot="1">
      <c r="A84" s="362" t="s">
        <v>30</v>
      </c>
      <c r="B84" s="2050">
        <f t="shared" si="90"/>
        <v>0</v>
      </c>
      <c r="C84" s="2051">
        <f t="shared" si="90"/>
        <v>0</v>
      </c>
      <c r="D84" s="365">
        <f t="shared" si="90"/>
        <v>0</v>
      </c>
      <c r="E84" s="366">
        <f t="shared" si="90"/>
        <v>0</v>
      </c>
      <c r="F84" s="366">
        <f t="shared" si="90"/>
        <v>0</v>
      </c>
      <c r="G84" s="366">
        <f t="shared" si="90"/>
        <v>0</v>
      </c>
      <c r="H84" s="366">
        <f t="shared" si="90"/>
        <v>0</v>
      </c>
      <c r="I84" s="366">
        <f t="shared" si="90"/>
        <v>0</v>
      </c>
      <c r="J84" s="366">
        <f t="shared" si="90"/>
        <v>0</v>
      </c>
      <c r="K84" s="366">
        <f t="shared" si="90"/>
        <v>0</v>
      </c>
      <c r="L84" s="366">
        <f t="shared" si="90"/>
        <v>0</v>
      </c>
      <c r="M84" s="366">
        <f t="shared" si="90"/>
        <v>0</v>
      </c>
      <c r="N84" s="366">
        <f t="shared" si="90"/>
        <v>0</v>
      </c>
      <c r="O84" s="448">
        <f t="shared" si="90"/>
        <v>0</v>
      </c>
      <c r="P84" s="363">
        <f t="shared" si="86"/>
        <v>0</v>
      </c>
      <c r="Q84" s="367" t="str">
        <f t="shared" si="84"/>
        <v>-</v>
      </c>
    </row>
    <row r="85" spans="1:22" ht="16.5" customHeight="1">
      <c r="A85" s="422" t="s">
        <v>106</v>
      </c>
      <c r="B85" s="2065">
        <f t="shared" si="90"/>
        <v>0</v>
      </c>
      <c r="C85" s="2074">
        <f t="shared" si="90"/>
        <v>0</v>
      </c>
      <c r="D85" s="425">
        <f t="shared" si="90"/>
        <v>0</v>
      </c>
      <c r="E85" s="426">
        <f t="shared" si="90"/>
        <v>0</v>
      </c>
      <c r="F85" s="426">
        <f t="shared" si="90"/>
        <v>0</v>
      </c>
      <c r="G85" s="426">
        <f t="shared" si="90"/>
        <v>0</v>
      </c>
      <c r="H85" s="426">
        <f t="shared" si="90"/>
        <v>0</v>
      </c>
      <c r="I85" s="426">
        <f t="shared" si="90"/>
        <v>0</v>
      </c>
      <c r="J85" s="426">
        <f t="shared" si="90"/>
        <v>0</v>
      </c>
      <c r="K85" s="426">
        <f t="shared" si="90"/>
        <v>0</v>
      </c>
      <c r="L85" s="426">
        <f t="shared" si="90"/>
        <v>0</v>
      </c>
      <c r="M85" s="426">
        <f t="shared" si="90"/>
        <v>0</v>
      </c>
      <c r="N85" s="426">
        <f t="shared" si="90"/>
        <v>0</v>
      </c>
      <c r="O85" s="427">
        <f t="shared" si="90"/>
        <v>0</v>
      </c>
      <c r="P85" s="428">
        <f t="shared" si="86"/>
        <v>0</v>
      </c>
      <c r="Q85" s="429" t="str">
        <f t="shared" si="84"/>
        <v>-</v>
      </c>
    </row>
    <row r="86" spans="1:22" ht="16.5" customHeight="1" thickBot="1">
      <c r="A86" s="438" t="s">
        <v>105</v>
      </c>
      <c r="B86" s="2067">
        <f t="shared" si="90"/>
        <v>0</v>
      </c>
      <c r="C86" s="2076">
        <f t="shared" si="90"/>
        <v>0</v>
      </c>
      <c r="D86" s="441">
        <f t="shared" si="90"/>
        <v>0</v>
      </c>
      <c r="E86" s="442">
        <f t="shared" si="90"/>
        <v>0</v>
      </c>
      <c r="F86" s="442">
        <f t="shared" si="90"/>
        <v>0</v>
      </c>
      <c r="G86" s="442">
        <f t="shared" si="90"/>
        <v>0</v>
      </c>
      <c r="H86" s="442">
        <f t="shared" si="90"/>
        <v>0</v>
      </c>
      <c r="I86" s="442">
        <f t="shared" si="90"/>
        <v>0</v>
      </c>
      <c r="J86" s="442">
        <f t="shared" si="90"/>
        <v>0</v>
      </c>
      <c r="K86" s="442">
        <f t="shared" si="90"/>
        <v>0</v>
      </c>
      <c r="L86" s="442">
        <f t="shared" si="90"/>
        <v>0</v>
      </c>
      <c r="M86" s="442">
        <f t="shared" si="90"/>
        <v>0</v>
      </c>
      <c r="N86" s="442">
        <f t="shared" si="90"/>
        <v>0</v>
      </c>
      <c r="O86" s="443">
        <f t="shared" si="90"/>
        <v>0</v>
      </c>
      <c r="P86" s="444">
        <f t="shared" si="86"/>
        <v>0</v>
      </c>
      <c r="Q86" s="445" t="str">
        <f t="shared" si="84"/>
        <v>-</v>
      </c>
    </row>
    <row r="87" spans="1:22" ht="16.5" customHeight="1" thickBot="1">
      <c r="B87" s="2069"/>
      <c r="C87" s="2070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2050">
        <f t="shared" ref="B88:O88" si="91">+B42-B65</f>
        <v>0</v>
      </c>
      <c r="C88" s="2051">
        <f t="shared" si="91"/>
        <v>0</v>
      </c>
      <c r="D88" s="365">
        <f t="shared" si="91"/>
        <v>0</v>
      </c>
      <c r="E88" s="366">
        <f t="shared" si="91"/>
        <v>0</v>
      </c>
      <c r="F88" s="366">
        <f t="shared" si="91"/>
        <v>0</v>
      </c>
      <c r="G88" s="366">
        <f t="shared" si="91"/>
        <v>0</v>
      </c>
      <c r="H88" s="366">
        <f t="shared" si="91"/>
        <v>0</v>
      </c>
      <c r="I88" s="366">
        <f t="shared" si="91"/>
        <v>0</v>
      </c>
      <c r="J88" s="366">
        <f t="shared" si="91"/>
        <v>0</v>
      </c>
      <c r="K88" s="366">
        <f t="shared" si="91"/>
        <v>0</v>
      </c>
      <c r="L88" s="366">
        <f t="shared" si="91"/>
        <v>0</v>
      </c>
      <c r="M88" s="366">
        <f t="shared" si="91"/>
        <v>0</v>
      </c>
      <c r="N88" s="366">
        <f t="shared" si="91"/>
        <v>0</v>
      </c>
      <c r="O88" s="448">
        <f t="shared" si="91"/>
        <v>0</v>
      </c>
      <c r="P88" s="363">
        <f t="shared" si="86"/>
        <v>0</v>
      </c>
      <c r="Q88" s="367" t="str">
        <f>IF(P88=0,"-",P88/C88-1)</f>
        <v>-</v>
      </c>
    </row>
    <row r="89" spans="1:22" s="454" customFormat="1" ht="14.25" customHeight="1" thickBot="1">
      <c r="A89" s="451"/>
      <c r="B89" s="2077"/>
      <c r="C89" s="2077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6"/>
        <v>0</v>
      </c>
      <c r="Q89" s="453"/>
    </row>
    <row r="90" spans="1:22" ht="22.5" customHeight="1" thickBot="1">
      <c r="A90" s="362" t="s">
        <v>72</v>
      </c>
      <c r="B90" s="2050">
        <f>+B71+B81+B84+B88</f>
        <v>0</v>
      </c>
      <c r="C90" s="2051">
        <f t="shared" ref="C90:O90" si="92">+C71+C81+C84+C88</f>
        <v>0</v>
      </c>
      <c r="D90" s="365">
        <f t="shared" si="92"/>
        <v>0</v>
      </c>
      <c r="E90" s="366">
        <f t="shared" si="92"/>
        <v>0</v>
      </c>
      <c r="F90" s="366">
        <f t="shared" si="92"/>
        <v>0</v>
      </c>
      <c r="G90" s="366">
        <f t="shared" si="92"/>
        <v>0</v>
      </c>
      <c r="H90" s="366">
        <f t="shared" si="92"/>
        <v>0</v>
      </c>
      <c r="I90" s="366">
        <f t="shared" si="92"/>
        <v>0</v>
      </c>
      <c r="J90" s="366">
        <f t="shared" si="92"/>
        <v>0</v>
      </c>
      <c r="K90" s="366">
        <f t="shared" si="92"/>
        <v>0</v>
      </c>
      <c r="L90" s="366">
        <f t="shared" si="92"/>
        <v>0</v>
      </c>
      <c r="M90" s="366">
        <f t="shared" si="92"/>
        <v>0</v>
      </c>
      <c r="N90" s="366">
        <f t="shared" si="92"/>
        <v>0</v>
      </c>
      <c r="O90" s="448">
        <f t="shared" si="92"/>
        <v>0</v>
      </c>
      <c r="P90" s="363">
        <f t="shared" si="86"/>
        <v>0</v>
      </c>
      <c r="Q90" s="367" t="str">
        <f>IF(P90=0,"-",P90/C90-1)</f>
        <v>-</v>
      </c>
    </row>
    <row r="91" spans="1:22" ht="15" thickBot="1">
      <c r="B91" s="2069"/>
      <c r="C91" s="2069"/>
    </row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937" t="s">
        <v>638</v>
      </c>
    </row>
    <row r="93" spans="1:22" ht="30.75" customHeight="1" thickBot="1">
      <c r="A93" s="356"/>
      <c r="B93" s="2033" t="s">
        <v>657</v>
      </c>
      <c r="C93" s="2033" t="s">
        <v>663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941" t="s">
        <v>619</v>
      </c>
    </row>
    <row r="94" spans="1:22" ht="22.5" customHeight="1" thickBot="1">
      <c r="A94" s="362" t="s">
        <v>28</v>
      </c>
      <c r="B94" s="2050">
        <f>B97+B98+B103</f>
        <v>0</v>
      </c>
      <c r="C94" s="2051">
        <f t="shared" ref="C94:P94" si="93">C97+C98+C103</f>
        <v>0</v>
      </c>
      <c r="D94" s="365">
        <f t="shared" si="93"/>
        <v>0</v>
      </c>
      <c r="E94" s="366">
        <f t="shared" si="93"/>
        <v>0</v>
      </c>
      <c r="F94" s="366">
        <f t="shared" si="93"/>
        <v>0</v>
      </c>
      <c r="G94" s="366">
        <f t="shared" si="93"/>
        <v>0</v>
      </c>
      <c r="H94" s="366">
        <f t="shared" si="93"/>
        <v>0</v>
      </c>
      <c r="I94" s="366">
        <f t="shared" si="93"/>
        <v>0</v>
      </c>
      <c r="J94" s="366">
        <f t="shared" si="93"/>
        <v>0</v>
      </c>
      <c r="K94" s="366">
        <f t="shared" si="93"/>
        <v>0</v>
      </c>
      <c r="L94" s="366">
        <f t="shared" si="93"/>
        <v>0</v>
      </c>
      <c r="M94" s="366">
        <f t="shared" si="93"/>
        <v>0</v>
      </c>
      <c r="N94" s="366">
        <f t="shared" si="93"/>
        <v>0</v>
      </c>
      <c r="O94" s="364">
        <f t="shared" si="93"/>
        <v>0</v>
      </c>
      <c r="P94" s="363">
        <f t="shared" si="93"/>
        <v>0</v>
      </c>
      <c r="Q94" s="367" t="str">
        <f t="shared" ref="Q94:Q109" si="94">IF(P94=0,"-",P94/C94-1)</f>
        <v>-</v>
      </c>
    </row>
    <row r="95" spans="1:22" ht="16.5" customHeight="1">
      <c r="A95" s="368" t="s">
        <v>15</v>
      </c>
      <c r="B95" s="2052">
        <v>0</v>
      </c>
      <c r="C95" s="2053">
        <f>B95/10*12</f>
        <v>0</v>
      </c>
      <c r="D95" s="371">
        <f>D5*'Alış Fiyat'!D5</f>
        <v>0</v>
      </c>
      <c r="E95" s="372">
        <f>E5*'Alış Fiyat'!E5</f>
        <v>0</v>
      </c>
      <c r="F95" s="372">
        <f>F5*'Alış Fiyat'!F5</f>
        <v>0</v>
      </c>
      <c r="G95" s="372">
        <f>G5*'Alış Fiyat'!G5</f>
        <v>0</v>
      </c>
      <c r="H95" s="373">
        <f>H5*'Alış Fiyat'!H5</f>
        <v>0</v>
      </c>
      <c r="I95" s="373">
        <f>I5*'Alış Fiyat'!I5</f>
        <v>0</v>
      </c>
      <c r="J95" s="373">
        <f>J5*'Alış Fiyat'!J5</f>
        <v>0</v>
      </c>
      <c r="K95" s="373">
        <f>K5*'Alış Fiyat'!K5</f>
        <v>0</v>
      </c>
      <c r="L95" s="373">
        <f>L5*'Alış Fiyat'!L5</f>
        <v>0</v>
      </c>
      <c r="M95" s="373">
        <f>M5*'Alış Fiyat'!M5</f>
        <v>0</v>
      </c>
      <c r="N95" s="373">
        <f>N5*'Alış Fiyat'!N5</f>
        <v>0</v>
      </c>
      <c r="O95" s="374">
        <f>O5*'Alış Fiyat'!O5</f>
        <v>0</v>
      </c>
      <c r="P95" s="369">
        <f t="shared" ref="P95:P102" si="95">SUM(D95:O95)</f>
        <v>0</v>
      </c>
      <c r="Q95" s="375" t="str">
        <f t="shared" si="94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2054">
        <f>B6*'Alış Fiyat'!B6</f>
        <v>0</v>
      </c>
      <c r="C96" s="2055">
        <f>C6*'Alış Fiyat'!C6</f>
        <v>0</v>
      </c>
      <c r="D96" s="380">
        <f>D6*'Alış Fiyat'!D6</f>
        <v>0</v>
      </c>
      <c r="E96" s="381">
        <f>E6*'Alış Fiyat'!E6</f>
        <v>0</v>
      </c>
      <c r="F96" s="381">
        <f>F6*'Alış Fiyat'!F6</f>
        <v>0</v>
      </c>
      <c r="G96" s="381">
        <f>G6*'Alış Fiyat'!G6</f>
        <v>0</v>
      </c>
      <c r="H96" s="382">
        <f>H6*'Alış Fiyat'!H6</f>
        <v>0</v>
      </c>
      <c r="I96" s="382">
        <f>I6*'Alış Fiyat'!I6</f>
        <v>0</v>
      </c>
      <c r="J96" s="382">
        <f>J6*'Alış Fiyat'!J6</f>
        <v>0</v>
      </c>
      <c r="K96" s="382">
        <f>K6*'Alış Fiyat'!K6</f>
        <v>0</v>
      </c>
      <c r="L96" s="382">
        <f>L6*'Alış Fiyat'!L6</f>
        <v>0</v>
      </c>
      <c r="M96" s="382">
        <f>M6*'Alış Fiyat'!M6</f>
        <v>0</v>
      </c>
      <c r="N96" s="382">
        <f>N6*'Alış Fiyat'!N6</f>
        <v>0</v>
      </c>
      <c r="O96" s="383">
        <f>O6*'Alış Fiyat'!O6</f>
        <v>0</v>
      </c>
      <c r="P96" s="378">
        <f t="shared" si="95"/>
        <v>0</v>
      </c>
      <c r="Q96" s="384" t="str">
        <f t="shared" si="94"/>
        <v>-</v>
      </c>
    </row>
    <row r="97" spans="1:22" ht="15" customHeight="1">
      <c r="A97" s="385" t="s">
        <v>27</v>
      </c>
      <c r="B97" s="2056">
        <f>+B95+B96</f>
        <v>0</v>
      </c>
      <c r="C97" s="2057">
        <f>+C96+C95</f>
        <v>0</v>
      </c>
      <c r="D97" s="388">
        <f t="shared" ref="D97:O97" si="96">SUM(D95:D96)</f>
        <v>0</v>
      </c>
      <c r="E97" s="389">
        <f t="shared" si="96"/>
        <v>0</v>
      </c>
      <c r="F97" s="389">
        <f t="shared" si="96"/>
        <v>0</v>
      </c>
      <c r="G97" s="389">
        <f t="shared" si="96"/>
        <v>0</v>
      </c>
      <c r="H97" s="389">
        <f t="shared" si="96"/>
        <v>0</v>
      </c>
      <c r="I97" s="389">
        <f t="shared" si="96"/>
        <v>0</v>
      </c>
      <c r="J97" s="389">
        <f t="shared" si="96"/>
        <v>0</v>
      </c>
      <c r="K97" s="389">
        <f t="shared" si="96"/>
        <v>0</v>
      </c>
      <c r="L97" s="389">
        <f t="shared" si="96"/>
        <v>0</v>
      </c>
      <c r="M97" s="389">
        <f t="shared" si="96"/>
        <v>0</v>
      </c>
      <c r="N97" s="389">
        <f t="shared" si="96"/>
        <v>0</v>
      </c>
      <c r="O97" s="390">
        <f t="shared" si="96"/>
        <v>0</v>
      </c>
      <c r="P97" s="391">
        <f t="shared" si="95"/>
        <v>0</v>
      </c>
      <c r="Q97" s="449" t="str">
        <f t="shared" si="94"/>
        <v>-</v>
      </c>
    </row>
    <row r="98" spans="1:22" ht="16.5" customHeight="1">
      <c r="A98" s="393" t="s">
        <v>17</v>
      </c>
      <c r="B98" s="2061">
        <v>0</v>
      </c>
      <c r="C98" s="2059">
        <f>B98</f>
        <v>0</v>
      </c>
      <c r="D98" s="396">
        <f>D8*'Alış Fiyat'!D8</f>
        <v>0</v>
      </c>
      <c r="E98" s="397">
        <f>E8*'Alış Fiyat'!E8</f>
        <v>0</v>
      </c>
      <c r="F98" s="397">
        <f>F8*'Alış Fiyat'!F8</f>
        <v>0</v>
      </c>
      <c r="G98" s="397">
        <f>G8*'Alış Fiyat'!G8</f>
        <v>0</v>
      </c>
      <c r="H98" s="397">
        <f>H8*'Alış Fiyat'!H8</f>
        <v>0</v>
      </c>
      <c r="I98" s="397">
        <f>I8*'Alış Fiyat'!I8</f>
        <v>0</v>
      </c>
      <c r="J98" s="397">
        <f>J8*'Alış Fiyat'!J8</f>
        <v>0</v>
      </c>
      <c r="K98" s="397">
        <f>K8*'Alış Fiyat'!K8</f>
        <v>0</v>
      </c>
      <c r="L98" s="397">
        <f>L8*'Alış Fiyat'!L8</f>
        <v>0</v>
      </c>
      <c r="M98" s="397">
        <f>M8*'Alış Fiyat'!M8</f>
        <v>0</v>
      </c>
      <c r="N98" s="397">
        <f>N8*'Alış Fiyat'!N8</f>
        <v>0</v>
      </c>
      <c r="O98" s="398">
        <f>O8*'Alış Fiyat'!O8</f>
        <v>0</v>
      </c>
      <c r="P98" s="399">
        <f t="shared" si="95"/>
        <v>0</v>
      </c>
      <c r="Q98" s="384" t="str">
        <f t="shared" si="94"/>
        <v>-</v>
      </c>
    </row>
    <row r="99" spans="1:22" ht="16.5" customHeight="1">
      <c r="A99" s="400" t="s">
        <v>81</v>
      </c>
      <c r="B99" s="2060">
        <v>0</v>
      </c>
      <c r="C99" s="2053">
        <f>B99/10*12</f>
        <v>0</v>
      </c>
      <c r="D99" s="1563">
        <f>D9*'DAĞITICI-ÖTV''SİZ-İHALE HEDEF'!C33</f>
        <v>0</v>
      </c>
      <c r="E99" s="1560">
        <f>E9*'DAĞITICI-ÖTV''SİZ-İHALE HEDEF'!D33</f>
        <v>0</v>
      </c>
      <c r="F99" s="1560">
        <f>F9*'DAĞITICI-ÖTV''SİZ-İHALE HEDEF'!E33</f>
        <v>0</v>
      </c>
      <c r="G99" s="1560">
        <f>G9*'DAĞITICI-ÖTV''SİZ-İHALE HEDEF'!F33</f>
        <v>0</v>
      </c>
      <c r="H99" s="1560">
        <f>H9*'DAĞITICI-ÖTV''SİZ-İHALE HEDEF'!G33</f>
        <v>0</v>
      </c>
      <c r="I99" s="1560">
        <f>I9*'DAĞITICI-ÖTV''SİZ-İHALE HEDEF'!H33</f>
        <v>0</v>
      </c>
      <c r="J99" s="1560">
        <f>J9*'DAĞITICI-ÖTV''SİZ-İHALE HEDEF'!I33</f>
        <v>0</v>
      </c>
      <c r="K99" s="1560">
        <f>K9*'DAĞITICI-ÖTV''SİZ-İHALE HEDEF'!J33</f>
        <v>0</v>
      </c>
      <c r="L99" s="1560">
        <f>L9*'DAĞITICI-ÖTV''SİZ-İHALE HEDEF'!K33</f>
        <v>0</v>
      </c>
      <c r="M99" s="1560">
        <f>M9*'DAĞITICI-ÖTV''SİZ-İHALE HEDEF'!L33</f>
        <v>0</v>
      </c>
      <c r="N99" s="1560">
        <f>N9*'DAĞITICI-ÖTV''SİZ-İHALE HEDEF'!M33</f>
        <v>0</v>
      </c>
      <c r="O99" s="387">
        <f>O9*'DAĞITICI-ÖTV''SİZ-İHALE HEDEF'!N33</f>
        <v>0</v>
      </c>
      <c r="P99" s="386">
        <f t="shared" si="95"/>
        <v>0</v>
      </c>
      <c r="Q99" s="405" t="str">
        <f t="shared" si="94"/>
        <v>-</v>
      </c>
    </row>
    <row r="100" spans="1:22" ht="16.5" hidden="1" customHeight="1">
      <c r="A100" s="406" t="s">
        <v>82</v>
      </c>
      <c r="B100" s="2061">
        <f>B10*'Alış Fiyat'!B10</f>
        <v>0</v>
      </c>
      <c r="C100" s="2059">
        <f>C10*'Alış Fiyat'!C10</f>
        <v>0</v>
      </c>
      <c r="D100" s="1564">
        <f>D10*'Alış Fiyat'!D10</f>
        <v>0</v>
      </c>
      <c r="E100" s="1561">
        <f>E10*'Alış Fiyat'!E10</f>
        <v>0</v>
      </c>
      <c r="F100" s="1561">
        <f>F10*'Alış Fiyat'!F10</f>
        <v>0</v>
      </c>
      <c r="G100" s="1561">
        <f>G10*'Alış Fiyat'!G10</f>
        <v>0</v>
      </c>
      <c r="H100" s="1561">
        <f>H10*'Alış Fiyat'!H10</f>
        <v>0</v>
      </c>
      <c r="I100" s="1561">
        <f>I10*'Alış Fiyat'!I10</f>
        <v>0</v>
      </c>
      <c r="J100" s="1561">
        <f>J10*'Alış Fiyat'!J10</f>
        <v>0</v>
      </c>
      <c r="K100" s="1561">
        <f>K10*'Alış Fiyat'!K10</f>
        <v>0</v>
      </c>
      <c r="L100" s="1561">
        <f>L10*'Alış Fiyat'!L10</f>
        <v>0</v>
      </c>
      <c r="M100" s="1561">
        <f>M10*'Alış Fiyat'!M10</f>
        <v>0</v>
      </c>
      <c r="N100" s="1561">
        <f>N10*'Alış Fiyat'!N10</f>
        <v>0</v>
      </c>
      <c r="O100" s="1562">
        <f>O10*'Alış Fiyat'!O10</f>
        <v>0</v>
      </c>
      <c r="P100" s="399">
        <f t="shared" si="95"/>
        <v>0</v>
      </c>
      <c r="Q100" s="384" t="str">
        <f t="shared" si="94"/>
        <v>-</v>
      </c>
    </row>
    <row r="101" spans="1:22" ht="16.5" customHeight="1">
      <c r="A101" s="400" t="s">
        <v>83</v>
      </c>
      <c r="B101" s="2062"/>
      <c r="C101" s="2071"/>
      <c r="D101" s="402">
        <f>D11*'DAĞITICI-ÖTV''SİZ-İHALE HEDEF'!C34</f>
        <v>0</v>
      </c>
      <c r="E101" s="403">
        <f>E11*'DAĞITICI-ÖTV''SİZ-İHALE HEDEF'!D34</f>
        <v>0</v>
      </c>
      <c r="F101" s="403">
        <f>F11*'DAĞITICI-ÖTV''SİZ-İHALE HEDEF'!E34</f>
        <v>0</v>
      </c>
      <c r="G101" s="403">
        <f>G11*'DAĞITICI-ÖTV''SİZ-İHALE HEDEF'!F34</f>
        <v>0</v>
      </c>
      <c r="H101" s="403">
        <f>H11*'DAĞITICI-ÖTV''SİZ-İHALE HEDEF'!G34</f>
        <v>0</v>
      </c>
      <c r="I101" s="403">
        <f>I11*'DAĞITICI-ÖTV''SİZ-İHALE HEDEF'!H34</f>
        <v>0</v>
      </c>
      <c r="J101" s="403">
        <f>J11*'DAĞITICI-ÖTV''SİZ-İHALE HEDEF'!I34</f>
        <v>0</v>
      </c>
      <c r="K101" s="403">
        <f>K11*'DAĞITICI-ÖTV''SİZ-İHALE HEDEF'!J34</f>
        <v>0</v>
      </c>
      <c r="L101" s="403">
        <f>L11*'DAĞITICI-ÖTV''SİZ-İHALE HEDEF'!K34</f>
        <v>0</v>
      </c>
      <c r="M101" s="403">
        <f>M11*'DAĞITICI-ÖTV''SİZ-İHALE HEDEF'!L34</f>
        <v>0</v>
      </c>
      <c r="N101" s="403">
        <f>N11*'DAĞITICI-ÖTV''SİZ-İHALE HEDEF'!M34</f>
        <v>0</v>
      </c>
      <c r="O101" s="404">
        <f>O11*'DAĞITICI-ÖTV''SİZ-İHALE HEDEF'!N34</f>
        <v>0</v>
      </c>
      <c r="P101" s="386">
        <f t="shared" si="95"/>
        <v>0</v>
      </c>
      <c r="Q101" s="405" t="str">
        <f t="shared" si="94"/>
        <v>-</v>
      </c>
    </row>
    <row r="102" spans="1:22" ht="16.5" hidden="1" customHeight="1">
      <c r="A102" s="406" t="s">
        <v>84</v>
      </c>
      <c r="B102" s="2054">
        <f>B12*'Alış Fiyat'!B12</f>
        <v>0</v>
      </c>
      <c r="C102" s="2055">
        <f>C12*'Alış Fiyat'!C12</f>
        <v>0</v>
      </c>
      <c r="D102" s="407">
        <f>D12*'Alış Fiyat'!D12</f>
        <v>0</v>
      </c>
      <c r="E102" s="382">
        <f>E12*'Alış Fiyat'!E12</f>
        <v>0</v>
      </c>
      <c r="F102" s="382">
        <f>F12*'Alış Fiyat'!F12</f>
        <v>0</v>
      </c>
      <c r="G102" s="382">
        <f>G12*'Alış Fiyat'!G12</f>
        <v>0</v>
      </c>
      <c r="H102" s="382">
        <f>H12*'Alış Fiyat'!H12</f>
        <v>0</v>
      </c>
      <c r="I102" s="381">
        <f>I12*'Alış Fiyat'!I12</f>
        <v>0</v>
      </c>
      <c r="J102" s="381">
        <f>J12*'Alış Fiyat'!J12</f>
        <v>0</v>
      </c>
      <c r="K102" s="382">
        <f>K12*'Alış Fiyat'!K12</f>
        <v>0</v>
      </c>
      <c r="L102" s="382">
        <f>L12*'Alış Fiyat'!L12</f>
        <v>0</v>
      </c>
      <c r="M102" s="382">
        <f>M12*'Alış Fiyat'!M12</f>
        <v>0</v>
      </c>
      <c r="N102" s="382">
        <f>N12*'Alış Fiyat'!N12</f>
        <v>0</v>
      </c>
      <c r="O102" s="383">
        <f>O12*'Alış Fiyat'!O12</f>
        <v>0</v>
      </c>
      <c r="P102" s="399">
        <f t="shared" si="95"/>
        <v>0</v>
      </c>
      <c r="Q102" s="384" t="str">
        <f t="shared" si="94"/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2063">
        <f>SUM(B99:B102)</f>
        <v>0</v>
      </c>
      <c r="C103" s="2064">
        <f>SUM(C99:C102)</f>
        <v>0</v>
      </c>
      <c r="D103" s="413">
        <f>SUM(D99:D102)</f>
        <v>0</v>
      </c>
      <c r="E103" s="414">
        <f t="shared" ref="E103:P103" si="97">SUM(E99:E102)</f>
        <v>0</v>
      </c>
      <c r="F103" s="414">
        <f t="shared" si="97"/>
        <v>0</v>
      </c>
      <c r="G103" s="414">
        <f t="shared" si="97"/>
        <v>0</v>
      </c>
      <c r="H103" s="414">
        <f t="shared" si="97"/>
        <v>0</v>
      </c>
      <c r="I103" s="414">
        <f t="shared" si="97"/>
        <v>0</v>
      </c>
      <c r="J103" s="414">
        <f t="shared" si="97"/>
        <v>0</v>
      </c>
      <c r="K103" s="414">
        <f t="shared" si="97"/>
        <v>0</v>
      </c>
      <c r="L103" s="414">
        <f t="shared" si="97"/>
        <v>0</v>
      </c>
      <c r="M103" s="414">
        <f t="shared" si="97"/>
        <v>0</v>
      </c>
      <c r="N103" s="414">
        <f t="shared" si="97"/>
        <v>0</v>
      </c>
      <c r="O103" s="412">
        <f t="shared" si="97"/>
        <v>0</v>
      </c>
      <c r="P103" s="411">
        <f t="shared" si="97"/>
        <v>0</v>
      </c>
      <c r="Q103" s="415" t="str">
        <f t="shared" si="94"/>
        <v>-</v>
      </c>
    </row>
    <row r="104" spans="1:22" ht="22.5" customHeight="1" thickBot="1">
      <c r="A104" s="362" t="s">
        <v>29</v>
      </c>
      <c r="B104" s="2072">
        <f>+B105+B106</f>
        <v>0</v>
      </c>
      <c r="C104" s="2073">
        <f t="shared" ref="C104:P104" si="98">SUM(C105:C106)</f>
        <v>0</v>
      </c>
      <c r="D104" s="417">
        <f t="shared" si="98"/>
        <v>0</v>
      </c>
      <c r="E104" s="418">
        <f t="shared" si="98"/>
        <v>0</v>
      </c>
      <c r="F104" s="418">
        <f t="shared" si="98"/>
        <v>0</v>
      </c>
      <c r="G104" s="418">
        <f t="shared" si="98"/>
        <v>0</v>
      </c>
      <c r="H104" s="418">
        <f t="shared" si="98"/>
        <v>0</v>
      </c>
      <c r="I104" s="418">
        <f t="shared" si="98"/>
        <v>0</v>
      </c>
      <c r="J104" s="418">
        <f t="shared" si="98"/>
        <v>0</v>
      </c>
      <c r="K104" s="418">
        <f t="shared" si="98"/>
        <v>0</v>
      </c>
      <c r="L104" s="418">
        <f t="shared" si="98"/>
        <v>0</v>
      </c>
      <c r="M104" s="418">
        <f t="shared" si="98"/>
        <v>0</v>
      </c>
      <c r="N104" s="418">
        <f t="shared" si="98"/>
        <v>0</v>
      </c>
      <c r="O104" s="419">
        <f t="shared" si="98"/>
        <v>0</v>
      </c>
      <c r="P104" s="420">
        <f t="shared" si="98"/>
        <v>0</v>
      </c>
      <c r="Q104" s="421" t="str">
        <f t="shared" si="94"/>
        <v>-</v>
      </c>
    </row>
    <row r="105" spans="1:22" ht="16.5" customHeight="1">
      <c r="A105" s="422" t="s">
        <v>19</v>
      </c>
      <c r="B105" s="2065">
        <f>B15*'Alış Fiyat'!B15</f>
        <v>0</v>
      </c>
      <c r="C105" s="2074">
        <f>C15*'Alış Fiyat'!C15</f>
        <v>0</v>
      </c>
      <c r="D105" s="425">
        <f>D15*'Alış Fiyat'!D15</f>
        <v>0</v>
      </c>
      <c r="E105" s="426">
        <f>E15*'Alış Fiyat'!E15</f>
        <v>0</v>
      </c>
      <c r="F105" s="426">
        <f>F15*'Alış Fiyat'!F15</f>
        <v>0</v>
      </c>
      <c r="G105" s="426">
        <f>G15*'Alış Fiyat'!G15</f>
        <v>0</v>
      </c>
      <c r="H105" s="426">
        <f>H15*'Alış Fiyat'!H15</f>
        <v>0</v>
      </c>
      <c r="I105" s="426">
        <f>I15*'Alış Fiyat'!I15</f>
        <v>0</v>
      </c>
      <c r="J105" s="426">
        <f>J15*'Alış Fiyat'!J15</f>
        <v>0</v>
      </c>
      <c r="K105" s="426">
        <f>K15*'Alış Fiyat'!K15</f>
        <v>0</v>
      </c>
      <c r="L105" s="426">
        <f>L15*'Alış Fiyat'!L15</f>
        <v>0</v>
      </c>
      <c r="M105" s="426">
        <f>M15*'Alış Fiyat'!M15</f>
        <v>0</v>
      </c>
      <c r="N105" s="426">
        <f>N15*'Alış Fiyat'!N15</f>
        <v>0</v>
      </c>
      <c r="O105" s="427">
        <f>O15*'Alış Fiyat'!O15</f>
        <v>0</v>
      </c>
      <c r="P105" s="428">
        <f>SUM(D105:O105)</f>
        <v>0</v>
      </c>
      <c r="Q105" s="429" t="str">
        <f t="shared" si="94"/>
        <v>-</v>
      </c>
    </row>
    <row r="106" spans="1:22" ht="16.5" customHeight="1" thickBot="1">
      <c r="A106" s="430" t="s">
        <v>20</v>
      </c>
      <c r="B106" s="2066">
        <f>B16*'Alış Fiyat'!B16</f>
        <v>0</v>
      </c>
      <c r="C106" s="2075">
        <f>C16*'Alış Fiyat'!C16</f>
        <v>0</v>
      </c>
      <c r="D106" s="433">
        <f>D16*'Alış Fiyat'!D16</f>
        <v>0</v>
      </c>
      <c r="E106" s="434">
        <f>E16*'Alış Fiyat'!E16</f>
        <v>0</v>
      </c>
      <c r="F106" s="434">
        <f>F16*'Alış Fiyat'!F16</f>
        <v>0</v>
      </c>
      <c r="G106" s="434">
        <f>G16*'Alış Fiyat'!G16</f>
        <v>0</v>
      </c>
      <c r="H106" s="434">
        <f>H16*'Alış Fiyat'!H16</f>
        <v>0</v>
      </c>
      <c r="I106" s="434">
        <f>I16*'Alış Fiyat'!I16</f>
        <v>0</v>
      </c>
      <c r="J106" s="434">
        <f>J16*'Alış Fiyat'!J16</f>
        <v>0</v>
      </c>
      <c r="K106" s="434">
        <f>K16*'Alış Fiyat'!K16</f>
        <v>0</v>
      </c>
      <c r="L106" s="434">
        <f>L16*'Alış Fiyat'!L16</f>
        <v>0</v>
      </c>
      <c r="M106" s="434">
        <f>M16*'Alış Fiyat'!M16</f>
        <v>0</v>
      </c>
      <c r="N106" s="434">
        <f>N16*'Alış Fiyat'!N16</f>
        <v>0</v>
      </c>
      <c r="O106" s="435">
        <f>O16*'Alış Fiyat'!O16</f>
        <v>0</v>
      </c>
      <c r="P106" s="436">
        <f>SUM(D106:O106)</f>
        <v>0</v>
      </c>
      <c r="Q106" s="437" t="str">
        <f t="shared" si="94"/>
        <v>-</v>
      </c>
    </row>
    <row r="107" spans="1:22" ht="22.5" customHeight="1" thickBot="1">
      <c r="A107" s="362" t="s">
        <v>30</v>
      </c>
      <c r="B107" s="2050">
        <f t="shared" ref="B107:P107" si="99">SUM(B108:B109)</f>
        <v>0</v>
      </c>
      <c r="C107" s="2073">
        <f t="shared" si="99"/>
        <v>0</v>
      </c>
      <c r="D107" s="417">
        <f t="shared" si="99"/>
        <v>0</v>
      </c>
      <c r="E107" s="418">
        <f t="shared" si="99"/>
        <v>0</v>
      </c>
      <c r="F107" s="418">
        <f t="shared" si="99"/>
        <v>0</v>
      </c>
      <c r="G107" s="418">
        <f t="shared" si="99"/>
        <v>0</v>
      </c>
      <c r="H107" s="418">
        <f t="shared" si="99"/>
        <v>0</v>
      </c>
      <c r="I107" s="418">
        <f t="shared" si="99"/>
        <v>0</v>
      </c>
      <c r="J107" s="418">
        <f t="shared" si="99"/>
        <v>0</v>
      </c>
      <c r="K107" s="418">
        <f t="shared" si="99"/>
        <v>0</v>
      </c>
      <c r="L107" s="418">
        <f t="shared" si="99"/>
        <v>0</v>
      </c>
      <c r="M107" s="418">
        <f t="shared" si="99"/>
        <v>0</v>
      </c>
      <c r="N107" s="418">
        <f t="shared" si="99"/>
        <v>0</v>
      </c>
      <c r="O107" s="419">
        <f t="shared" si="99"/>
        <v>0</v>
      </c>
      <c r="P107" s="420">
        <f t="shared" si="99"/>
        <v>0</v>
      </c>
      <c r="Q107" s="421" t="str">
        <f t="shared" si="94"/>
        <v>-</v>
      </c>
    </row>
    <row r="108" spans="1:22" ht="16.5" customHeight="1">
      <c r="A108" s="422" t="s">
        <v>106</v>
      </c>
      <c r="B108" s="2065">
        <f>B18*'Alış Fiyat'!B18</f>
        <v>0</v>
      </c>
      <c r="C108" s="2074">
        <f>C18*'Alış Fiyat'!C18</f>
        <v>0</v>
      </c>
      <c r="D108" s="425">
        <f>D18*'Alış Fiyat'!D18</f>
        <v>0</v>
      </c>
      <c r="E108" s="426">
        <f>E18*'Alış Fiyat'!E18</f>
        <v>0</v>
      </c>
      <c r="F108" s="426">
        <f>F18*'Alış Fiyat'!F18</f>
        <v>0</v>
      </c>
      <c r="G108" s="426">
        <f>G18*'Alış Fiyat'!G18</f>
        <v>0</v>
      </c>
      <c r="H108" s="426">
        <f>H18*'Alış Fiyat'!H18</f>
        <v>0</v>
      </c>
      <c r="I108" s="426">
        <f>I18*'Alış Fiyat'!I18</f>
        <v>0</v>
      </c>
      <c r="J108" s="426">
        <f>J18*'Alış Fiyat'!J18</f>
        <v>0</v>
      </c>
      <c r="K108" s="426">
        <f>K18*'Alış Fiyat'!K18</f>
        <v>0</v>
      </c>
      <c r="L108" s="426">
        <f>L18*'Alış Fiyat'!L18</f>
        <v>0</v>
      </c>
      <c r="M108" s="426">
        <f>M18*'Alış Fiyat'!M18</f>
        <v>0</v>
      </c>
      <c r="N108" s="426">
        <f>N18*'Alış Fiyat'!N18</f>
        <v>0</v>
      </c>
      <c r="O108" s="427">
        <f>O18*'Alış Fiyat'!O18</f>
        <v>0</v>
      </c>
      <c r="P108" s="428">
        <f>SUM(D108:O108)</f>
        <v>0</v>
      </c>
      <c r="Q108" s="429" t="str">
        <f t="shared" si="94"/>
        <v>-</v>
      </c>
    </row>
    <row r="109" spans="1:22" ht="16.5" customHeight="1" thickBot="1">
      <c r="A109" s="438" t="s">
        <v>105</v>
      </c>
      <c r="B109" s="2067"/>
      <c r="C109" s="2076">
        <f>C19*'Alış Fiyat'!C19</f>
        <v>0</v>
      </c>
      <c r="D109" s="441">
        <f>D19*'Alış Fiyat'!D19</f>
        <v>0</v>
      </c>
      <c r="E109" s="442">
        <f>E19*'Alış Fiyat'!E19</f>
        <v>0</v>
      </c>
      <c r="F109" s="442">
        <f>F19*'Alış Fiyat'!F19</f>
        <v>0</v>
      </c>
      <c r="G109" s="442">
        <f>G19*'Alış Fiyat'!G19</f>
        <v>0</v>
      </c>
      <c r="H109" s="442">
        <f>H19*'Alış Fiyat'!H19</f>
        <v>0</v>
      </c>
      <c r="I109" s="442">
        <f>I19*'Alış Fiyat'!I19</f>
        <v>0</v>
      </c>
      <c r="J109" s="442">
        <f>J19*'Alış Fiyat'!J19</f>
        <v>0</v>
      </c>
      <c r="K109" s="442">
        <f>K19*'Alış Fiyat'!K19</f>
        <v>0</v>
      </c>
      <c r="L109" s="442">
        <f>L19*'Alış Fiyat'!L19</f>
        <v>0</v>
      </c>
      <c r="M109" s="442">
        <f>M19*'Alış Fiyat'!M19</f>
        <v>0</v>
      </c>
      <c r="N109" s="442">
        <f>N19*'Alış Fiyat'!N19</f>
        <v>0</v>
      </c>
      <c r="O109" s="443">
        <f>O19*'Alış Fiyat'!O19</f>
        <v>0</v>
      </c>
      <c r="P109" s="444">
        <f>SUM(D109:O109)</f>
        <v>0</v>
      </c>
      <c r="Q109" s="445" t="str">
        <f t="shared" si="94"/>
        <v>-</v>
      </c>
    </row>
    <row r="110" spans="1:22" ht="16.5" customHeight="1" thickBot="1">
      <c r="B110" s="2069"/>
      <c r="C110" s="2070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2050">
        <f>B21*'Alış Fiyat'!B21</f>
        <v>0</v>
      </c>
      <c r="C111" s="2051">
        <f>C21*'Alış Fiyat'!C21</f>
        <v>0</v>
      </c>
      <c r="D111" s="365">
        <f>D21*'Alış Fiyat'!D21</f>
        <v>0</v>
      </c>
      <c r="E111" s="366">
        <f>E21*'Alış Fiyat'!E21</f>
        <v>0</v>
      </c>
      <c r="F111" s="366">
        <f>F21*'Alış Fiyat'!F21</f>
        <v>0</v>
      </c>
      <c r="G111" s="366">
        <f>G21*'Alış Fiyat'!G21</f>
        <v>0</v>
      </c>
      <c r="H111" s="366">
        <f>H21*'Alış Fiyat'!H21</f>
        <v>0</v>
      </c>
      <c r="I111" s="366">
        <f>I21*'Alış Fiyat'!I21</f>
        <v>0</v>
      </c>
      <c r="J111" s="366">
        <f>J21*'Alış Fiyat'!J21</f>
        <v>0</v>
      </c>
      <c r="K111" s="366">
        <f>K21*'Alış Fiyat'!K21</f>
        <v>0</v>
      </c>
      <c r="L111" s="366">
        <f>L21*'Alış Fiyat'!L21</f>
        <v>0</v>
      </c>
      <c r="M111" s="366">
        <f>M21*'Alış Fiyat'!M21</f>
        <v>0</v>
      </c>
      <c r="N111" s="366">
        <f>N21*'Alış Fiyat'!N21</f>
        <v>0</v>
      </c>
      <c r="O111" s="448">
        <f>O21*'Alış Fiyat'!O21</f>
        <v>0</v>
      </c>
      <c r="P111" s="363">
        <f>SUM(D111:O111)</f>
        <v>0</v>
      </c>
      <c r="Q111" s="367" t="str">
        <f>IF(P111=0,"-",P111/C111-1)</f>
        <v>-</v>
      </c>
    </row>
    <row r="112" spans="1:22" s="454" customFormat="1" ht="14.25" customHeight="1" thickBot="1">
      <c r="A112" s="451"/>
      <c r="B112" s="2077"/>
      <c r="C112" s="2077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2050">
        <f>+B94+B104+B107+B111</f>
        <v>0</v>
      </c>
      <c r="C113" s="2051">
        <f t="shared" ref="C113:P113" si="100">+C94+C104+C107+C111</f>
        <v>0</v>
      </c>
      <c r="D113" s="365">
        <f t="shared" si="100"/>
        <v>0</v>
      </c>
      <c r="E113" s="366">
        <f t="shared" si="100"/>
        <v>0</v>
      </c>
      <c r="F113" s="366">
        <f t="shared" si="100"/>
        <v>0</v>
      </c>
      <c r="G113" s="366">
        <f t="shared" si="100"/>
        <v>0</v>
      </c>
      <c r="H113" s="366">
        <f t="shared" si="100"/>
        <v>0</v>
      </c>
      <c r="I113" s="366">
        <f t="shared" si="100"/>
        <v>0</v>
      </c>
      <c r="J113" s="366">
        <f t="shared" si="100"/>
        <v>0</v>
      </c>
      <c r="K113" s="366">
        <f t="shared" si="100"/>
        <v>0</v>
      </c>
      <c r="L113" s="366">
        <f t="shared" si="100"/>
        <v>0</v>
      </c>
      <c r="M113" s="366">
        <f t="shared" si="100"/>
        <v>0</v>
      </c>
      <c r="N113" s="366">
        <f t="shared" si="100"/>
        <v>0</v>
      </c>
      <c r="O113" s="448">
        <f t="shared" si="100"/>
        <v>0</v>
      </c>
      <c r="P113" s="363">
        <f t="shared" si="100"/>
        <v>0</v>
      </c>
      <c r="Q113" s="367" t="str">
        <f>IF(P113=0,"-",P113/C113-1)</f>
        <v>-</v>
      </c>
    </row>
    <row r="114" spans="1:22" ht="15" thickBot="1">
      <c r="B114" s="2069"/>
      <c r="C114" s="2069"/>
    </row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937" t="s">
        <v>638</v>
      </c>
    </row>
    <row r="116" spans="1:22" ht="30.75" customHeight="1" thickBot="1">
      <c r="A116" s="356"/>
      <c r="B116" s="2033" t="s">
        <v>657</v>
      </c>
      <c r="C116" s="2033" t="s">
        <v>663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941" t="s">
        <v>619</v>
      </c>
    </row>
    <row r="117" spans="1:22" ht="22.5" customHeight="1" thickBot="1">
      <c r="A117" s="362" t="s">
        <v>28</v>
      </c>
      <c r="B117" s="2050">
        <f>B120+B121+B126</f>
        <v>0</v>
      </c>
      <c r="C117" s="2051">
        <f t="shared" ref="C117:P117" si="101">C120+C121+C126</f>
        <v>0</v>
      </c>
      <c r="D117" s="365">
        <f t="shared" si="101"/>
        <v>0</v>
      </c>
      <c r="E117" s="366">
        <f t="shared" si="101"/>
        <v>0</v>
      </c>
      <c r="F117" s="366">
        <f t="shared" si="101"/>
        <v>0</v>
      </c>
      <c r="G117" s="366">
        <f t="shared" si="101"/>
        <v>0</v>
      </c>
      <c r="H117" s="366">
        <f t="shared" si="101"/>
        <v>0</v>
      </c>
      <c r="I117" s="366">
        <f t="shared" si="101"/>
        <v>0</v>
      </c>
      <c r="J117" s="366">
        <f t="shared" si="101"/>
        <v>0</v>
      </c>
      <c r="K117" s="366">
        <f t="shared" si="101"/>
        <v>0</v>
      </c>
      <c r="L117" s="366">
        <f t="shared" si="101"/>
        <v>0</v>
      </c>
      <c r="M117" s="366">
        <f t="shared" si="101"/>
        <v>0</v>
      </c>
      <c r="N117" s="366">
        <f t="shared" si="101"/>
        <v>0</v>
      </c>
      <c r="O117" s="364">
        <f t="shared" si="101"/>
        <v>0</v>
      </c>
      <c r="P117" s="363">
        <f t="shared" si="101"/>
        <v>0</v>
      </c>
      <c r="Q117" s="367" t="str">
        <f t="shared" ref="Q117:Q132" si="102">IF(P117=0,"-",P117/C117-1)</f>
        <v>-</v>
      </c>
    </row>
    <row r="118" spans="1:22" ht="16.5" customHeight="1">
      <c r="A118" s="368" t="s">
        <v>15</v>
      </c>
      <c r="B118" s="2052">
        <f t="shared" ref="B118:O119" si="103">+B72-B95</f>
        <v>0</v>
      </c>
      <c r="C118" s="2053">
        <f t="shared" si="103"/>
        <v>0</v>
      </c>
      <c r="D118" s="371">
        <f t="shared" si="103"/>
        <v>0</v>
      </c>
      <c r="E118" s="372">
        <f t="shared" si="103"/>
        <v>0</v>
      </c>
      <c r="F118" s="372">
        <f t="shared" si="103"/>
        <v>0</v>
      </c>
      <c r="G118" s="372">
        <f t="shared" si="103"/>
        <v>0</v>
      </c>
      <c r="H118" s="373">
        <f t="shared" si="103"/>
        <v>0</v>
      </c>
      <c r="I118" s="373">
        <f t="shared" si="103"/>
        <v>0</v>
      </c>
      <c r="J118" s="373">
        <f t="shared" si="103"/>
        <v>0</v>
      </c>
      <c r="K118" s="373">
        <f t="shared" si="103"/>
        <v>0</v>
      </c>
      <c r="L118" s="373">
        <f t="shared" si="103"/>
        <v>0</v>
      </c>
      <c r="M118" s="373">
        <f t="shared" si="103"/>
        <v>0</v>
      </c>
      <c r="N118" s="373">
        <f t="shared" si="103"/>
        <v>0</v>
      </c>
      <c r="O118" s="374">
        <f t="shared" si="103"/>
        <v>0</v>
      </c>
      <c r="P118" s="369">
        <f t="shared" ref="P118:P125" si="104">SUM(D118:O118)</f>
        <v>0</v>
      </c>
      <c r="Q118" s="375" t="str">
        <f t="shared" si="102"/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2054">
        <f t="shared" si="103"/>
        <v>0</v>
      </c>
      <c r="C119" s="2055">
        <f t="shared" si="103"/>
        <v>0</v>
      </c>
      <c r="D119" s="380">
        <f t="shared" si="103"/>
        <v>0</v>
      </c>
      <c r="E119" s="381">
        <f t="shared" si="103"/>
        <v>0</v>
      </c>
      <c r="F119" s="381">
        <f t="shared" si="103"/>
        <v>0</v>
      </c>
      <c r="G119" s="381">
        <f t="shared" si="103"/>
        <v>0</v>
      </c>
      <c r="H119" s="382">
        <f t="shared" si="103"/>
        <v>0</v>
      </c>
      <c r="I119" s="382">
        <f t="shared" si="103"/>
        <v>0</v>
      </c>
      <c r="J119" s="382">
        <f t="shared" si="103"/>
        <v>0</v>
      </c>
      <c r="K119" s="382">
        <f t="shared" si="103"/>
        <v>0</v>
      </c>
      <c r="L119" s="382">
        <f t="shared" si="103"/>
        <v>0</v>
      </c>
      <c r="M119" s="382">
        <f t="shared" si="103"/>
        <v>0</v>
      </c>
      <c r="N119" s="382">
        <f t="shared" si="103"/>
        <v>0</v>
      </c>
      <c r="O119" s="383">
        <f t="shared" si="103"/>
        <v>0</v>
      </c>
      <c r="P119" s="378">
        <f t="shared" si="104"/>
        <v>0</v>
      </c>
      <c r="Q119" s="384" t="str">
        <f t="shared" si="102"/>
        <v>-</v>
      </c>
    </row>
    <row r="120" spans="1:22" ht="15" customHeight="1">
      <c r="A120" s="385" t="s">
        <v>27</v>
      </c>
      <c r="B120" s="2056">
        <f>+B118+B119</f>
        <v>0</v>
      </c>
      <c r="C120" s="2057">
        <f>+C119+C118</f>
        <v>0</v>
      </c>
      <c r="D120" s="388">
        <f t="shared" ref="D120:O120" si="105">SUM(D118:D119)</f>
        <v>0</v>
      </c>
      <c r="E120" s="389">
        <f t="shared" si="105"/>
        <v>0</v>
      </c>
      <c r="F120" s="389">
        <f t="shared" si="105"/>
        <v>0</v>
      </c>
      <c r="G120" s="389">
        <f t="shared" si="105"/>
        <v>0</v>
      </c>
      <c r="H120" s="389">
        <f t="shared" si="105"/>
        <v>0</v>
      </c>
      <c r="I120" s="389">
        <f t="shared" si="105"/>
        <v>0</v>
      </c>
      <c r="J120" s="389">
        <f t="shared" si="105"/>
        <v>0</v>
      </c>
      <c r="K120" s="389">
        <f t="shared" si="105"/>
        <v>0</v>
      </c>
      <c r="L120" s="389">
        <f t="shared" si="105"/>
        <v>0</v>
      </c>
      <c r="M120" s="389">
        <f t="shared" si="105"/>
        <v>0</v>
      </c>
      <c r="N120" s="389">
        <f t="shared" si="105"/>
        <v>0</v>
      </c>
      <c r="O120" s="390">
        <f t="shared" si="105"/>
        <v>0</v>
      </c>
      <c r="P120" s="391">
        <f>SUM(D120:O120)</f>
        <v>0</v>
      </c>
      <c r="Q120" s="449" t="str">
        <f t="shared" si="102"/>
        <v>-</v>
      </c>
    </row>
    <row r="121" spans="1:22" ht="16.5" customHeight="1">
      <c r="A121" s="393" t="s">
        <v>17</v>
      </c>
      <c r="B121" s="2061">
        <f t="shared" ref="B121:O125" si="106">+B75-B98</f>
        <v>0</v>
      </c>
      <c r="C121" s="2059">
        <f t="shared" si="106"/>
        <v>0</v>
      </c>
      <c r="D121" s="396">
        <f t="shared" si="106"/>
        <v>0</v>
      </c>
      <c r="E121" s="397">
        <f t="shared" si="106"/>
        <v>0</v>
      </c>
      <c r="F121" s="397">
        <f t="shared" si="106"/>
        <v>0</v>
      </c>
      <c r="G121" s="397">
        <f t="shared" si="106"/>
        <v>0</v>
      </c>
      <c r="H121" s="397">
        <f t="shared" si="106"/>
        <v>0</v>
      </c>
      <c r="I121" s="397">
        <f t="shared" si="106"/>
        <v>0</v>
      </c>
      <c r="J121" s="397">
        <f t="shared" si="106"/>
        <v>0</v>
      </c>
      <c r="K121" s="397">
        <f t="shared" si="106"/>
        <v>0</v>
      </c>
      <c r="L121" s="397">
        <f t="shared" si="106"/>
        <v>0</v>
      </c>
      <c r="M121" s="397">
        <f t="shared" si="106"/>
        <v>0</v>
      </c>
      <c r="N121" s="397">
        <f t="shared" si="106"/>
        <v>0</v>
      </c>
      <c r="O121" s="398">
        <f t="shared" si="106"/>
        <v>0</v>
      </c>
      <c r="P121" s="399">
        <f t="shared" si="104"/>
        <v>0</v>
      </c>
      <c r="Q121" s="384" t="str">
        <f t="shared" si="102"/>
        <v>-</v>
      </c>
    </row>
    <row r="122" spans="1:22" ht="16.5" customHeight="1">
      <c r="A122" s="400" t="s">
        <v>81</v>
      </c>
      <c r="B122" s="2056">
        <f t="shared" si="106"/>
        <v>0</v>
      </c>
      <c r="C122" s="2057">
        <f t="shared" si="106"/>
        <v>0</v>
      </c>
      <c r="D122" s="402">
        <f t="shared" si="106"/>
        <v>0</v>
      </c>
      <c r="E122" s="403">
        <f t="shared" si="106"/>
        <v>0</v>
      </c>
      <c r="F122" s="403">
        <f t="shared" si="106"/>
        <v>0</v>
      </c>
      <c r="G122" s="403">
        <f t="shared" si="106"/>
        <v>0</v>
      </c>
      <c r="H122" s="403">
        <f t="shared" si="106"/>
        <v>0</v>
      </c>
      <c r="I122" s="403">
        <f t="shared" si="106"/>
        <v>0</v>
      </c>
      <c r="J122" s="403">
        <f t="shared" si="106"/>
        <v>0</v>
      </c>
      <c r="K122" s="403">
        <f t="shared" si="106"/>
        <v>0</v>
      </c>
      <c r="L122" s="403">
        <f t="shared" si="106"/>
        <v>0</v>
      </c>
      <c r="M122" s="403">
        <f t="shared" si="106"/>
        <v>0</v>
      </c>
      <c r="N122" s="403">
        <f t="shared" si="106"/>
        <v>0</v>
      </c>
      <c r="O122" s="404">
        <f t="shared" si="106"/>
        <v>0</v>
      </c>
      <c r="P122" s="386">
        <f t="shared" si="104"/>
        <v>0</v>
      </c>
      <c r="Q122" s="405" t="str">
        <f t="shared" si="102"/>
        <v>-</v>
      </c>
    </row>
    <row r="123" spans="1:22" ht="16.5" hidden="1" customHeight="1">
      <c r="A123" s="406" t="s">
        <v>82</v>
      </c>
      <c r="B123" s="2061">
        <f t="shared" si="106"/>
        <v>0</v>
      </c>
      <c r="C123" s="2059">
        <f t="shared" si="106"/>
        <v>0</v>
      </c>
      <c r="D123" s="407">
        <f t="shared" si="106"/>
        <v>0</v>
      </c>
      <c r="E123" s="382">
        <f t="shared" si="106"/>
        <v>0</v>
      </c>
      <c r="F123" s="382">
        <f t="shared" si="106"/>
        <v>0</v>
      </c>
      <c r="G123" s="382">
        <f t="shared" si="106"/>
        <v>0</v>
      </c>
      <c r="H123" s="382">
        <f t="shared" si="106"/>
        <v>0</v>
      </c>
      <c r="I123" s="382">
        <f t="shared" si="106"/>
        <v>0</v>
      </c>
      <c r="J123" s="382">
        <f t="shared" si="106"/>
        <v>0</v>
      </c>
      <c r="K123" s="382">
        <f t="shared" si="106"/>
        <v>0</v>
      </c>
      <c r="L123" s="382">
        <f t="shared" si="106"/>
        <v>0</v>
      </c>
      <c r="M123" s="382">
        <f t="shared" si="106"/>
        <v>0</v>
      </c>
      <c r="N123" s="382">
        <f t="shared" si="106"/>
        <v>0</v>
      </c>
      <c r="O123" s="383">
        <f t="shared" si="106"/>
        <v>0</v>
      </c>
      <c r="P123" s="399">
        <f t="shared" si="104"/>
        <v>0</v>
      </c>
      <c r="Q123" s="384" t="str">
        <f t="shared" si="102"/>
        <v>-</v>
      </c>
    </row>
    <row r="124" spans="1:22" ht="16.5" customHeight="1">
      <c r="A124" s="400" t="s">
        <v>83</v>
      </c>
      <c r="B124" s="2062">
        <f t="shared" si="106"/>
        <v>0</v>
      </c>
      <c r="C124" s="2071">
        <f t="shared" si="106"/>
        <v>0</v>
      </c>
      <c r="D124" s="402">
        <f t="shared" si="106"/>
        <v>0</v>
      </c>
      <c r="E124" s="403">
        <f t="shared" si="106"/>
        <v>0</v>
      </c>
      <c r="F124" s="403">
        <f t="shared" si="106"/>
        <v>0</v>
      </c>
      <c r="G124" s="403">
        <f t="shared" si="106"/>
        <v>0</v>
      </c>
      <c r="H124" s="403">
        <f t="shared" si="106"/>
        <v>0</v>
      </c>
      <c r="I124" s="403">
        <f t="shared" si="106"/>
        <v>0</v>
      </c>
      <c r="J124" s="403">
        <f t="shared" si="106"/>
        <v>0</v>
      </c>
      <c r="K124" s="403">
        <f t="shared" si="106"/>
        <v>0</v>
      </c>
      <c r="L124" s="403">
        <f t="shared" si="106"/>
        <v>0</v>
      </c>
      <c r="M124" s="403">
        <f t="shared" si="106"/>
        <v>0</v>
      </c>
      <c r="N124" s="403">
        <f t="shared" si="106"/>
        <v>0</v>
      </c>
      <c r="O124" s="404">
        <f t="shared" si="106"/>
        <v>0</v>
      </c>
      <c r="P124" s="386">
        <f t="shared" si="104"/>
        <v>0</v>
      </c>
      <c r="Q124" s="405" t="str">
        <f t="shared" si="102"/>
        <v>-</v>
      </c>
    </row>
    <row r="125" spans="1:22" ht="16.5" hidden="1" customHeight="1">
      <c r="A125" s="406" t="s">
        <v>84</v>
      </c>
      <c r="B125" s="2054">
        <f t="shared" si="106"/>
        <v>0</v>
      </c>
      <c r="C125" s="2055">
        <f t="shared" si="106"/>
        <v>0</v>
      </c>
      <c r="D125" s="407">
        <f t="shared" si="106"/>
        <v>0</v>
      </c>
      <c r="E125" s="382">
        <f t="shared" si="106"/>
        <v>0</v>
      </c>
      <c r="F125" s="382">
        <f t="shared" si="106"/>
        <v>0</v>
      </c>
      <c r="G125" s="382">
        <f t="shared" si="106"/>
        <v>0</v>
      </c>
      <c r="H125" s="382">
        <f t="shared" si="106"/>
        <v>0</v>
      </c>
      <c r="I125" s="381">
        <f t="shared" si="106"/>
        <v>0</v>
      </c>
      <c r="J125" s="381">
        <f t="shared" si="106"/>
        <v>0</v>
      </c>
      <c r="K125" s="382">
        <f t="shared" si="106"/>
        <v>0</v>
      </c>
      <c r="L125" s="382">
        <f t="shared" si="106"/>
        <v>0</v>
      </c>
      <c r="M125" s="382">
        <f t="shared" si="106"/>
        <v>0</v>
      </c>
      <c r="N125" s="382">
        <f t="shared" si="106"/>
        <v>0</v>
      </c>
      <c r="O125" s="383">
        <f t="shared" si="106"/>
        <v>0</v>
      </c>
      <c r="P125" s="399">
        <f t="shared" si="104"/>
        <v>0</v>
      </c>
      <c r="Q125" s="384" t="str">
        <f t="shared" si="102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2063">
        <f>SUM(B122:B125)</f>
        <v>0</v>
      </c>
      <c r="C126" s="2064">
        <f>SUM(C122:C125)</f>
        <v>0</v>
      </c>
      <c r="D126" s="413">
        <f>SUM(D122:D125)</f>
        <v>0</v>
      </c>
      <c r="E126" s="414">
        <f t="shared" ref="E126:P126" si="107">SUM(E122:E125)</f>
        <v>0</v>
      </c>
      <c r="F126" s="414">
        <f t="shared" si="107"/>
        <v>0</v>
      </c>
      <c r="G126" s="414">
        <f t="shared" si="107"/>
        <v>0</v>
      </c>
      <c r="H126" s="414">
        <f t="shared" si="107"/>
        <v>0</v>
      </c>
      <c r="I126" s="414">
        <f t="shared" si="107"/>
        <v>0</v>
      </c>
      <c r="J126" s="414">
        <f t="shared" si="107"/>
        <v>0</v>
      </c>
      <c r="K126" s="414">
        <f t="shared" si="107"/>
        <v>0</v>
      </c>
      <c r="L126" s="414">
        <f t="shared" si="107"/>
        <v>0</v>
      </c>
      <c r="M126" s="414">
        <f t="shared" si="107"/>
        <v>0</v>
      </c>
      <c r="N126" s="414">
        <f t="shared" si="107"/>
        <v>0</v>
      </c>
      <c r="O126" s="412">
        <f t="shared" si="107"/>
        <v>0</v>
      </c>
      <c r="P126" s="411">
        <f t="shared" si="107"/>
        <v>0</v>
      </c>
      <c r="Q126" s="415" t="str">
        <f t="shared" si="102"/>
        <v>-</v>
      </c>
    </row>
    <row r="127" spans="1:22" ht="22.5" customHeight="1" thickBot="1">
      <c r="A127" s="362" t="s">
        <v>29</v>
      </c>
      <c r="B127" s="2072">
        <f t="shared" ref="B127:O129" si="108">+B81-B104</f>
        <v>0</v>
      </c>
      <c r="C127" s="2073">
        <f t="shared" si="108"/>
        <v>0</v>
      </c>
      <c r="D127" s="417">
        <f t="shared" si="108"/>
        <v>0</v>
      </c>
      <c r="E127" s="418">
        <f t="shared" si="108"/>
        <v>0</v>
      </c>
      <c r="F127" s="418">
        <f t="shared" si="108"/>
        <v>0</v>
      </c>
      <c r="G127" s="418">
        <f t="shared" si="108"/>
        <v>0</v>
      </c>
      <c r="H127" s="418">
        <f t="shared" si="108"/>
        <v>0</v>
      </c>
      <c r="I127" s="418">
        <f t="shared" si="108"/>
        <v>0</v>
      </c>
      <c r="J127" s="418">
        <f t="shared" si="108"/>
        <v>0</v>
      </c>
      <c r="K127" s="418">
        <f t="shared" si="108"/>
        <v>0</v>
      </c>
      <c r="L127" s="418">
        <f t="shared" si="108"/>
        <v>0</v>
      </c>
      <c r="M127" s="418">
        <f t="shared" si="108"/>
        <v>0</v>
      </c>
      <c r="N127" s="418">
        <f t="shared" si="108"/>
        <v>0</v>
      </c>
      <c r="O127" s="419">
        <f t="shared" si="108"/>
        <v>0</v>
      </c>
      <c r="P127" s="420">
        <f>SUM(P128:P129)</f>
        <v>0</v>
      </c>
      <c r="Q127" s="421" t="str">
        <f t="shared" si="102"/>
        <v>-</v>
      </c>
    </row>
    <row r="128" spans="1:22" ht="16.5" customHeight="1">
      <c r="A128" s="422" t="s">
        <v>19</v>
      </c>
      <c r="B128" s="2065">
        <f t="shared" si="108"/>
        <v>0</v>
      </c>
      <c r="C128" s="2074">
        <f t="shared" si="108"/>
        <v>0</v>
      </c>
      <c r="D128" s="425">
        <f t="shared" si="108"/>
        <v>0</v>
      </c>
      <c r="E128" s="426">
        <f t="shared" si="108"/>
        <v>0</v>
      </c>
      <c r="F128" s="426">
        <f t="shared" si="108"/>
        <v>0</v>
      </c>
      <c r="G128" s="426">
        <f t="shared" si="108"/>
        <v>0</v>
      </c>
      <c r="H128" s="426">
        <f t="shared" si="108"/>
        <v>0</v>
      </c>
      <c r="I128" s="426">
        <f t="shared" si="108"/>
        <v>0</v>
      </c>
      <c r="J128" s="426">
        <f t="shared" si="108"/>
        <v>0</v>
      </c>
      <c r="K128" s="426">
        <f t="shared" si="108"/>
        <v>0</v>
      </c>
      <c r="L128" s="426">
        <f t="shared" si="108"/>
        <v>0</v>
      </c>
      <c r="M128" s="426">
        <f t="shared" si="108"/>
        <v>0</v>
      </c>
      <c r="N128" s="426">
        <f t="shared" si="108"/>
        <v>0</v>
      </c>
      <c r="O128" s="427">
        <f t="shared" si="108"/>
        <v>0</v>
      </c>
      <c r="P128" s="428">
        <f>SUM(D128:O128)</f>
        <v>0</v>
      </c>
      <c r="Q128" s="429" t="str">
        <f t="shared" si="102"/>
        <v>-</v>
      </c>
    </row>
    <row r="129" spans="1:17" ht="16.5" customHeight="1" thickBot="1">
      <c r="A129" s="430" t="s">
        <v>20</v>
      </c>
      <c r="B129" s="2066">
        <f t="shared" si="108"/>
        <v>0</v>
      </c>
      <c r="C129" s="2075">
        <f t="shared" si="108"/>
        <v>0</v>
      </c>
      <c r="D129" s="433">
        <f t="shared" si="108"/>
        <v>0</v>
      </c>
      <c r="E129" s="434">
        <f t="shared" si="108"/>
        <v>0</v>
      </c>
      <c r="F129" s="434">
        <f t="shared" si="108"/>
        <v>0</v>
      </c>
      <c r="G129" s="434">
        <f t="shared" si="108"/>
        <v>0</v>
      </c>
      <c r="H129" s="434">
        <f t="shared" si="108"/>
        <v>0</v>
      </c>
      <c r="I129" s="434">
        <f t="shared" si="108"/>
        <v>0</v>
      </c>
      <c r="J129" s="434">
        <f t="shared" si="108"/>
        <v>0</v>
      </c>
      <c r="K129" s="434">
        <f t="shared" si="108"/>
        <v>0</v>
      </c>
      <c r="L129" s="434">
        <f t="shared" si="108"/>
        <v>0</v>
      </c>
      <c r="M129" s="434">
        <f t="shared" si="108"/>
        <v>0</v>
      </c>
      <c r="N129" s="434">
        <f t="shared" si="108"/>
        <v>0</v>
      </c>
      <c r="O129" s="435">
        <f t="shared" si="108"/>
        <v>0</v>
      </c>
      <c r="P129" s="436">
        <f>SUM(D129:O129)</f>
        <v>0</v>
      </c>
      <c r="Q129" s="437" t="str">
        <f t="shared" si="102"/>
        <v>-</v>
      </c>
    </row>
    <row r="130" spans="1:17" ht="22.5" customHeight="1" thickBot="1">
      <c r="A130" s="362" t="s">
        <v>30</v>
      </c>
      <c r="B130" s="2050">
        <f t="shared" ref="B130:P130" si="109">SUM(B131:B132)</f>
        <v>0</v>
      </c>
      <c r="C130" s="2073">
        <f t="shared" si="109"/>
        <v>0</v>
      </c>
      <c r="D130" s="417">
        <f t="shared" si="109"/>
        <v>0</v>
      </c>
      <c r="E130" s="418">
        <f t="shared" si="109"/>
        <v>0</v>
      </c>
      <c r="F130" s="418">
        <f t="shared" si="109"/>
        <v>0</v>
      </c>
      <c r="G130" s="418">
        <f t="shared" si="109"/>
        <v>0</v>
      </c>
      <c r="H130" s="418">
        <f t="shared" si="109"/>
        <v>0</v>
      </c>
      <c r="I130" s="418">
        <f t="shared" si="109"/>
        <v>0</v>
      </c>
      <c r="J130" s="418">
        <f t="shared" si="109"/>
        <v>0</v>
      </c>
      <c r="K130" s="418">
        <f t="shared" si="109"/>
        <v>0</v>
      </c>
      <c r="L130" s="418">
        <f t="shared" si="109"/>
        <v>0</v>
      </c>
      <c r="M130" s="418">
        <f t="shared" si="109"/>
        <v>0</v>
      </c>
      <c r="N130" s="418">
        <f t="shared" si="109"/>
        <v>0</v>
      </c>
      <c r="O130" s="419">
        <f t="shared" si="109"/>
        <v>0</v>
      </c>
      <c r="P130" s="420">
        <f t="shared" si="109"/>
        <v>0</v>
      </c>
      <c r="Q130" s="421" t="str">
        <f t="shared" si="102"/>
        <v>-</v>
      </c>
    </row>
    <row r="131" spans="1:17" ht="16.5" customHeight="1">
      <c r="A131" s="422" t="s">
        <v>106</v>
      </c>
      <c r="B131" s="2065">
        <f t="shared" ref="B131:O132" si="110">+B85-B108</f>
        <v>0</v>
      </c>
      <c r="C131" s="2074">
        <f t="shared" si="110"/>
        <v>0</v>
      </c>
      <c r="D131" s="425">
        <f t="shared" si="110"/>
        <v>0</v>
      </c>
      <c r="E131" s="426">
        <f t="shared" si="110"/>
        <v>0</v>
      </c>
      <c r="F131" s="426">
        <f t="shared" si="110"/>
        <v>0</v>
      </c>
      <c r="G131" s="426">
        <f t="shared" si="110"/>
        <v>0</v>
      </c>
      <c r="H131" s="426">
        <f t="shared" si="110"/>
        <v>0</v>
      </c>
      <c r="I131" s="426">
        <f t="shared" si="110"/>
        <v>0</v>
      </c>
      <c r="J131" s="426">
        <f t="shared" si="110"/>
        <v>0</v>
      </c>
      <c r="K131" s="426">
        <f t="shared" si="110"/>
        <v>0</v>
      </c>
      <c r="L131" s="426">
        <f t="shared" si="110"/>
        <v>0</v>
      </c>
      <c r="M131" s="426">
        <f t="shared" si="110"/>
        <v>0</v>
      </c>
      <c r="N131" s="426">
        <f t="shared" si="110"/>
        <v>0</v>
      </c>
      <c r="O131" s="427">
        <f t="shared" si="110"/>
        <v>0</v>
      </c>
      <c r="P131" s="428">
        <f>SUM(D131:O131)</f>
        <v>0</v>
      </c>
      <c r="Q131" s="429" t="str">
        <f t="shared" si="102"/>
        <v>-</v>
      </c>
    </row>
    <row r="132" spans="1:17" ht="16.5" customHeight="1" thickBot="1">
      <c r="A132" s="438" t="s">
        <v>105</v>
      </c>
      <c r="B132" s="2067">
        <f t="shared" si="110"/>
        <v>0</v>
      </c>
      <c r="C132" s="2076">
        <f t="shared" si="110"/>
        <v>0</v>
      </c>
      <c r="D132" s="441">
        <f t="shared" si="110"/>
        <v>0</v>
      </c>
      <c r="E132" s="442">
        <f t="shared" si="110"/>
        <v>0</v>
      </c>
      <c r="F132" s="442">
        <f t="shared" si="110"/>
        <v>0</v>
      </c>
      <c r="G132" s="442">
        <f t="shared" si="110"/>
        <v>0</v>
      </c>
      <c r="H132" s="442">
        <f t="shared" si="110"/>
        <v>0</v>
      </c>
      <c r="I132" s="442">
        <f t="shared" si="110"/>
        <v>0</v>
      </c>
      <c r="J132" s="442">
        <f t="shared" si="110"/>
        <v>0</v>
      </c>
      <c r="K132" s="442">
        <f t="shared" si="110"/>
        <v>0</v>
      </c>
      <c r="L132" s="442">
        <f t="shared" si="110"/>
        <v>0</v>
      </c>
      <c r="M132" s="442">
        <f t="shared" si="110"/>
        <v>0</v>
      </c>
      <c r="N132" s="442">
        <f t="shared" si="110"/>
        <v>0</v>
      </c>
      <c r="O132" s="443">
        <f t="shared" si="110"/>
        <v>0</v>
      </c>
      <c r="P132" s="444">
        <f>SUM(D132:O132)</f>
        <v>0</v>
      </c>
      <c r="Q132" s="445" t="str">
        <f t="shared" si="102"/>
        <v>-</v>
      </c>
    </row>
    <row r="133" spans="1:17" ht="16.5" customHeight="1" thickBot="1">
      <c r="B133" s="2069"/>
      <c r="C133" s="2070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2050">
        <f t="shared" ref="B134:O134" si="111">+B88-B111</f>
        <v>0</v>
      </c>
      <c r="C134" s="2051">
        <f t="shared" si="111"/>
        <v>0</v>
      </c>
      <c r="D134" s="365">
        <f t="shared" si="111"/>
        <v>0</v>
      </c>
      <c r="E134" s="366">
        <f t="shared" si="111"/>
        <v>0</v>
      </c>
      <c r="F134" s="366">
        <f t="shared" si="111"/>
        <v>0</v>
      </c>
      <c r="G134" s="366">
        <f t="shared" si="111"/>
        <v>0</v>
      </c>
      <c r="H134" s="366">
        <f t="shared" si="111"/>
        <v>0</v>
      </c>
      <c r="I134" s="366">
        <f t="shared" si="111"/>
        <v>0</v>
      </c>
      <c r="J134" s="366">
        <f t="shared" si="111"/>
        <v>0</v>
      </c>
      <c r="K134" s="366">
        <f t="shared" si="111"/>
        <v>0</v>
      </c>
      <c r="L134" s="366">
        <f t="shared" si="111"/>
        <v>0</v>
      </c>
      <c r="M134" s="366">
        <f t="shared" si="111"/>
        <v>0</v>
      </c>
      <c r="N134" s="366">
        <f t="shared" si="111"/>
        <v>0</v>
      </c>
      <c r="O134" s="448">
        <f t="shared" si="111"/>
        <v>0</v>
      </c>
      <c r="P134" s="363">
        <f>SUM(D134:O134)</f>
        <v>0</v>
      </c>
      <c r="Q134" s="367" t="str">
        <f>IF(P134=0,"-",P134/C134-1)</f>
        <v>-</v>
      </c>
    </row>
    <row r="135" spans="1:17" s="454" customFormat="1" ht="14.25" customHeight="1" thickBot="1">
      <c r="A135" s="451"/>
      <c r="B135" s="2077"/>
      <c r="C135" s="2077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2050">
        <f>+B117+B127+B130+B134</f>
        <v>0</v>
      </c>
      <c r="C136" s="2051">
        <f t="shared" ref="C136:O136" si="112">+C117+C127+C130+C134</f>
        <v>0</v>
      </c>
      <c r="D136" s="365">
        <f t="shared" si="112"/>
        <v>0</v>
      </c>
      <c r="E136" s="366">
        <f t="shared" si="112"/>
        <v>0</v>
      </c>
      <c r="F136" s="366">
        <f t="shared" si="112"/>
        <v>0</v>
      </c>
      <c r="G136" s="366">
        <f t="shared" si="112"/>
        <v>0</v>
      </c>
      <c r="H136" s="366">
        <f t="shared" si="112"/>
        <v>0</v>
      </c>
      <c r="I136" s="366">
        <f t="shared" si="112"/>
        <v>0</v>
      </c>
      <c r="J136" s="366">
        <f t="shared" si="112"/>
        <v>0</v>
      </c>
      <c r="K136" s="366">
        <f t="shared" si="112"/>
        <v>0</v>
      </c>
      <c r="L136" s="366">
        <f t="shared" si="112"/>
        <v>0</v>
      </c>
      <c r="M136" s="366">
        <f t="shared" si="112"/>
        <v>0</v>
      </c>
      <c r="N136" s="366">
        <f t="shared" si="112"/>
        <v>0</v>
      </c>
      <c r="O136" s="364">
        <f t="shared" si="112"/>
        <v>0</v>
      </c>
      <c r="P136" s="363">
        <f>+P117+P127+P130+P134</f>
        <v>0</v>
      </c>
      <c r="Q136" s="367" t="str">
        <f>IF(P136=0,"-",P136/C136-1)</f>
        <v>-</v>
      </c>
    </row>
    <row r="137" spans="1:17" ht="15" thickBot="1">
      <c r="B137" s="2069"/>
      <c r="C137" s="2069"/>
    </row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937" t="s">
        <v>638</v>
      </c>
    </row>
    <row r="139" spans="1:17" ht="30.75" customHeight="1" thickBot="1">
      <c r="A139" s="356"/>
      <c r="B139" s="2033" t="s">
        <v>657</v>
      </c>
      <c r="C139" s="2033" t="s">
        <v>663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941" t="s">
        <v>619</v>
      </c>
    </row>
    <row r="140" spans="1:17" ht="22.5" customHeight="1" thickBot="1">
      <c r="A140" s="362" t="s">
        <v>37</v>
      </c>
      <c r="B140" s="2050">
        <f t="shared" ref="B140:P140" si="113">SUM(B141:B173)</f>
        <v>0</v>
      </c>
      <c r="C140" s="2051">
        <f t="shared" si="113"/>
        <v>0</v>
      </c>
      <c r="D140" s="417">
        <f t="shared" si="113"/>
        <v>0</v>
      </c>
      <c r="E140" s="418">
        <f t="shared" si="113"/>
        <v>0</v>
      </c>
      <c r="F140" s="418">
        <f t="shared" si="113"/>
        <v>0</v>
      </c>
      <c r="G140" s="418">
        <f t="shared" si="113"/>
        <v>0</v>
      </c>
      <c r="H140" s="418">
        <f t="shared" si="113"/>
        <v>0</v>
      </c>
      <c r="I140" s="418">
        <f t="shared" si="113"/>
        <v>0</v>
      </c>
      <c r="J140" s="418">
        <f t="shared" si="113"/>
        <v>0</v>
      </c>
      <c r="K140" s="418">
        <f t="shared" si="113"/>
        <v>0</v>
      </c>
      <c r="L140" s="418">
        <f t="shared" si="113"/>
        <v>0</v>
      </c>
      <c r="M140" s="418">
        <f t="shared" si="113"/>
        <v>0</v>
      </c>
      <c r="N140" s="418">
        <f t="shared" si="113"/>
        <v>0</v>
      </c>
      <c r="O140" s="416">
        <f t="shared" si="113"/>
        <v>0</v>
      </c>
      <c r="P140" s="420">
        <f t="shared" si="113"/>
        <v>0</v>
      </c>
      <c r="Q140" s="421"/>
    </row>
    <row r="141" spans="1:17">
      <c r="A141" s="468" t="s">
        <v>38</v>
      </c>
      <c r="B141" s="2078"/>
      <c r="C141" s="2078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474">
        <f t="shared" ref="P141:P173" si="114">SUM(D141:O141)</f>
        <v>0</v>
      </c>
      <c r="Q141" s="475" t="str">
        <f>IF(P141=0,"-",P141/C141-1)</f>
        <v>-</v>
      </c>
    </row>
    <row r="142" spans="1:17">
      <c r="A142" s="476" t="s">
        <v>39</v>
      </c>
      <c r="B142" s="2079"/>
      <c r="C142" s="2079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394">
        <f t="shared" si="114"/>
        <v>0</v>
      </c>
      <c r="Q142" s="482" t="str">
        <f t="shared" ref="Q142:Q173" si="115">IF(P142=0,"-",P142/C142-1)</f>
        <v>-</v>
      </c>
    </row>
    <row r="143" spans="1:17">
      <c r="A143" s="483" t="s">
        <v>67</v>
      </c>
      <c r="B143" s="2080"/>
      <c r="C143" s="2080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391">
        <f t="shared" si="114"/>
        <v>0</v>
      </c>
      <c r="Q143" s="489" t="str">
        <f t="shared" si="115"/>
        <v>-</v>
      </c>
    </row>
    <row r="144" spans="1:17">
      <c r="A144" s="476" t="s">
        <v>40</v>
      </c>
      <c r="B144" s="2079"/>
      <c r="C144" s="2079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394">
        <f t="shared" si="114"/>
        <v>0</v>
      </c>
      <c r="Q144" s="482" t="str">
        <f t="shared" si="115"/>
        <v>-</v>
      </c>
    </row>
    <row r="145" spans="1:17">
      <c r="A145" s="483" t="s">
        <v>41</v>
      </c>
      <c r="B145" s="2080"/>
      <c r="C145" s="2080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391">
        <f t="shared" si="114"/>
        <v>0</v>
      </c>
      <c r="Q145" s="489" t="str">
        <f t="shared" si="115"/>
        <v>-</v>
      </c>
    </row>
    <row r="146" spans="1:17">
      <c r="A146" s="476" t="s">
        <v>42</v>
      </c>
      <c r="B146" s="2079"/>
      <c r="C146" s="2079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394">
        <f t="shared" si="114"/>
        <v>0</v>
      </c>
      <c r="Q146" s="482" t="str">
        <f t="shared" si="115"/>
        <v>-</v>
      </c>
    </row>
    <row r="147" spans="1:17">
      <c r="A147" s="483" t="s">
        <v>43</v>
      </c>
      <c r="B147" s="2080"/>
      <c r="C147" s="2080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391">
        <f t="shared" si="114"/>
        <v>0</v>
      </c>
      <c r="Q147" s="489" t="str">
        <f t="shared" si="115"/>
        <v>-</v>
      </c>
    </row>
    <row r="148" spans="1:17">
      <c r="A148" s="476" t="s">
        <v>44</v>
      </c>
      <c r="B148" s="2079"/>
      <c r="C148" s="2079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394">
        <f t="shared" si="114"/>
        <v>0</v>
      </c>
      <c r="Q148" s="482" t="str">
        <f t="shared" si="115"/>
        <v>-</v>
      </c>
    </row>
    <row r="149" spans="1:17">
      <c r="A149" s="483" t="s">
        <v>45</v>
      </c>
      <c r="B149" s="2080"/>
      <c r="C149" s="2080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391">
        <f t="shared" si="114"/>
        <v>0</v>
      </c>
      <c r="Q149" s="489" t="str">
        <f t="shared" si="115"/>
        <v>-</v>
      </c>
    </row>
    <row r="150" spans="1:17">
      <c r="A150" s="476" t="s">
        <v>46</v>
      </c>
      <c r="B150" s="2079"/>
      <c r="C150" s="2079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394">
        <f t="shared" si="114"/>
        <v>0</v>
      </c>
      <c r="Q150" s="482" t="str">
        <f t="shared" si="115"/>
        <v>-</v>
      </c>
    </row>
    <row r="151" spans="1:17" ht="14.25" customHeight="1">
      <c r="A151" s="483" t="s">
        <v>65</v>
      </c>
      <c r="B151" s="2080"/>
      <c r="C151" s="2080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391">
        <f t="shared" si="114"/>
        <v>0</v>
      </c>
      <c r="Q151" s="489" t="str">
        <f t="shared" si="115"/>
        <v>-</v>
      </c>
    </row>
    <row r="152" spans="1:17">
      <c r="A152" s="476" t="s">
        <v>78</v>
      </c>
      <c r="B152" s="2079"/>
      <c r="C152" s="2079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394">
        <f t="shared" si="114"/>
        <v>0</v>
      </c>
      <c r="Q152" s="482" t="str">
        <f t="shared" si="115"/>
        <v>-</v>
      </c>
    </row>
    <row r="153" spans="1:17">
      <c r="A153" s="483" t="s">
        <v>47</v>
      </c>
      <c r="B153" s="2080"/>
      <c r="C153" s="2080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391">
        <f t="shared" si="114"/>
        <v>0</v>
      </c>
      <c r="Q153" s="489" t="str">
        <f t="shared" si="115"/>
        <v>-</v>
      </c>
    </row>
    <row r="154" spans="1:17">
      <c r="A154" s="476" t="s">
        <v>48</v>
      </c>
      <c r="B154" s="2079"/>
      <c r="C154" s="2079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394">
        <f t="shared" si="114"/>
        <v>0</v>
      </c>
      <c r="Q154" s="482" t="str">
        <f t="shared" si="115"/>
        <v>-</v>
      </c>
    </row>
    <row r="155" spans="1:17">
      <c r="A155" s="483" t="s">
        <v>77</v>
      </c>
      <c r="B155" s="2080"/>
      <c r="C155" s="2080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391">
        <f t="shared" si="114"/>
        <v>0</v>
      </c>
      <c r="Q155" s="489" t="str">
        <f t="shared" si="115"/>
        <v>-</v>
      </c>
    </row>
    <row r="156" spans="1:17">
      <c r="A156" s="476" t="s">
        <v>49</v>
      </c>
      <c r="B156" s="2079"/>
      <c r="C156" s="2079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394">
        <f t="shared" si="114"/>
        <v>0</v>
      </c>
      <c r="Q156" s="482" t="str">
        <f t="shared" si="115"/>
        <v>-</v>
      </c>
    </row>
    <row r="157" spans="1:17">
      <c r="A157" s="483" t="s">
        <v>50</v>
      </c>
      <c r="B157" s="2080"/>
      <c r="C157" s="2080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391">
        <f t="shared" si="114"/>
        <v>0</v>
      </c>
      <c r="Q157" s="489" t="str">
        <f t="shared" si="115"/>
        <v>-</v>
      </c>
    </row>
    <row r="158" spans="1:17" ht="15" customHeight="1">
      <c r="A158" s="476" t="s">
        <v>76</v>
      </c>
      <c r="B158" s="2079"/>
      <c r="C158" s="2079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394">
        <f t="shared" si="114"/>
        <v>0</v>
      </c>
      <c r="Q158" s="482" t="str">
        <f t="shared" si="115"/>
        <v>-</v>
      </c>
    </row>
    <row r="159" spans="1:17">
      <c r="A159" s="483" t="s">
        <v>51</v>
      </c>
      <c r="B159" s="2080"/>
      <c r="C159" s="2080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391">
        <f t="shared" si="114"/>
        <v>0</v>
      </c>
      <c r="Q159" s="489" t="str">
        <f t="shared" si="115"/>
        <v>-</v>
      </c>
    </row>
    <row r="160" spans="1:17">
      <c r="A160" s="476" t="s">
        <v>52</v>
      </c>
      <c r="B160" s="2079"/>
      <c r="C160" s="2079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394">
        <f t="shared" si="114"/>
        <v>0</v>
      </c>
      <c r="Q160" s="482" t="str">
        <f t="shared" si="115"/>
        <v>-</v>
      </c>
    </row>
    <row r="161" spans="1:17">
      <c r="A161" s="483" t="s">
        <v>53</v>
      </c>
      <c r="B161" s="2080"/>
      <c r="C161" s="2080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391">
        <f t="shared" si="114"/>
        <v>0</v>
      </c>
      <c r="Q161" s="489" t="str">
        <f t="shared" si="115"/>
        <v>-</v>
      </c>
    </row>
    <row r="162" spans="1:17">
      <c r="A162" s="476" t="s">
        <v>54</v>
      </c>
      <c r="B162" s="2079"/>
      <c r="C162" s="2079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394">
        <f t="shared" si="114"/>
        <v>0</v>
      </c>
      <c r="Q162" s="482" t="str">
        <f t="shared" si="115"/>
        <v>-</v>
      </c>
    </row>
    <row r="163" spans="1:17">
      <c r="A163" s="483" t="s">
        <v>55</v>
      </c>
      <c r="B163" s="2080"/>
      <c r="C163" s="2080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391">
        <f t="shared" si="114"/>
        <v>0</v>
      </c>
      <c r="Q163" s="489" t="str">
        <f t="shared" si="115"/>
        <v>-</v>
      </c>
    </row>
    <row r="164" spans="1:17">
      <c r="A164" s="476" t="s">
        <v>56</v>
      </c>
      <c r="B164" s="2079"/>
      <c r="C164" s="2079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394">
        <f t="shared" si="114"/>
        <v>0</v>
      </c>
      <c r="Q164" s="482" t="str">
        <f t="shared" si="115"/>
        <v>-</v>
      </c>
    </row>
    <row r="165" spans="1:17">
      <c r="A165" s="483" t="s">
        <v>57</v>
      </c>
      <c r="B165" s="2080"/>
      <c r="C165" s="2080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391">
        <f t="shared" si="114"/>
        <v>0</v>
      </c>
      <c r="Q165" s="489" t="str">
        <f t="shared" si="115"/>
        <v>-</v>
      </c>
    </row>
    <row r="166" spans="1:17">
      <c r="A166" s="476" t="s">
        <v>58</v>
      </c>
      <c r="B166" s="2079"/>
      <c r="C166" s="2079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394">
        <f t="shared" si="114"/>
        <v>0</v>
      </c>
      <c r="Q166" s="482" t="str">
        <f t="shared" si="115"/>
        <v>-</v>
      </c>
    </row>
    <row r="167" spans="1:17">
      <c r="A167" s="483" t="s">
        <v>59</v>
      </c>
      <c r="B167" s="2080"/>
      <c r="C167" s="2080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391">
        <f t="shared" si="114"/>
        <v>0</v>
      </c>
      <c r="Q167" s="489" t="str">
        <f t="shared" si="115"/>
        <v>-</v>
      </c>
    </row>
    <row r="168" spans="1:17">
      <c r="A168" s="476" t="s">
        <v>60</v>
      </c>
      <c r="B168" s="2079"/>
      <c r="C168" s="2079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394">
        <f t="shared" si="114"/>
        <v>0</v>
      </c>
      <c r="Q168" s="482" t="str">
        <f t="shared" si="115"/>
        <v>-</v>
      </c>
    </row>
    <row r="169" spans="1:17">
      <c r="A169" s="483" t="s">
        <v>61</v>
      </c>
      <c r="B169" s="2080"/>
      <c r="C169" s="2080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391">
        <f t="shared" si="114"/>
        <v>0</v>
      </c>
      <c r="Q169" s="489" t="str">
        <f t="shared" si="115"/>
        <v>-</v>
      </c>
    </row>
    <row r="170" spans="1:17">
      <c r="A170" s="476" t="s">
        <v>62</v>
      </c>
      <c r="B170" s="2079"/>
      <c r="C170" s="2079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394">
        <f t="shared" si="114"/>
        <v>0</v>
      </c>
      <c r="Q170" s="482" t="str">
        <f t="shared" si="115"/>
        <v>-</v>
      </c>
    </row>
    <row r="171" spans="1:17">
      <c r="A171" s="483" t="s">
        <v>63</v>
      </c>
      <c r="B171" s="2080"/>
      <c r="C171" s="2080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391">
        <f t="shared" si="114"/>
        <v>0</v>
      </c>
      <c r="Q171" s="489" t="str">
        <f t="shared" si="115"/>
        <v>-</v>
      </c>
    </row>
    <row r="172" spans="1:17">
      <c r="A172" s="476" t="s">
        <v>66</v>
      </c>
      <c r="B172" s="2079"/>
      <c r="C172" s="2079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394">
        <f>SUM(D172:O172)</f>
        <v>0</v>
      </c>
      <c r="Q172" s="482" t="str">
        <f t="shared" si="115"/>
        <v>-</v>
      </c>
    </row>
    <row r="173" spans="1:17" ht="15" thickBot="1">
      <c r="A173" s="490" t="s">
        <v>64</v>
      </c>
      <c r="B173" s="2081"/>
      <c r="C173" s="2081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496">
        <f t="shared" si="114"/>
        <v>0</v>
      </c>
      <c r="Q173" s="497" t="str">
        <f t="shared" si="115"/>
        <v>-</v>
      </c>
    </row>
    <row r="174" spans="1:17" ht="15" thickBot="1">
      <c r="B174" s="2069"/>
      <c r="C174" s="2069"/>
    </row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937" t="s">
        <v>638</v>
      </c>
    </row>
    <row r="176" spans="1:17" ht="30.75" customHeight="1" thickBot="1">
      <c r="A176" s="498"/>
      <c r="B176" s="2033" t="s">
        <v>657</v>
      </c>
      <c r="C176" s="2033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941" t="s">
        <v>619</v>
      </c>
    </row>
    <row r="177" spans="1:17" ht="21" customHeight="1">
      <c r="A177" s="502" t="s">
        <v>68</v>
      </c>
      <c r="B177" s="2082">
        <f>B44</f>
        <v>0</v>
      </c>
      <c r="C177" s="2084">
        <f t="shared" ref="C177:P177" si="116">C44</f>
        <v>0</v>
      </c>
      <c r="D177" s="505">
        <f t="shared" si="116"/>
        <v>0</v>
      </c>
      <c r="E177" s="472">
        <f t="shared" si="116"/>
        <v>0</v>
      </c>
      <c r="F177" s="472">
        <f t="shared" si="116"/>
        <v>0</v>
      </c>
      <c r="G177" s="472">
        <f t="shared" si="116"/>
        <v>0</v>
      </c>
      <c r="H177" s="472">
        <f t="shared" si="116"/>
        <v>0</v>
      </c>
      <c r="I177" s="472">
        <f t="shared" si="116"/>
        <v>0</v>
      </c>
      <c r="J177" s="472">
        <f t="shared" si="116"/>
        <v>0</v>
      </c>
      <c r="K177" s="472">
        <f t="shared" si="116"/>
        <v>0</v>
      </c>
      <c r="L177" s="472">
        <f t="shared" si="116"/>
        <v>0</v>
      </c>
      <c r="M177" s="472">
        <f t="shared" si="116"/>
        <v>0</v>
      </c>
      <c r="N177" s="472">
        <f t="shared" si="116"/>
        <v>0</v>
      </c>
      <c r="O177" s="473">
        <f t="shared" si="116"/>
        <v>0</v>
      </c>
      <c r="P177" s="474">
        <f t="shared" si="116"/>
        <v>0</v>
      </c>
      <c r="Q177" s="506" t="str">
        <f t="shared" ref="Q177:Q187" si="117">IF(P177=0,"-",P177/C177-1)</f>
        <v>-</v>
      </c>
    </row>
    <row r="178" spans="1:17" ht="21" customHeight="1">
      <c r="A178" s="476" t="s">
        <v>69</v>
      </c>
      <c r="B178" s="2083">
        <f>B67</f>
        <v>0</v>
      </c>
      <c r="C178" s="2085">
        <f t="shared" ref="C178:P178" si="118">C67</f>
        <v>0</v>
      </c>
      <c r="D178" s="509">
        <f t="shared" si="118"/>
        <v>0</v>
      </c>
      <c r="E178" s="480">
        <f t="shared" si="118"/>
        <v>0</v>
      </c>
      <c r="F178" s="480">
        <f t="shared" si="118"/>
        <v>0</v>
      </c>
      <c r="G178" s="480">
        <f t="shared" si="118"/>
        <v>0</v>
      </c>
      <c r="H178" s="480">
        <f t="shared" si="118"/>
        <v>0</v>
      </c>
      <c r="I178" s="480">
        <f t="shared" si="118"/>
        <v>0</v>
      </c>
      <c r="J178" s="480">
        <f t="shared" si="118"/>
        <v>0</v>
      </c>
      <c r="K178" s="480">
        <f t="shared" si="118"/>
        <v>0</v>
      </c>
      <c r="L178" s="480">
        <f t="shared" si="118"/>
        <v>0</v>
      </c>
      <c r="M178" s="480">
        <f t="shared" si="118"/>
        <v>0</v>
      </c>
      <c r="N178" s="480">
        <f t="shared" si="118"/>
        <v>0</v>
      </c>
      <c r="O178" s="481">
        <f t="shared" si="118"/>
        <v>0</v>
      </c>
      <c r="P178" s="394">
        <f t="shared" si="118"/>
        <v>0</v>
      </c>
      <c r="Q178" s="510" t="str">
        <f t="shared" si="117"/>
        <v>-</v>
      </c>
    </row>
    <row r="179" spans="1:17" ht="21" customHeight="1">
      <c r="A179" s="483" t="s">
        <v>512</v>
      </c>
      <c r="B179" s="2038"/>
      <c r="C179" s="2086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17"/>
        <v>-</v>
      </c>
    </row>
    <row r="180" spans="1:17" ht="21" customHeight="1">
      <c r="A180" s="483" t="s">
        <v>70</v>
      </c>
      <c r="B180" s="2042">
        <f>B90-B179</f>
        <v>0</v>
      </c>
      <c r="C180" s="2087">
        <f t="shared" ref="C180:P180" si="119">C90-C179</f>
        <v>0</v>
      </c>
      <c r="D180" s="513">
        <f t="shared" si="119"/>
        <v>0</v>
      </c>
      <c r="E180" s="487">
        <f t="shared" si="119"/>
        <v>0</v>
      </c>
      <c r="F180" s="487">
        <f t="shared" si="119"/>
        <v>0</v>
      </c>
      <c r="G180" s="487">
        <f t="shared" si="119"/>
        <v>0</v>
      </c>
      <c r="H180" s="487">
        <f t="shared" si="119"/>
        <v>0</v>
      </c>
      <c r="I180" s="487">
        <f t="shared" si="119"/>
        <v>0</v>
      </c>
      <c r="J180" s="487">
        <f t="shared" si="119"/>
        <v>0</v>
      </c>
      <c r="K180" s="487">
        <f t="shared" si="119"/>
        <v>0</v>
      </c>
      <c r="L180" s="487">
        <f t="shared" si="119"/>
        <v>0</v>
      </c>
      <c r="M180" s="487">
        <f t="shared" si="119"/>
        <v>0</v>
      </c>
      <c r="N180" s="487">
        <f t="shared" si="119"/>
        <v>0</v>
      </c>
      <c r="O180" s="488">
        <f t="shared" si="119"/>
        <v>0</v>
      </c>
      <c r="P180" s="391">
        <f t="shared" si="119"/>
        <v>0</v>
      </c>
      <c r="Q180" s="514" t="str">
        <f t="shared" si="117"/>
        <v>-</v>
      </c>
    </row>
    <row r="181" spans="1:17" ht="21" customHeight="1">
      <c r="A181" s="476" t="s">
        <v>71</v>
      </c>
      <c r="B181" s="2083">
        <f>B113</f>
        <v>0</v>
      </c>
      <c r="C181" s="2085">
        <f t="shared" ref="C181:P181" si="120">C113</f>
        <v>0</v>
      </c>
      <c r="D181" s="509">
        <f t="shared" si="120"/>
        <v>0</v>
      </c>
      <c r="E181" s="480">
        <f>E113</f>
        <v>0</v>
      </c>
      <c r="F181" s="480">
        <f t="shared" si="120"/>
        <v>0</v>
      </c>
      <c r="G181" s="480">
        <f t="shared" si="120"/>
        <v>0</v>
      </c>
      <c r="H181" s="480">
        <f t="shared" si="120"/>
        <v>0</v>
      </c>
      <c r="I181" s="480">
        <f t="shared" si="120"/>
        <v>0</v>
      </c>
      <c r="J181" s="480">
        <f t="shared" si="120"/>
        <v>0</v>
      </c>
      <c r="K181" s="480">
        <f t="shared" si="120"/>
        <v>0</v>
      </c>
      <c r="L181" s="480">
        <f t="shared" si="120"/>
        <v>0</v>
      </c>
      <c r="M181" s="480">
        <f t="shared" si="120"/>
        <v>0</v>
      </c>
      <c r="N181" s="480">
        <f t="shared" si="120"/>
        <v>0</v>
      </c>
      <c r="O181" s="481">
        <f t="shared" si="120"/>
        <v>0</v>
      </c>
      <c r="P181" s="394">
        <f t="shared" si="120"/>
        <v>0</v>
      </c>
      <c r="Q181" s="510" t="str">
        <f t="shared" si="117"/>
        <v>-</v>
      </c>
    </row>
    <row r="182" spans="1:17" ht="21" customHeight="1">
      <c r="A182" s="483" t="s">
        <v>36</v>
      </c>
      <c r="B182" s="2042">
        <f>B136</f>
        <v>0</v>
      </c>
      <c r="C182" s="2087">
        <f t="shared" ref="C182:P182" si="121">C136</f>
        <v>0</v>
      </c>
      <c r="D182" s="513">
        <f t="shared" si="121"/>
        <v>0</v>
      </c>
      <c r="E182" s="487">
        <f>E136</f>
        <v>0</v>
      </c>
      <c r="F182" s="487">
        <f t="shared" si="121"/>
        <v>0</v>
      </c>
      <c r="G182" s="487">
        <f t="shared" si="121"/>
        <v>0</v>
      </c>
      <c r="H182" s="487">
        <f t="shared" si="121"/>
        <v>0</v>
      </c>
      <c r="I182" s="487">
        <f t="shared" si="121"/>
        <v>0</v>
      </c>
      <c r="J182" s="487">
        <f t="shared" si="121"/>
        <v>0</v>
      </c>
      <c r="K182" s="487">
        <f t="shared" si="121"/>
        <v>0</v>
      </c>
      <c r="L182" s="487">
        <f t="shared" si="121"/>
        <v>0</v>
      </c>
      <c r="M182" s="487">
        <f t="shared" si="121"/>
        <v>0</v>
      </c>
      <c r="N182" s="487">
        <f t="shared" si="121"/>
        <v>0</v>
      </c>
      <c r="O182" s="488">
        <f t="shared" si="121"/>
        <v>0</v>
      </c>
      <c r="P182" s="391">
        <f t="shared" si="121"/>
        <v>0</v>
      </c>
      <c r="Q182" s="514" t="str">
        <f t="shared" si="117"/>
        <v>-</v>
      </c>
    </row>
    <row r="183" spans="1:17" ht="21" customHeight="1">
      <c r="A183" s="515" t="s">
        <v>73</v>
      </c>
      <c r="B183" s="2040" t="e">
        <f>B182/B180</f>
        <v>#DIV/0!</v>
      </c>
      <c r="C183" s="2041" t="e">
        <f t="shared" ref="C183:P183" si="122">C182/C180</f>
        <v>#DIV/0!</v>
      </c>
      <c r="D183" s="518" t="e">
        <f>D182/D180</f>
        <v>#DIV/0!</v>
      </c>
      <c r="E183" s="519" t="e">
        <f>E182/E180</f>
        <v>#DIV/0!</v>
      </c>
      <c r="F183" s="519" t="e">
        <f t="shared" si="122"/>
        <v>#DIV/0!</v>
      </c>
      <c r="G183" s="519" t="e">
        <f t="shared" si="122"/>
        <v>#DIV/0!</v>
      </c>
      <c r="H183" s="519" t="e">
        <f t="shared" si="122"/>
        <v>#DIV/0!</v>
      </c>
      <c r="I183" s="519" t="e">
        <f t="shared" si="122"/>
        <v>#DIV/0!</v>
      </c>
      <c r="J183" s="519" t="e">
        <f t="shared" si="122"/>
        <v>#DIV/0!</v>
      </c>
      <c r="K183" s="519" t="e">
        <f t="shared" si="122"/>
        <v>#DIV/0!</v>
      </c>
      <c r="L183" s="519" t="e">
        <f t="shared" si="122"/>
        <v>#DIV/0!</v>
      </c>
      <c r="M183" s="519" t="e">
        <f t="shared" si="122"/>
        <v>#DIV/0!</v>
      </c>
      <c r="N183" s="519" t="e">
        <f t="shared" si="122"/>
        <v>#DIV/0!</v>
      </c>
      <c r="O183" s="520" t="e">
        <f t="shared" si="122"/>
        <v>#DIV/0!</v>
      </c>
      <c r="P183" s="521" t="e">
        <f t="shared" si="122"/>
        <v>#DIV/0!</v>
      </c>
      <c r="Q183" s="522" t="e">
        <f t="shared" si="117"/>
        <v>#DIV/0!</v>
      </c>
    </row>
    <row r="184" spans="1:17" ht="21" customHeight="1">
      <c r="A184" s="483" t="s">
        <v>75</v>
      </c>
      <c r="B184" s="2042">
        <f>B140</f>
        <v>0</v>
      </c>
      <c r="C184" s="2043">
        <f t="shared" ref="C184:P184" si="123">C140</f>
        <v>0</v>
      </c>
      <c r="D184" s="513">
        <f>D140</f>
        <v>0</v>
      </c>
      <c r="E184" s="487">
        <f t="shared" si="123"/>
        <v>0</v>
      </c>
      <c r="F184" s="487">
        <f t="shared" si="123"/>
        <v>0</v>
      </c>
      <c r="G184" s="487">
        <f t="shared" si="123"/>
        <v>0</v>
      </c>
      <c r="H184" s="487">
        <f t="shared" si="123"/>
        <v>0</v>
      </c>
      <c r="I184" s="487">
        <f t="shared" si="123"/>
        <v>0</v>
      </c>
      <c r="J184" s="487">
        <f t="shared" si="123"/>
        <v>0</v>
      </c>
      <c r="K184" s="487">
        <f t="shared" si="123"/>
        <v>0</v>
      </c>
      <c r="L184" s="487">
        <f t="shared" si="123"/>
        <v>0</v>
      </c>
      <c r="M184" s="487">
        <f t="shared" si="123"/>
        <v>0</v>
      </c>
      <c r="N184" s="487">
        <f t="shared" si="123"/>
        <v>0</v>
      </c>
      <c r="O184" s="487">
        <f t="shared" si="123"/>
        <v>0</v>
      </c>
      <c r="P184" s="391">
        <f t="shared" si="123"/>
        <v>0</v>
      </c>
      <c r="Q184" s="514" t="str">
        <f t="shared" si="117"/>
        <v>-</v>
      </c>
    </row>
    <row r="185" spans="1:17" s="531" customFormat="1" ht="21" customHeight="1">
      <c r="A185" s="523" t="s">
        <v>74</v>
      </c>
      <c r="B185" s="2044" t="e">
        <f>B184/B180</f>
        <v>#DIV/0!</v>
      </c>
      <c r="C185" s="2045" t="e">
        <f t="shared" ref="C185:P185" si="124">C184/C180</f>
        <v>#DIV/0!</v>
      </c>
      <c r="D185" s="526" t="e">
        <f t="shared" si="124"/>
        <v>#DIV/0!</v>
      </c>
      <c r="E185" s="527" t="e">
        <f>E184/E180</f>
        <v>#DIV/0!</v>
      </c>
      <c r="F185" s="527" t="e">
        <f t="shared" si="124"/>
        <v>#DIV/0!</v>
      </c>
      <c r="G185" s="527" t="e">
        <f t="shared" si="124"/>
        <v>#DIV/0!</v>
      </c>
      <c r="H185" s="527" t="e">
        <f t="shared" si="124"/>
        <v>#DIV/0!</v>
      </c>
      <c r="I185" s="527" t="e">
        <f t="shared" si="124"/>
        <v>#DIV/0!</v>
      </c>
      <c r="J185" s="527" t="e">
        <f t="shared" si="124"/>
        <v>#DIV/0!</v>
      </c>
      <c r="K185" s="527" t="e">
        <f t="shared" si="124"/>
        <v>#DIV/0!</v>
      </c>
      <c r="L185" s="527" t="e">
        <f t="shared" si="124"/>
        <v>#DIV/0!</v>
      </c>
      <c r="M185" s="527" t="e">
        <f t="shared" si="124"/>
        <v>#DIV/0!</v>
      </c>
      <c r="N185" s="527" t="e">
        <f t="shared" si="124"/>
        <v>#DIV/0!</v>
      </c>
      <c r="O185" s="528" t="e">
        <f t="shared" si="124"/>
        <v>#DIV/0!</v>
      </c>
      <c r="P185" s="529" t="e">
        <f t="shared" si="124"/>
        <v>#DIV/0!</v>
      </c>
      <c r="Q185" s="530" t="e">
        <f t="shared" si="117"/>
        <v>#DIV/0!</v>
      </c>
    </row>
    <row r="186" spans="1:17" s="281" customFormat="1" ht="21" customHeight="1" thickBot="1">
      <c r="A186" s="532" t="s">
        <v>79</v>
      </c>
      <c r="B186" s="2046">
        <f>B182-B184</f>
        <v>0</v>
      </c>
      <c r="C186" s="2047">
        <f t="shared" ref="C186:P186" si="125">C182-C184</f>
        <v>0</v>
      </c>
      <c r="D186" s="535">
        <f t="shared" si="125"/>
        <v>0</v>
      </c>
      <c r="E186" s="536">
        <f t="shared" si="125"/>
        <v>0</v>
      </c>
      <c r="F186" s="536">
        <f t="shared" si="125"/>
        <v>0</v>
      </c>
      <c r="G186" s="536">
        <f t="shared" si="125"/>
        <v>0</v>
      </c>
      <c r="H186" s="536">
        <f t="shared" si="125"/>
        <v>0</v>
      </c>
      <c r="I186" s="536">
        <f t="shared" si="125"/>
        <v>0</v>
      </c>
      <c r="J186" s="536">
        <f t="shared" si="125"/>
        <v>0</v>
      </c>
      <c r="K186" s="536">
        <f t="shared" si="125"/>
        <v>0</v>
      </c>
      <c r="L186" s="536">
        <f t="shared" si="125"/>
        <v>0</v>
      </c>
      <c r="M186" s="536">
        <f t="shared" si="125"/>
        <v>0</v>
      </c>
      <c r="N186" s="536">
        <f t="shared" si="125"/>
        <v>0</v>
      </c>
      <c r="O186" s="537">
        <f t="shared" si="125"/>
        <v>0</v>
      </c>
      <c r="P186" s="496">
        <f t="shared" si="125"/>
        <v>0</v>
      </c>
      <c r="Q186" s="538" t="str">
        <f t="shared" si="117"/>
        <v>-</v>
      </c>
    </row>
    <row r="187" spans="1:17" s="281" customFormat="1" ht="21" customHeight="1" thickBot="1">
      <c r="A187" s="539" t="s">
        <v>80</v>
      </c>
      <c r="B187" s="2048" t="e">
        <f>B186/B180</f>
        <v>#DIV/0!</v>
      </c>
      <c r="C187" s="2049" t="e">
        <f t="shared" ref="C187:P187" si="126">C186/C180</f>
        <v>#DIV/0!</v>
      </c>
      <c r="D187" s="542" t="e">
        <f t="shared" si="126"/>
        <v>#DIV/0!</v>
      </c>
      <c r="E187" s="543" t="e">
        <f t="shared" si="126"/>
        <v>#DIV/0!</v>
      </c>
      <c r="F187" s="543" t="e">
        <f t="shared" si="126"/>
        <v>#DIV/0!</v>
      </c>
      <c r="G187" s="543" t="e">
        <f t="shared" si="126"/>
        <v>#DIV/0!</v>
      </c>
      <c r="H187" s="543" t="e">
        <f t="shared" si="126"/>
        <v>#DIV/0!</v>
      </c>
      <c r="I187" s="543" t="e">
        <f t="shared" si="126"/>
        <v>#DIV/0!</v>
      </c>
      <c r="J187" s="543" t="e">
        <f t="shared" si="126"/>
        <v>#DIV/0!</v>
      </c>
      <c r="K187" s="543" t="e">
        <f t="shared" si="126"/>
        <v>#DIV/0!</v>
      </c>
      <c r="L187" s="543" t="e">
        <f t="shared" si="126"/>
        <v>#DIV/0!</v>
      </c>
      <c r="M187" s="543" t="e">
        <f t="shared" si="126"/>
        <v>#DIV/0!</v>
      </c>
      <c r="N187" s="543" t="e">
        <f t="shared" si="126"/>
        <v>#DIV/0!</v>
      </c>
      <c r="O187" s="544" t="e">
        <f t="shared" si="126"/>
        <v>#DIV/0!</v>
      </c>
      <c r="P187" s="545" t="e">
        <f t="shared" si="126"/>
        <v>#DIV/0!</v>
      </c>
      <c r="Q187" s="546" t="e">
        <f t="shared" si="117"/>
        <v>#DIV/0!</v>
      </c>
    </row>
  </sheetData>
  <mergeCells count="16">
    <mergeCell ref="B2:C2"/>
    <mergeCell ref="D2:P2"/>
    <mergeCell ref="B23:C23"/>
    <mergeCell ref="D23:P23"/>
    <mergeCell ref="B46:C46"/>
    <mergeCell ref="D46:P46"/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</mergeCells>
  <pageMargins left="0.25" right="0.25" top="0.75" bottom="0.75" header="0.3" footer="0.3"/>
  <pageSetup paperSize="9" scale="75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V187"/>
  <sheetViews>
    <sheetView zoomScale="85" zoomScaleNormal="85" workbookViewId="0">
      <selection activeCell="D2" sqref="D2:P2"/>
    </sheetView>
  </sheetViews>
  <sheetFormatPr defaultColWidth="9.109375" defaultRowHeight="14.4"/>
  <cols>
    <col min="1" max="1" width="31.44140625" style="352" customWidth="1"/>
    <col min="2" max="2" width="12.109375" style="352" customWidth="1"/>
    <col min="3" max="3" width="14.44140625" style="352" customWidth="1"/>
    <col min="4" max="4" width="10.33203125" style="352" bestFit="1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10.33203125" style="352" bestFit="1" customWidth="1"/>
    <col min="14" max="14" width="10.33203125" style="353" bestFit="1" customWidth="1"/>
    <col min="15" max="15" width="10.33203125" style="352" bestFit="1" customWidth="1"/>
    <col min="16" max="16" width="12.109375" style="352" bestFit="1" customWidth="1"/>
    <col min="17" max="17" width="9.109375" style="352" customWidth="1"/>
    <col min="18" max="18" width="5" style="352" customWidth="1"/>
    <col min="19" max="16384" width="9.109375" style="352"/>
  </cols>
  <sheetData>
    <row r="1" spans="1:22" ht="15" thickBot="1">
      <c r="A1" s="352" t="s">
        <v>587</v>
      </c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937" t="s">
        <v>638</v>
      </c>
    </row>
    <row r="3" spans="1:22" ht="44.25" customHeight="1" thickBot="1">
      <c r="A3" s="356"/>
      <c r="B3" s="357" t="s">
        <v>657</v>
      </c>
      <c r="C3" s="357" t="s">
        <v>663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94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367" t="str">
        <f t="shared" ref="Q4:Q16" si="3">IF(P4=0,"-",P4/C4-1)</f>
        <v>-</v>
      </c>
    </row>
    <row r="5" spans="1:22" ht="16.5" customHeight="1">
      <c r="A5" s="368" t="s">
        <v>15</v>
      </c>
      <c r="B5" s="2178">
        <v>0</v>
      </c>
      <c r="C5" s="370">
        <f>B5/10*12</f>
        <v>0</v>
      </c>
      <c r="D5" s="371">
        <f>+'SAHA AYLIK ÜRÜN M3'!C29</f>
        <v>0</v>
      </c>
      <c r="E5" s="372">
        <f>+'SAHA AYLIK ÜRÜN M3'!D29</f>
        <v>0</v>
      </c>
      <c r="F5" s="372">
        <f>+'SAHA AYLIK ÜRÜN M3'!E29</f>
        <v>0</v>
      </c>
      <c r="G5" s="372">
        <f>+'SAHA AYLIK ÜRÜN M3'!F29</f>
        <v>0</v>
      </c>
      <c r="H5" s="373">
        <f>+'SAHA AYLIK ÜRÜN M3'!G29</f>
        <v>0</v>
      </c>
      <c r="I5" s="373">
        <f>+'SAHA AYLIK ÜRÜN M3'!H29</f>
        <v>0</v>
      </c>
      <c r="J5" s="373">
        <f>+'SAHA AYLIK ÜRÜN M3'!I29</f>
        <v>0</v>
      </c>
      <c r="K5" s="373">
        <f>+'SAHA AYLIK ÜRÜN M3'!J29</f>
        <v>0</v>
      </c>
      <c r="L5" s="373">
        <f>+'SAHA AYLIK ÜRÜN M3'!K29</f>
        <v>0</v>
      </c>
      <c r="M5" s="373">
        <f>+'SAHA AYLIK ÜRÜN M3'!L29</f>
        <v>0</v>
      </c>
      <c r="N5" s="373">
        <f>+'SAHA AYLIK ÜRÜN M3'!M29</f>
        <v>0</v>
      </c>
      <c r="O5" s="374">
        <f>+'SAHA AYLIK ÜRÜN M3'!N29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customHeight="1">
      <c r="A6" s="377" t="s">
        <v>16</v>
      </c>
      <c r="B6" s="378"/>
      <c r="C6" s="379"/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384" t="str">
        <f t="shared" si="3"/>
        <v>-</v>
      </c>
    </row>
    <row r="7" spans="1:22" s="281" customFormat="1" ht="16.5" customHeight="1">
      <c r="A7" s="385" t="s">
        <v>27</v>
      </c>
      <c r="B7" s="386">
        <f>+B5+B6</f>
        <v>0</v>
      </c>
      <c r="C7" s="387">
        <f>+C6+C5</f>
        <v>0</v>
      </c>
      <c r="D7" s="388">
        <f>SUM(D5:D6)</f>
        <v>0</v>
      </c>
      <c r="E7" s="389">
        <f t="shared" ref="E7:O7" si="4">SUM(E5:E6)</f>
        <v>0</v>
      </c>
      <c r="F7" s="389">
        <f t="shared" si="4"/>
        <v>0</v>
      </c>
      <c r="G7" s="389">
        <f t="shared" si="4"/>
        <v>0</v>
      </c>
      <c r="H7" s="389">
        <f t="shared" si="4"/>
        <v>0</v>
      </c>
      <c r="I7" s="389">
        <f t="shared" si="4"/>
        <v>0</v>
      </c>
      <c r="J7" s="389">
        <f t="shared" si="4"/>
        <v>0</v>
      </c>
      <c r="K7" s="389">
        <f t="shared" si="4"/>
        <v>0</v>
      </c>
      <c r="L7" s="389">
        <f t="shared" si="4"/>
        <v>0</v>
      </c>
      <c r="M7" s="389">
        <f t="shared" si="4"/>
        <v>0</v>
      </c>
      <c r="N7" s="389">
        <f t="shared" si="4"/>
        <v>0</v>
      </c>
      <c r="O7" s="390">
        <f t="shared" si="4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/>
      <c r="C8" s="398">
        <f t="shared" ref="C8:C10" si="5">+B8/11*12</f>
        <v>0</v>
      </c>
      <c r="D8" s="396">
        <f>+'SAHA AYLIK ÜRÜN M3'!C30/1000</f>
        <v>0</v>
      </c>
      <c r="E8" s="397">
        <f>+'SAHA AYLIK ÜRÜN M3'!D30/1000</f>
        <v>0</v>
      </c>
      <c r="F8" s="397">
        <f>+'SAHA AYLIK ÜRÜN M3'!E30/1000</f>
        <v>0</v>
      </c>
      <c r="G8" s="397">
        <f>+'SAHA AYLIK ÜRÜN M3'!F30/1000</f>
        <v>0</v>
      </c>
      <c r="H8" s="397">
        <f>+'SAHA AYLIK ÜRÜN M3'!G30/1000</f>
        <v>0</v>
      </c>
      <c r="I8" s="397">
        <f>+'SAHA AYLIK ÜRÜN M3'!H30/1000</f>
        <v>0</v>
      </c>
      <c r="J8" s="397">
        <f>+'SAHA AYLIK ÜRÜN M3'!I30/1000</f>
        <v>0</v>
      </c>
      <c r="K8" s="397">
        <f>+'SAHA AYLIK ÜRÜN M3'!J30/1000</f>
        <v>0</v>
      </c>
      <c r="L8" s="397">
        <f>+'SAHA AYLIK ÜRÜN M3'!K30/1000</f>
        <v>0</v>
      </c>
      <c r="M8" s="397">
        <f>+'SAHA AYLIK ÜRÜN M3'!L30/1000</f>
        <v>0</v>
      </c>
      <c r="N8" s="397">
        <f>+'SAHA AYLIK ÜRÜN M3'!M30/1000</f>
        <v>0</v>
      </c>
      <c r="O8" s="398">
        <f>+'SAHA AYLIK ÜRÜN M3'!N30/1000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2177"/>
      <c r="C9" s="370">
        <f>B9/10*12</f>
        <v>0</v>
      </c>
      <c r="D9" s="402">
        <f>+'SAHA AYLIK ÜRÜN M3'!C27/1000</f>
        <v>0</v>
      </c>
      <c r="E9" s="403">
        <f>+'SAHA AYLIK ÜRÜN M3'!D27/1000</f>
        <v>0</v>
      </c>
      <c r="F9" s="403">
        <f>+'SAHA AYLIK ÜRÜN M3'!E27/1000</f>
        <v>0</v>
      </c>
      <c r="G9" s="403">
        <f>+'SAHA AYLIK ÜRÜN M3'!F27/1000</f>
        <v>0</v>
      </c>
      <c r="H9" s="403">
        <f>+'SAHA AYLIK ÜRÜN M3'!G27/1000</f>
        <v>0</v>
      </c>
      <c r="I9" s="403">
        <f>+'SAHA AYLIK ÜRÜN M3'!H27/1000</f>
        <v>0</v>
      </c>
      <c r="J9" s="403">
        <f>+'SAHA AYLIK ÜRÜN M3'!I27/1000</f>
        <v>0</v>
      </c>
      <c r="K9" s="403">
        <f>+'SAHA AYLIK ÜRÜN M3'!J27/1000</f>
        <v>0</v>
      </c>
      <c r="L9" s="403">
        <f>+'SAHA AYLIK ÜRÜN M3'!K27/1000</f>
        <v>0</v>
      </c>
      <c r="M9" s="403">
        <f>+'SAHA AYLIK ÜRÜN M3'!L27/1000</f>
        <v>0</v>
      </c>
      <c r="N9" s="403">
        <f>+'SAHA AYLIK ÜRÜN M3'!M27/1000</f>
        <v>0</v>
      </c>
      <c r="O9" s="404">
        <f>+'SAHA AYLIK ÜRÜN M3'!N27/1000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394"/>
      <c r="C10" s="370">
        <f t="shared" si="5"/>
        <v>0</v>
      </c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384" t="str">
        <f t="shared" si="3"/>
        <v>-</v>
      </c>
    </row>
    <row r="11" spans="1:22" ht="16.5" customHeight="1">
      <c r="A11" s="400" t="s">
        <v>83</v>
      </c>
      <c r="B11" s="408"/>
      <c r="C11" s="370">
        <f>B11/10*12</f>
        <v>0</v>
      </c>
      <c r="D11" s="402">
        <f>+'SAHA AYLIK ÜRÜN M3'!C28/1000</f>
        <v>0</v>
      </c>
      <c r="E11" s="403">
        <f>+'SAHA AYLIK ÜRÜN M3'!D28/1000</f>
        <v>0</v>
      </c>
      <c r="F11" s="403">
        <f>+'SAHA AYLIK ÜRÜN M3'!E28/1000</f>
        <v>0</v>
      </c>
      <c r="G11" s="403">
        <f>+'SAHA AYLIK ÜRÜN M3'!F28/1000</f>
        <v>0</v>
      </c>
      <c r="H11" s="403">
        <f>+'SAHA AYLIK ÜRÜN M3'!G28/1000</f>
        <v>0</v>
      </c>
      <c r="I11" s="403">
        <f>+'SAHA AYLIK ÜRÜN M3'!H28/1000</f>
        <v>0</v>
      </c>
      <c r="J11" s="403">
        <f>+'SAHA AYLIK ÜRÜN M3'!I28/1000</f>
        <v>0</v>
      </c>
      <c r="K11" s="403">
        <f>+'SAHA AYLIK ÜRÜN M3'!J28/1000</f>
        <v>0</v>
      </c>
      <c r="L11" s="403">
        <f>+'SAHA AYLIK ÜRÜN M3'!K28/1000</f>
        <v>0</v>
      </c>
      <c r="M11" s="403">
        <f>+'SAHA AYLIK ÜRÜN M3'!L28/1000</f>
        <v>0</v>
      </c>
      <c r="N11" s="403">
        <f>+'SAHA AYLIK ÜRÜN M3'!M28/1000</f>
        <v>0</v>
      </c>
      <c r="O11" s="404">
        <f>+'SAHA AYLIK ÜRÜN M3'!N28/1000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378"/>
      <c r="C12" s="379"/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384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11">
        <f>SUM(B9:B12)</f>
        <v>0</v>
      </c>
      <c r="C13" s="412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364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370">
        <f t="shared" ref="C15:C16" si="9">+B15/10*12</f>
        <v>0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2249">
        <v>0</v>
      </c>
      <c r="C16" s="370">
        <f t="shared" si="9"/>
        <v>0</v>
      </c>
      <c r="D16" s="433">
        <f>+'SAHA AYLIK ÜRÜN M3'!C31/1000</f>
        <v>0</v>
      </c>
      <c r="E16" s="433">
        <f>+'SAHA AYLIK ÜRÜN M3'!D31/1000</f>
        <v>0</v>
      </c>
      <c r="F16" s="433">
        <f>+'SAHA AYLIK ÜRÜN M3'!E31/1000</f>
        <v>0</v>
      </c>
      <c r="G16" s="433">
        <f>+'SAHA AYLIK ÜRÜN M3'!F31/1000</f>
        <v>0</v>
      </c>
      <c r="H16" s="433">
        <f>+'SAHA AYLIK ÜRÜN M3'!G31/1000</f>
        <v>0</v>
      </c>
      <c r="I16" s="433">
        <f>+'SAHA AYLIK ÜRÜN M3'!H31/1000</f>
        <v>0</v>
      </c>
      <c r="J16" s="433">
        <f>+'SAHA AYLIK ÜRÜN M3'!I31/1000</f>
        <v>0</v>
      </c>
      <c r="K16" s="433">
        <f>+'SAHA AYLIK ÜRÜN M3'!Q15/1000</f>
        <v>0</v>
      </c>
      <c r="L16" s="433">
        <f>+'SAHA AYLIK ÜRÜN M3'!R15/1000</f>
        <v>0</v>
      </c>
      <c r="M16" s="433">
        <f>+'SAHA AYLIK ÜRÜN M3'!S15/1000</f>
        <v>0</v>
      </c>
      <c r="N16" s="433">
        <f>+'SAHA AYLIK ÜRÜN M3'!T15/1000</f>
        <v>0</v>
      </c>
      <c r="O16" s="433">
        <f>+'SAHA AYLIK ÜRÜN M3'!U15/1000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:C17" si="10">SUM(B18:B19)</f>
        <v>0</v>
      </c>
      <c r="C17" s="364">
        <f t="shared" si="10"/>
        <v>0</v>
      </c>
      <c r="D17" s="417">
        <f>SUM(D18:D19)</f>
        <v>0</v>
      </c>
      <c r="E17" s="418">
        <f t="shared" ref="E17:O17" si="11">SUM(E18:E19)</f>
        <v>0</v>
      </c>
      <c r="F17" s="418">
        <f t="shared" si="11"/>
        <v>0</v>
      </c>
      <c r="G17" s="418">
        <f t="shared" si="11"/>
        <v>0</v>
      </c>
      <c r="H17" s="418">
        <f t="shared" si="11"/>
        <v>0</v>
      </c>
      <c r="I17" s="418">
        <f t="shared" si="11"/>
        <v>0</v>
      </c>
      <c r="J17" s="418">
        <f t="shared" si="11"/>
        <v>0</v>
      </c>
      <c r="K17" s="418">
        <f t="shared" si="11"/>
        <v>0</v>
      </c>
      <c r="L17" s="418">
        <f t="shared" si="11"/>
        <v>0</v>
      </c>
      <c r="M17" s="418">
        <f t="shared" si="11"/>
        <v>0</v>
      </c>
      <c r="N17" s="418">
        <f t="shared" si="11"/>
        <v>0</v>
      </c>
      <c r="O17" s="419">
        <f t="shared" si="11"/>
        <v>0</v>
      </c>
      <c r="P17" s="420">
        <f t="shared" si="2"/>
        <v>0</v>
      </c>
      <c r="Q17" s="421" t="str">
        <f>IF(P17=0,"-",P17/C17-1)</f>
        <v>-</v>
      </c>
    </row>
    <row r="18" spans="1:22" ht="16.5" customHeight="1">
      <c r="A18" s="422" t="s">
        <v>106</v>
      </c>
      <c r="B18" s="423"/>
      <c r="C18" s="370">
        <v>0</v>
      </c>
      <c r="D18" s="425">
        <f>+M.Yağ_Adbulue!E17/1000</f>
        <v>0</v>
      </c>
      <c r="E18" s="426">
        <f>+M.Yağ_Adbulue!F17/1000</f>
        <v>0</v>
      </c>
      <c r="F18" s="426">
        <f>+M.Yağ_Adbulue!G17/1000</f>
        <v>0</v>
      </c>
      <c r="G18" s="426">
        <f>+M.Yağ_Adbulue!H17/1000</f>
        <v>0</v>
      </c>
      <c r="H18" s="426">
        <f>+M.Yağ_Adbulue!I17/1000</f>
        <v>0</v>
      </c>
      <c r="I18" s="426">
        <f>+M.Yağ_Adbulue!J17/1000</f>
        <v>0</v>
      </c>
      <c r="J18" s="426">
        <f>+M.Yağ_Adbulue!K17/1000</f>
        <v>0</v>
      </c>
      <c r="K18" s="426">
        <f>+M.Yağ_Adbulue!L17/1000</f>
        <v>0</v>
      </c>
      <c r="L18" s="426">
        <f>+M.Yağ_Adbulue!M17/1000</f>
        <v>0</v>
      </c>
      <c r="M18" s="426">
        <f>+M.Yağ_Adbulue!N17/1000</f>
        <v>0</v>
      </c>
      <c r="N18" s="426">
        <f>+M.Yağ_Adbulue!O17/1000</f>
        <v>0</v>
      </c>
      <c r="O18" s="427">
        <f>+M.Yağ_Adbulue!P17/1000</f>
        <v>0</v>
      </c>
      <c r="P18" s="428">
        <f t="shared" si="2"/>
        <v>0</v>
      </c>
      <c r="Q18" s="429" t="str">
        <f>IF(P18=0,"-",P18/C18-1)</f>
        <v>-</v>
      </c>
    </row>
    <row r="19" spans="1:22" ht="16.5" customHeight="1" thickBot="1">
      <c r="A19" s="438" t="s">
        <v>105</v>
      </c>
      <c r="B19" s="439"/>
      <c r="C19" s="1447">
        <f>B19/10*12</f>
        <v>0</v>
      </c>
      <c r="D19" s="441">
        <f>+M.Yağ_Adbulue!E35/1000</f>
        <v>0</v>
      </c>
      <c r="E19" s="442">
        <f>+M.Yağ_Adbulue!F35/1000</f>
        <v>0</v>
      </c>
      <c r="F19" s="442">
        <f>+M.Yağ_Adbulue!G35/1000</f>
        <v>0</v>
      </c>
      <c r="G19" s="442">
        <f>+M.Yağ_Adbulue!H35/1000</f>
        <v>0</v>
      </c>
      <c r="H19" s="442">
        <f>+M.Yağ_Adbulue!I35/1000</f>
        <v>0</v>
      </c>
      <c r="I19" s="442">
        <f>+M.Yağ_Adbulue!J35/1000</f>
        <v>0</v>
      </c>
      <c r="J19" s="442">
        <f>+M.Yağ_Adbulue!K35/1000</f>
        <v>0</v>
      </c>
      <c r="K19" s="442">
        <f>+M.Yağ_Adbulue!L35/1000</f>
        <v>0</v>
      </c>
      <c r="L19" s="442">
        <f>+M.Yağ_Adbulue!M35/1000</f>
        <v>0</v>
      </c>
      <c r="M19" s="442">
        <f>+M.Yağ_Adbulue!N35/1000</f>
        <v>0</v>
      </c>
      <c r="N19" s="442">
        <f>+M.Yağ_Adbulue!O35/1000</f>
        <v>0</v>
      </c>
      <c r="O19" s="443">
        <f>+M.Yağ_Adbulue!P35/1000</f>
        <v>0</v>
      </c>
      <c r="P19" s="444">
        <f t="shared" si="2"/>
        <v>0</v>
      </c>
      <c r="Q19" s="445" t="str">
        <f>IF(P19=0,"-",P19/C19-1)</f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/>
    </row>
    <row r="21" spans="1:22" ht="22.5" customHeight="1" thickBot="1">
      <c r="A21" s="362" t="s">
        <v>85</v>
      </c>
      <c r="B21" s="363"/>
      <c r="C21" s="364"/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>IF(P21=0,"-",P21/C21-1)</f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937" t="s">
        <v>638</v>
      </c>
    </row>
    <row r="24" spans="1:22" ht="30.75" customHeight="1" thickBot="1">
      <c r="A24" s="356"/>
      <c r="B24" s="357" t="s">
        <v>657</v>
      </c>
      <c r="C24" s="357" t="s">
        <v>663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94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 t="shared" ref="C25:O25" si="12">C28+C29+C34</f>
        <v>0</v>
      </c>
      <c r="D25" s="365">
        <f t="shared" si="12"/>
        <v>0</v>
      </c>
      <c r="E25" s="366">
        <f t="shared" si="12"/>
        <v>0</v>
      </c>
      <c r="F25" s="366">
        <f t="shared" si="12"/>
        <v>0</v>
      </c>
      <c r="G25" s="366">
        <f t="shared" si="12"/>
        <v>0</v>
      </c>
      <c r="H25" s="366">
        <f t="shared" si="12"/>
        <v>0</v>
      </c>
      <c r="I25" s="366">
        <f t="shared" si="12"/>
        <v>0</v>
      </c>
      <c r="J25" s="366">
        <f t="shared" si="12"/>
        <v>0</v>
      </c>
      <c r="K25" s="366">
        <f t="shared" si="12"/>
        <v>0</v>
      </c>
      <c r="L25" s="366">
        <f t="shared" si="12"/>
        <v>0</v>
      </c>
      <c r="M25" s="366">
        <f t="shared" si="12"/>
        <v>0</v>
      </c>
      <c r="N25" s="366">
        <f t="shared" si="12"/>
        <v>0</v>
      </c>
      <c r="O25" s="364">
        <f t="shared" si="12"/>
        <v>0</v>
      </c>
      <c r="P25" s="363">
        <f t="shared" ref="P25:P44" si="13">SUM(D25:O25)</f>
        <v>0</v>
      </c>
      <c r="Q25" s="367" t="str">
        <f t="shared" ref="Q25:Q40" si="14">IF(P25=0,"-",P25/C25-1)</f>
        <v>-</v>
      </c>
    </row>
    <row r="26" spans="1:22" ht="15" customHeight="1">
      <c r="A26" s="368" t="s">
        <v>15</v>
      </c>
      <c r="B26" s="2178">
        <v>0</v>
      </c>
      <c r="C26" s="370"/>
      <c r="D26" s="371">
        <f>D5*'Satış Fiyat'!D340</f>
        <v>0</v>
      </c>
      <c r="E26" s="372">
        <f>E5*'Satış Fiyat'!E340</f>
        <v>0</v>
      </c>
      <c r="F26" s="372">
        <f>F5*'Satış Fiyat'!F340</f>
        <v>0</v>
      </c>
      <c r="G26" s="372">
        <f>G5*'Satış Fiyat'!G340</f>
        <v>0</v>
      </c>
      <c r="H26" s="373">
        <f>H5*'Satış Fiyat'!H340</f>
        <v>0</v>
      </c>
      <c r="I26" s="373">
        <f>I5*'Satış Fiyat'!I340</f>
        <v>0</v>
      </c>
      <c r="J26" s="373">
        <f>J5*'Satış Fiyat'!J340</f>
        <v>0</v>
      </c>
      <c r="K26" s="373">
        <f>K5*'Satış Fiyat'!K340</f>
        <v>0</v>
      </c>
      <c r="L26" s="373">
        <f>L5*'Satış Fiyat'!L340</f>
        <v>0</v>
      </c>
      <c r="M26" s="373">
        <f>M5*'Satış Fiyat'!M340</f>
        <v>0</v>
      </c>
      <c r="N26" s="373">
        <f>N5*'Satış Fiyat'!N340</f>
        <v>0</v>
      </c>
      <c r="O26" s="374">
        <f>O5*'Satış Fiyat'!O340</f>
        <v>0</v>
      </c>
      <c r="P26" s="369">
        <f t="shared" si="13"/>
        <v>0</v>
      </c>
      <c r="Q26" s="375" t="str">
        <f t="shared" si="14"/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/>
      <c r="C27" s="379"/>
      <c r="D27" s="380">
        <f>D6*'Satış Fiyat'!D341</f>
        <v>0</v>
      </c>
      <c r="E27" s="381">
        <f>E6*'Satış Fiyat'!E341</f>
        <v>0</v>
      </c>
      <c r="F27" s="381">
        <f>F6*'Satış Fiyat'!F341</f>
        <v>0</v>
      </c>
      <c r="G27" s="381">
        <f>G6*'Satış Fiyat'!G341</f>
        <v>0</v>
      </c>
      <c r="H27" s="382">
        <f>H6*'Satış Fiyat'!H341</f>
        <v>0</v>
      </c>
      <c r="I27" s="382">
        <f>I6*'Satış Fiyat'!I341</f>
        <v>0</v>
      </c>
      <c r="J27" s="382">
        <f>J6*'Satış Fiyat'!J341</f>
        <v>0</v>
      </c>
      <c r="K27" s="382">
        <f>K6*'Satış Fiyat'!K341</f>
        <v>0</v>
      </c>
      <c r="L27" s="382">
        <f>L6*'Satış Fiyat'!L341</f>
        <v>0</v>
      </c>
      <c r="M27" s="382">
        <f>M6*'Satış Fiyat'!M341</f>
        <v>0</v>
      </c>
      <c r="N27" s="382">
        <f>N6*'Satış Fiyat'!N341</f>
        <v>0</v>
      </c>
      <c r="O27" s="383">
        <f>O6*'Satış Fiyat'!O341</f>
        <v>0</v>
      </c>
      <c r="P27" s="378">
        <f t="shared" si="13"/>
        <v>0</v>
      </c>
      <c r="Q27" s="384" t="str">
        <f t="shared" si="14"/>
        <v>-</v>
      </c>
    </row>
    <row r="28" spans="1:22" ht="15" customHeight="1">
      <c r="A28" s="385" t="s">
        <v>27</v>
      </c>
      <c r="B28" s="1458">
        <f>+B26+B27</f>
        <v>0</v>
      </c>
      <c r="C28" s="390">
        <f>+C26+C27</f>
        <v>0</v>
      </c>
      <c r="D28" s="388">
        <f t="shared" ref="D28:O28" si="15">SUM(D26:D27)</f>
        <v>0</v>
      </c>
      <c r="E28" s="389">
        <f t="shared" si="15"/>
        <v>0</v>
      </c>
      <c r="F28" s="389">
        <f t="shared" si="15"/>
        <v>0</v>
      </c>
      <c r="G28" s="389">
        <f t="shared" si="15"/>
        <v>0</v>
      </c>
      <c r="H28" s="389">
        <f t="shared" si="15"/>
        <v>0</v>
      </c>
      <c r="I28" s="389">
        <f t="shared" si="15"/>
        <v>0</v>
      </c>
      <c r="J28" s="389">
        <f t="shared" si="15"/>
        <v>0</v>
      </c>
      <c r="K28" s="389">
        <f t="shared" si="15"/>
        <v>0</v>
      </c>
      <c r="L28" s="389">
        <f t="shared" si="15"/>
        <v>0</v>
      </c>
      <c r="M28" s="389">
        <f t="shared" si="15"/>
        <v>0</v>
      </c>
      <c r="N28" s="389">
        <f t="shared" si="15"/>
        <v>0</v>
      </c>
      <c r="O28" s="390">
        <f t="shared" si="15"/>
        <v>0</v>
      </c>
      <c r="P28" s="391">
        <f t="shared" si="13"/>
        <v>0</v>
      </c>
      <c r="Q28" s="449" t="str">
        <f t="shared" si="14"/>
        <v>-</v>
      </c>
    </row>
    <row r="29" spans="1:22" ht="16.5" customHeight="1">
      <c r="A29" s="393" t="s">
        <v>17</v>
      </c>
      <c r="B29" s="394"/>
      <c r="C29" s="395"/>
      <c r="D29" s="396">
        <f>D8*'Satış Fiyat'!D343</f>
        <v>0</v>
      </c>
      <c r="E29" s="397">
        <f>E8*'Satış Fiyat'!E343</f>
        <v>0</v>
      </c>
      <c r="F29" s="397">
        <f>F8*'Satış Fiyat'!F343</f>
        <v>0</v>
      </c>
      <c r="G29" s="397">
        <f>G8*'Satış Fiyat'!G343</f>
        <v>0</v>
      </c>
      <c r="H29" s="397">
        <f>H8*'Satış Fiyat'!H343</f>
        <v>0</v>
      </c>
      <c r="I29" s="397">
        <f>I8*'Satış Fiyat'!I343</f>
        <v>0</v>
      </c>
      <c r="J29" s="397">
        <f>J8*'Satış Fiyat'!J343</f>
        <v>0</v>
      </c>
      <c r="K29" s="397">
        <f>K8*'Satış Fiyat'!K343</f>
        <v>0</v>
      </c>
      <c r="L29" s="397">
        <f>L8*'Satış Fiyat'!L343</f>
        <v>0</v>
      </c>
      <c r="M29" s="397">
        <f>M8*'Satış Fiyat'!M343</f>
        <v>0</v>
      </c>
      <c r="N29" s="397">
        <f>N8*'Satış Fiyat'!N343</f>
        <v>0</v>
      </c>
      <c r="O29" s="398">
        <f>O8*'Satış Fiyat'!O343</f>
        <v>0</v>
      </c>
      <c r="P29" s="399">
        <f t="shared" si="13"/>
        <v>0</v>
      </c>
      <c r="Q29" s="384" t="str">
        <f t="shared" si="14"/>
        <v>-</v>
      </c>
    </row>
    <row r="30" spans="1:22" ht="16.5" customHeight="1">
      <c r="A30" s="400" t="s">
        <v>81</v>
      </c>
      <c r="B30" s="2177"/>
      <c r="C30" s="370">
        <f>B30/10*12</f>
        <v>0</v>
      </c>
      <c r="D30" s="1563">
        <f>D9*'Satış Fiyat'!D344</f>
        <v>0</v>
      </c>
      <c r="E30" s="1560">
        <f>E9*'Satış Fiyat'!E344</f>
        <v>0</v>
      </c>
      <c r="F30" s="1560">
        <f>F9*'Satış Fiyat'!F344</f>
        <v>0</v>
      </c>
      <c r="G30" s="1560">
        <f>G9*'Satış Fiyat'!G344</f>
        <v>0</v>
      </c>
      <c r="H30" s="1560">
        <f>H9*'Satış Fiyat'!H344</f>
        <v>0</v>
      </c>
      <c r="I30" s="1560">
        <f>I9*'Satış Fiyat'!I344</f>
        <v>0</v>
      </c>
      <c r="J30" s="1560">
        <f>J9*'Satış Fiyat'!J344</f>
        <v>0</v>
      </c>
      <c r="K30" s="1560">
        <f>K9*'Satış Fiyat'!K344</f>
        <v>0</v>
      </c>
      <c r="L30" s="1560">
        <f>L9*'Satış Fiyat'!L344</f>
        <v>0</v>
      </c>
      <c r="M30" s="1560">
        <f>M9*'Satış Fiyat'!M344</f>
        <v>0</v>
      </c>
      <c r="N30" s="1560">
        <f>N9*'Satış Fiyat'!N344</f>
        <v>0</v>
      </c>
      <c r="O30" s="387">
        <f>O9*'Satış Fiyat'!O344</f>
        <v>0</v>
      </c>
      <c r="P30" s="386">
        <f t="shared" si="13"/>
        <v>0</v>
      </c>
      <c r="Q30" s="405" t="str">
        <f t="shared" si="14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Fiyat'!D345</f>
        <v>0</v>
      </c>
      <c r="E31" s="397">
        <f>E10*'Satış Fiyat'!E345</f>
        <v>0</v>
      </c>
      <c r="F31" s="397">
        <f>F10*'Satış Fiyat'!F345</f>
        <v>0</v>
      </c>
      <c r="G31" s="397">
        <f>G10*'Satış Fiyat'!G345</f>
        <v>0</v>
      </c>
      <c r="H31" s="397">
        <f>H10*'Satış Fiyat'!H345</f>
        <v>0</v>
      </c>
      <c r="I31" s="397">
        <f>I10*'Satış Fiyat'!I345</f>
        <v>0</v>
      </c>
      <c r="J31" s="397">
        <f>J10*'Satış Fiyat'!J345</f>
        <v>0</v>
      </c>
      <c r="K31" s="397">
        <f>K10*'Satış Fiyat'!K345</f>
        <v>0</v>
      </c>
      <c r="L31" s="397">
        <f>L10*'Satış Fiyat'!L345</f>
        <v>0</v>
      </c>
      <c r="M31" s="397">
        <f>M10*'Satış Fiyat'!M345</f>
        <v>0</v>
      </c>
      <c r="N31" s="397">
        <f>N10*'Satış Fiyat'!N345</f>
        <v>0</v>
      </c>
      <c r="O31" s="398">
        <f>O10*'Satış Fiyat'!O345</f>
        <v>0</v>
      </c>
      <c r="P31" s="399">
        <f t="shared" si="13"/>
        <v>0</v>
      </c>
      <c r="Q31" s="384" t="str">
        <f t="shared" si="14"/>
        <v>-</v>
      </c>
    </row>
    <row r="32" spans="1:22" ht="16.5" customHeight="1">
      <c r="A32" s="400" t="s">
        <v>83</v>
      </c>
      <c r="B32" s="408"/>
      <c r="C32" s="370">
        <f>B32/10*12</f>
        <v>0</v>
      </c>
      <c r="D32" s="402">
        <f>D11*'Satış Fiyat'!D346</f>
        <v>0</v>
      </c>
      <c r="E32" s="403">
        <f>E11*'Satış Fiyat'!E346</f>
        <v>0</v>
      </c>
      <c r="F32" s="389">
        <f>F11*'Satış Fiyat'!F346</f>
        <v>0</v>
      </c>
      <c r="G32" s="403">
        <f>G11*'Satış Fiyat'!G346</f>
        <v>0</v>
      </c>
      <c r="H32" s="403">
        <f>H11*'Satış Fiyat'!H346</f>
        <v>0</v>
      </c>
      <c r="I32" s="403">
        <f>I11*'Satış Fiyat'!I346</f>
        <v>0</v>
      </c>
      <c r="J32" s="403">
        <f>J11*'Satış Fiyat'!J346</f>
        <v>0</v>
      </c>
      <c r="K32" s="403">
        <f>K11*'Satış Fiyat'!K346</f>
        <v>0</v>
      </c>
      <c r="L32" s="403">
        <f>L11*'Satış Fiyat'!L346</f>
        <v>0</v>
      </c>
      <c r="M32" s="403">
        <f>M11*'Satış Fiyat'!M346</f>
        <v>0</v>
      </c>
      <c r="N32" s="403">
        <f>N11*'Satış Fiyat'!N346</f>
        <v>0</v>
      </c>
      <c r="O32" s="404">
        <f>O11*'Satış Fiyat'!O346</f>
        <v>0</v>
      </c>
      <c r="P32" s="386">
        <f t="shared" si="13"/>
        <v>0</v>
      </c>
      <c r="Q32" s="405" t="str">
        <f t="shared" si="14"/>
        <v>-</v>
      </c>
    </row>
    <row r="33" spans="1:22" ht="16.5" hidden="1" customHeight="1">
      <c r="A33" s="406" t="s">
        <v>84</v>
      </c>
      <c r="B33" s="378"/>
      <c r="C33" s="379"/>
      <c r="D33" s="407">
        <f>D12*'Satış Fiyat'!D347</f>
        <v>0</v>
      </c>
      <c r="E33" s="382">
        <f>E12*'Satış Fiyat'!E347</f>
        <v>0</v>
      </c>
      <c r="F33" s="382">
        <f>F12*'Satış Fiyat'!F347</f>
        <v>0</v>
      </c>
      <c r="G33" s="382">
        <f>G12*'Satış Fiyat'!G347</f>
        <v>0</v>
      </c>
      <c r="H33" s="382">
        <f>H12*'Satış Fiyat'!H347</f>
        <v>0</v>
      </c>
      <c r="I33" s="381">
        <f>I12*'Satış Fiyat'!I347</f>
        <v>0</v>
      </c>
      <c r="J33" s="381">
        <f>J12*'Satış Fiyat'!J347</f>
        <v>0</v>
      </c>
      <c r="K33" s="382">
        <f>K12*'Satış Fiyat'!K347</f>
        <v>0</v>
      </c>
      <c r="L33" s="382">
        <f>L12*'Satış Fiyat'!L347</f>
        <v>0</v>
      </c>
      <c r="M33" s="382">
        <f>M12*'Satış Fiyat'!M347</f>
        <v>0</v>
      </c>
      <c r="N33" s="382">
        <f>N12*'Satış Fiyat'!N347</f>
        <v>0</v>
      </c>
      <c r="O33" s="383">
        <f>O12*'Satış Fiyat'!O347</f>
        <v>0</v>
      </c>
      <c r="P33" s="399">
        <f t="shared" si="13"/>
        <v>0</v>
      </c>
      <c r="Q33" s="384" t="str">
        <f t="shared" si="14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6">SUM(E30:E33)</f>
        <v>0</v>
      </c>
      <c r="F34" s="414">
        <f t="shared" si="16"/>
        <v>0</v>
      </c>
      <c r="G34" s="414">
        <f t="shared" si="16"/>
        <v>0</v>
      </c>
      <c r="H34" s="414">
        <f t="shared" si="16"/>
        <v>0</v>
      </c>
      <c r="I34" s="414">
        <f t="shared" si="16"/>
        <v>0</v>
      </c>
      <c r="J34" s="414">
        <f t="shared" si="16"/>
        <v>0</v>
      </c>
      <c r="K34" s="414">
        <f t="shared" si="16"/>
        <v>0</v>
      </c>
      <c r="L34" s="414">
        <f t="shared" si="16"/>
        <v>0</v>
      </c>
      <c r="M34" s="414">
        <f t="shared" si="16"/>
        <v>0</v>
      </c>
      <c r="N34" s="414">
        <f t="shared" si="16"/>
        <v>0</v>
      </c>
      <c r="O34" s="412">
        <f t="shared" si="16"/>
        <v>0</v>
      </c>
      <c r="P34" s="411">
        <f t="shared" si="13"/>
        <v>0</v>
      </c>
      <c r="Q34" s="415" t="str">
        <f t="shared" si="14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:O35" si="17">SUM(C36:C37)</f>
        <v>0</v>
      </c>
      <c r="D35" s="417">
        <f t="shared" si="17"/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3"/>
        <v>0</v>
      </c>
      <c r="Q35" s="421" t="str">
        <f t="shared" si="14"/>
        <v>-</v>
      </c>
    </row>
    <row r="36" spans="1:22" ht="16.5" customHeight="1">
      <c r="A36" s="422" t="s">
        <v>19</v>
      </c>
      <c r="B36" s="423"/>
      <c r="C36" s="424"/>
      <c r="D36" s="425">
        <f>D15*'Satış Fiyat'!D350</f>
        <v>0</v>
      </c>
      <c r="E36" s="426">
        <f>E15*'Satış Fiyat'!E350</f>
        <v>0</v>
      </c>
      <c r="F36" s="426">
        <f>F15*'Satış Fiyat'!F350</f>
        <v>0</v>
      </c>
      <c r="G36" s="426">
        <f>G15*'Satış Fiyat'!G350</f>
        <v>0</v>
      </c>
      <c r="H36" s="426">
        <f>H15*'Satış Fiyat'!H350</f>
        <v>0</v>
      </c>
      <c r="I36" s="426">
        <f>I15*'Satış Fiyat'!I350</f>
        <v>0</v>
      </c>
      <c r="J36" s="426">
        <f>J15*'Satış Fiyat'!J350</f>
        <v>0</v>
      </c>
      <c r="K36" s="426">
        <f>K15*'Satış Fiyat'!K350</f>
        <v>0</v>
      </c>
      <c r="L36" s="426">
        <f>L15*'Satış Fiyat'!L350</f>
        <v>0</v>
      </c>
      <c r="M36" s="426">
        <f>M15*'Satış Fiyat'!M350</f>
        <v>0</v>
      </c>
      <c r="N36" s="426">
        <f>N15*'Satış Fiyat'!N350</f>
        <v>0</v>
      </c>
      <c r="O36" s="427">
        <f>O15*'Satış Fiyat'!O350</f>
        <v>0</v>
      </c>
      <c r="P36" s="428">
        <f t="shared" si="13"/>
        <v>0</v>
      </c>
      <c r="Q36" s="429" t="str">
        <f t="shared" si="14"/>
        <v>-</v>
      </c>
    </row>
    <row r="37" spans="1:22" ht="16.5" customHeight="1" thickBot="1">
      <c r="A37" s="430" t="s">
        <v>20</v>
      </c>
      <c r="B37" s="431">
        <v>0</v>
      </c>
      <c r="C37" s="432">
        <f>B37/10*12</f>
        <v>0</v>
      </c>
      <c r="D37" s="433">
        <f>D16*'Satış Fiyat'!D351</f>
        <v>0</v>
      </c>
      <c r="E37" s="434">
        <f>E16*'Satış Fiyat'!E351</f>
        <v>0</v>
      </c>
      <c r="F37" s="434">
        <f>F16*'Satış Fiyat'!F351</f>
        <v>0</v>
      </c>
      <c r="G37" s="434">
        <f>G16*'Satış Fiyat'!G351</f>
        <v>0</v>
      </c>
      <c r="H37" s="434">
        <f>H16*'Satış Fiyat'!H351</f>
        <v>0</v>
      </c>
      <c r="I37" s="434">
        <f>I16*'Satış Fiyat'!I351</f>
        <v>0</v>
      </c>
      <c r="J37" s="434">
        <f>J16*'Satış Fiyat'!J351</f>
        <v>0</v>
      </c>
      <c r="K37" s="434">
        <f>K16*'Satış Fiyat'!K351</f>
        <v>0</v>
      </c>
      <c r="L37" s="434">
        <f>L16*'Satış Fiyat'!L351</f>
        <v>0</v>
      </c>
      <c r="M37" s="434">
        <f>M16*'Satış Fiyat'!M351</f>
        <v>0</v>
      </c>
      <c r="N37" s="434">
        <f>N16*'Satış Fiyat'!N351</f>
        <v>0</v>
      </c>
      <c r="O37" s="435">
        <f>O16*'Satış Fiyat'!O351</f>
        <v>0</v>
      </c>
      <c r="P37" s="436">
        <f t="shared" si="13"/>
        <v>0</v>
      </c>
      <c r="Q37" s="437" t="str">
        <f t="shared" si="14"/>
        <v>-</v>
      </c>
    </row>
    <row r="38" spans="1:22" ht="22.5" customHeight="1" thickBot="1">
      <c r="A38" s="362" t="s">
        <v>30</v>
      </c>
      <c r="B38" s="363">
        <f t="shared" ref="B38:O38" si="18">SUM(B39:B40)</f>
        <v>0.16949</v>
      </c>
      <c r="C38" s="416">
        <f t="shared" si="18"/>
        <v>0</v>
      </c>
      <c r="D38" s="417">
        <f t="shared" si="18"/>
        <v>0</v>
      </c>
      <c r="E38" s="418">
        <f t="shared" si="18"/>
        <v>0</v>
      </c>
      <c r="F38" s="418">
        <f t="shared" si="18"/>
        <v>0</v>
      </c>
      <c r="G38" s="418">
        <f t="shared" si="18"/>
        <v>0</v>
      </c>
      <c r="H38" s="418">
        <f t="shared" si="18"/>
        <v>0</v>
      </c>
      <c r="I38" s="418">
        <f t="shared" si="18"/>
        <v>0</v>
      </c>
      <c r="J38" s="418">
        <f t="shared" si="18"/>
        <v>0</v>
      </c>
      <c r="K38" s="418">
        <f t="shared" si="18"/>
        <v>0</v>
      </c>
      <c r="L38" s="418">
        <f t="shared" si="18"/>
        <v>0</v>
      </c>
      <c r="M38" s="418">
        <f t="shared" si="18"/>
        <v>0</v>
      </c>
      <c r="N38" s="418">
        <f t="shared" si="18"/>
        <v>0</v>
      </c>
      <c r="O38" s="419">
        <f t="shared" si="18"/>
        <v>0</v>
      </c>
      <c r="P38" s="420">
        <f t="shared" si="13"/>
        <v>0</v>
      </c>
      <c r="Q38" s="421" t="str">
        <f t="shared" si="14"/>
        <v>-</v>
      </c>
    </row>
    <row r="39" spans="1:22" ht="16.5" customHeight="1">
      <c r="A39" s="422" t="s">
        <v>106</v>
      </c>
      <c r="B39" s="2250">
        <v>0.16949</v>
      </c>
      <c r="C39" s="424"/>
      <c r="D39" s="425">
        <f>D18*'Satış Fiyat'!D353</f>
        <v>0</v>
      </c>
      <c r="E39" s="426">
        <f>E18*'Satış Fiyat'!E353</f>
        <v>0</v>
      </c>
      <c r="F39" s="426">
        <f>F18*'Satış Fiyat'!F353</f>
        <v>0</v>
      </c>
      <c r="G39" s="426">
        <f>G18*'Satış Fiyat'!G353</f>
        <v>0</v>
      </c>
      <c r="H39" s="426">
        <f>H18*'Satış Fiyat'!H353</f>
        <v>0</v>
      </c>
      <c r="I39" s="426">
        <f>I18*'Satış Fiyat'!I353</f>
        <v>0</v>
      </c>
      <c r="J39" s="426">
        <f>J18*'Satış Fiyat'!J353</f>
        <v>0</v>
      </c>
      <c r="K39" s="426">
        <f>K18*'Satış Fiyat'!K353</f>
        <v>0</v>
      </c>
      <c r="L39" s="426">
        <f>L18*'Satış Fiyat'!L353</f>
        <v>0</v>
      </c>
      <c r="M39" s="426">
        <f>M18*'Satış Fiyat'!M353</f>
        <v>0</v>
      </c>
      <c r="N39" s="426">
        <f>N18*'Satış Fiyat'!N353</f>
        <v>0</v>
      </c>
      <c r="O39" s="427">
        <f>O18*'Satış Fiyat'!O353</f>
        <v>0</v>
      </c>
      <c r="P39" s="428">
        <f t="shared" si="13"/>
        <v>0</v>
      </c>
      <c r="Q39" s="429" t="str">
        <f t="shared" si="14"/>
        <v>-</v>
      </c>
    </row>
    <row r="40" spans="1:22" ht="16.5" customHeight="1" thickBot="1">
      <c r="A40" s="438" t="s">
        <v>105</v>
      </c>
      <c r="B40" s="439"/>
      <c r="C40" s="440">
        <f>B40/10*12</f>
        <v>0</v>
      </c>
      <c r="D40" s="441">
        <f>D19*'Satış Fiyat'!D354</f>
        <v>0</v>
      </c>
      <c r="E40" s="442">
        <f>E19*'Satış Fiyat'!E354</f>
        <v>0</v>
      </c>
      <c r="F40" s="442">
        <f>F19*'Satış Fiyat'!F354</f>
        <v>0</v>
      </c>
      <c r="G40" s="442">
        <f>G19*'Satış Fiyat'!G354</f>
        <v>0</v>
      </c>
      <c r="H40" s="442">
        <f>H19*'Satış Fiyat'!H354</f>
        <v>0</v>
      </c>
      <c r="I40" s="442">
        <f>I19*'Satış Fiyat'!I354</f>
        <v>0</v>
      </c>
      <c r="J40" s="442">
        <f>J19*'Satış Fiyat'!J354</f>
        <v>0</v>
      </c>
      <c r="K40" s="442">
        <f>K19*'Satış Fiyat'!K354</f>
        <v>0</v>
      </c>
      <c r="L40" s="442">
        <f>L19*'Satış Fiyat'!L354</f>
        <v>0</v>
      </c>
      <c r="M40" s="442">
        <f>M19*'Satış Fiyat'!M354</f>
        <v>0</v>
      </c>
      <c r="N40" s="442">
        <f>N19*'Satış Fiyat'!N354</f>
        <v>0</v>
      </c>
      <c r="O40" s="443">
        <f>O19*'Satış Fiyat'!O354</f>
        <v>0</v>
      </c>
      <c r="P40" s="444">
        <f t="shared" si="13"/>
        <v>0</v>
      </c>
      <c r="Q40" s="445" t="str">
        <f t="shared" si="14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/>
      <c r="D42" s="365">
        <f>D21*'Satış Fiyat'!D356</f>
        <v>0</v>
      </c>
      <c r="E42" s="366">
        <f>E21*'Satış Fiyat'!E356</f>
        <v>0</v>
      </c>
      <c r="F42" s="366">
        <f>F21*'Satış Fiyat'!F356</f>
        <v>0</v>
      </c>
      <c r="G42" s="366">
        <f>G21*'Satış Fiyat'!G356</f>
        <v>0</v>
      </c>
      <c r="H42" s="366">
        <f>H21*'Satış Fiyat'!H356</f>
        <v>0</v>
      </c>
      <c r="I42" s="366">
        <f>I21*'Satış Fiyat'!I356</f>
        <v>0</v>
      </c>
      <c r="J42" s="366">
        <f>J21*'Satış Fiyat'!J356</f>
        <v>0</v>
      </c>
      <c r="K42" s="366">
        <f>K21*'Satış Fiyat'!K356</f>
        <v>0</v>
      </c>
      <c r="L42" s="366">
        <f>L21*'Satış Fiyat'!L356</f>
        <v>0</v>
      </c>
      <c r="M42" s="366">
        <f>M21*'Satış Fiyat'!M356</f>
        <v>0</v>
      </c>
      <c r="N42" s="366">
        <f>N21*'Satış Fiyat'!N356</f>
        <v>0</v>
      </c>
      <c r="O42" s="448">
        <f>O21*'Satış Fiyat'!O356</f>
        <v>0</v>
      </c>
      <c r="P42" s="363">
        <f t="shared" si="13"/>
        <v>0</v>
      </c>
      <c r="Q42" s="367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3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0.16949</v>
      </c>
      <c r="C44" s="364">
        <f t="shared" ref="C44:O44" si="19">+C25+C35+C38+C42</f>
        <v>0</v>
      </c>
      <c r="D44" s="365">
        <f>+D25+D35+D38+D42</f>
        <v>0</v>
      </c>
      <c r="E44" s="366">
        <f t="shared" si="19"/>
        <v>0</v>
      </c>
      <c r="F44" s="366">
        <f t="shared" si="19"/>
        <v>0</v>
      </c>
      <c r="G44" s="366">
        <f>+G25+G35+G38+G42</f>
        <v>0</v>
      </c>
      <c r="H44" s="366">
        <f t="shared" si="19"/>
        <v>0</v>
      </c>
      <c r="I44" s="366">
        <f t="shared" si="19"/>
        <v>0</v>
      </c>
      <c r="J44" s="366">
        <f t="shared" si="19"/>
        <v>0</v>
      </c>
      <c r="K44" s="366">
        <f t="shared" si="19"/>
        <v>0</v>
      </c>
      <c r="L44" s="366">
        <f t="shared" si="19"/>
        <v>0</v>
      </c>
      <c r="M44" s="366">
        <f t="shared" si="19"/>
        <v>0</v>
      </c>
      <c r="N44" s="366">
        <f t="shared" si="19"/>
        <v>0</v>
      </c>
      <c r="O44" s="364">
        <f t="shared" si="19"/>
        <v>0</v>
      </c>
      <c r="P44" s="363">
        <f t="shared" si="13"/>
        <v>0</v>
      </c>
      <c r="Q44" s="367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937" t="s">
        <v>638</v>
      </c>
    </row>
    <row r="47" spans="1:22" ht="30.75" customHeight="1" thickBot="1">
      <c r="A47" s="356"/>
      <c r="B47" s="357" t="s">
        <v>657</v>
      </c>
      <c r="C47" s="357" t="s">
        <v>663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94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:O48" si="20">C51+C52+C57</f>
        <v>0</v>
      </c>
      <c r="D48" s="365">
        <f t="shared" si="20"/>
        <v>0</v>
      </c>
      <c r="E48" s="366">
        <f t="shared" si="20"/>
        <v>0</v>
      </c>
      <c r="F48" s="366">
        <f t="shared" si="20"/>
        <v>0</v>
      </c>
      <c r="G48" s="366">
        <f t="shared" si="20"/>
        <v>0</v>
      </c>
      <c r="H48" s="366">
        <f t="shared" si="20"/>
        <v>0</v>
      </c>
      <c r="I48" s="366">
        <f t="shared" si="20"/>
        <v>0</v>
      </c>
      <c r="J48" s="366">
        <f t="shared" si="20"/>
        <v>0</v>
      </c>
      <c r="K48" s="366">
        <f t="shared" si="20"/>
        <v>0</v>
      </c>
      <c r="L48" s="366">
        <f t="shared" si="20"/>
        <v>0</v>
      </c>
      <c r="M48" s="366">
        <f t="shared" si="20"/>
        <v>0</v>
      </c>
      <c r="N48" s="366">
        <f t="shared" si="20"/>
        <v>0</v>
      </c>
      <c r="O48" s="364">
        <f t="shared" si="20"/>
        <v>0</v>
      </c>
      <c r="P48" s="363">
        <f t="shared" ref="P48:P67" si="21">SUM(D48:O48)</f>
        <v>0</v>
      </c>
      <c r="Q48" s="367" t="str">
        <f t="shared" ref="Q48:Q63" si="22"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/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23">+$T$49*H26</f>
        <v>0</v>
      </c>
      <c r="I49" s="373">
        <f>+$T$49*I26</f>
        <v>0</v>
      </c>
      <c r="J49" s="373">
        <f>+$U$49*J26</f>
        <v>0</v>
      </c>
      <c r="K49" s="373">
        <f t="shared" ref="K49" si="24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1"/>
        <v>0</v>
      </c>
      <c r="Q49" s="375" t="str">
        <f t="shared" si="22"/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5">+$S$50*E27</f>
        <v>0</v>
      </c>
      <c r="F50" s="382">
        <f t="shared" si="25"/>
        <v>0</v>
      </c>
      <c r="G50" s="382">
        <f t="shared" si="25"/>
        <v>0</v>
      </c>
      <c r="H50" s="382">
        <f t="shared" si="25"/>
        <v>0</v>
      </c>
      <c r="I50" s="382">
        <f t="shared" si="25"/>
        <v>0</v>
      </c>
      <c r="J50" s="382">
        <f t="shared" si="25"/>
        <v>0</v>
      </c>
      <c r="K50" s="382">
        <f t="shared" si="25"/>
        <v>0</v>
      </c>
      <c r="L50" s="382">
        <f t="shared" si="25"/>
        <v>0</v>
      </c>
      <c r="M50" s="382">
        <f t="shared" si="25"/>
        <v>0</v>
      </c>
      <c r="N50" s="382">
        <f t="shared" si="25"/>
        <v>0</v>
      </c>
      <c r="O50" s="383">
        <f t="shared" si="25"/>
        <v>0</v>
      </c>
      <c r="P50" s="378">
        <f t="shared" si="21"/>
        <v>0</v>
      </c>
      <c r="Q50" s="384" t="str">
        <f t="shared" si="22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26">SUM(E49:E50)</f>
        <v>0</v>
      </c>
      <c r="F51" s="389">
        <f t="shared" si="26"/>
        <v>0</v>
      </c>
      <c r="G51" s="389">
        <f>SUM(G49:G50)</f>
        <v>0</v>
      </c>
      <c r="H51" s="389">
        <f t="shared" ref="H51" si="27">SUM(H49:H50)</f>
        <v>0</v>
      </c>
      <c r="I51" s="389">
        <f>SUM(I49:I50)</f>
        <v>0</v>
      </c>
      <c r="J51" s="389">
        <f>SUM(J49:J50)</f>
        <v>0</v>
      </c>
      <c r="K51" s="389">
        <f t="shared" ref="K51" si="28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1"/>
        <v>0</v>
      </c>
      <c r="Q51" s="449" t="str">
        <f t="shared" si="22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>+$S$52*E29</f>
        <v>0</v>
      </c>
      <c r="F52" s="397">
        <f>+$S$52*F29</f>
        <v>0</v>
      </c>
      <c r="G52" s="397">
        <f>+$T$52*G29</f>
        <v>0</v>
      </c>
      <c r="H52" s="397">
        <f t="shared" ref="H52" si="29">+$T$52*H29</f>
        <v>0</v>
      </c>
      <c r="I52" s="397">
        <f>+$T$52*I29</f>
        <v>0</v>
      </c>
      <c r="J52" s="397">
        <f>+$U$52*J29</f>
        <v>0</v>
      </c>
      <c r="K52" s="397">
        <f t="shared" ref="K52" si="30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1"/>
        <v>0</v>
      </c>
      <c r="Q52" s="384" t="str">
        <f t="shared" si="22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2177"/>
      <c r="C53" s="370">
        <f>B53/10*12</f>
        <v>0</v>
      </c>
      <c r="D53" s="402">
        <f>+$S$53*D30</f>
        <v>0</v>
      </c>
      <c r="E53" s="403">
        <f t="shared" ref="E53:F53" si="31">+$S$53*E30</f>
        <v>0</v>
      </c>
      <c r="F53" s="403">
        <f t="shared" si="31"/>
        <v>0</v>
      </c>
      <c r="G53" s="403">
        <f>+$T$53*G30</f>
        <v>0</v>
      </c>
      <c r="H53" s="403">
        <f t="shared" ref="H53" si="32">+$T$53*H30</f>
        <v>0</v>
      </c>
      <c r="I53" s="403">
        <f>+$T$53*I30</f>
        <v>0</v>
      </c>
      <c r="J53" s="403">
        <f>+$U$53*J30</f>
        <v>0</v>
      </c>
      <c r="K53" s="403">
        <f t="shared" ref="K53" si="33">+$U$53*K30</f>
        <v>0</v>
      </c>
      <c r="L53" s="403">
        <f>+$U$53*L30</f>
        <v>0</v>
      </c>
      <c r="M53" s="403">
        <f>+$V$53*M30</f>
        <v>0</v>
      </c>
      <c r="N53" s="403">
        <f t="shared" ref="N53" si="34">+$V$53*N30</f>
        <v>0</v>
      </c>
      <c r="O53" s="404">
        <f>+$V$53*O30</f>
        <v>0</v>
      </c>
      <c r="P53" s="386">
        <f t="shared" si="21"/>
        <v>0</v>
      </c>
      <c r="Q53" s="405" t="str">
        <f t="shared" si="22"/>
        <v>-</v>
      </c>
      <c r="S53" s="461">
        <v>3.5000000000000003E-2</v>
      </c>
      <c r="T53" s="461">
        <v>3.5000000000000003E-2</v>
      </c>
      <c r="U53" s="461">
        <v>3.5000000000000003E-2</v>
      </c>
      <c r="V53" s="461">
        <v>3.5000000000000003E-2</v>
      </c>
    </row>
    <row r="54" spans="1:22" ht="16.5" hidden="1" customHeight="1">
      <c r="A54" s="406" t="s">
        <v>82</v>
      </c>
      <c r="B54" s="394"/>
      <c r="C54" s="395"/>
      <c r="D54" s="407">
        <f t="shared" ref="D54:O54" si="35">+$S$54*D31</f>
        <v>0</v>
      </c>
      <c r="E54" s="382">
        <f t="shared" si="35"/>
        <v>0</v>
      </c>
      <c r="F54" s="382">
        <f t="shared" si="35"/>
        <v>0</v>
      </c>
      <c r="G54" s="382">
        <f t="shared" si="35"/>
        <v>0</v>
      </c>
      <c r="H54" s="382">
        <f t="shared" si="35"/>
        <v>0</v>
      </c>
      <c r="I54" s="382">
        <f t="shared" si="35"/>
        <v>0</v>
      </c>
      <c r="J54" s="382">
        <f t="shared" si="35"/>
        <v>0</v>
      </c>
      <c r="K54" s="382">
        <f t="shared" si="35"/>
        <v>0</v>
      </c>
      <c r="L54" s="382">
        <f t="shared" si="35"/>
        <v>0</v>
      </c>
      <c r="M54" s="382">
        <f t="shared" si="35"/>
        <v>0</v>
      </c>
      <c r="N54" s="382">
        <f t="shared" si="35"/>
        <v>0</v>
      </c>
      <c r="O54" s="383">
        <f t="shared" si="35"/>
        <v>0</v>
      </c>
      <c r="P54" s="399">
        <f t="shared" si="21"/>
        <v>0</v>
      </c>
      <c r="Q54" s="384" t="str">
        <f t="shared" si="22"/>
        <v>-</v>
      </c>
      <c r="S54" s="460"/>
      <c r="T54" s="460"/>
      <c r="U54" s="460"/>
      <c r="V54" s="460"/>
    </row>
    <row r="55" spans="1:22" ht="16.5" customHeight="1">
      <c r="A55" s="400" t="s">
        <v>83</v>
      </c>
      <c r="B55" s="408"/>
      <c r="C55" s="370">
        <f>B55/10*12</f>
        <v>0</v>
      </c>
      <c r="D55" s="402">
        <f t="shared" ref="D55:F55" si="36">+$S$55*D32</f>
        <v>0</v>
      </c>
      <c r="E55" s="403">
        <f t="shared" si="36"/>
        <v>0</v>
      </c>
      <c r="F55" s="403">
        <f t="shared" si="36"/>
        <v>0</v>
      </c>
      <c r="G55" s="403">
        <f>+$T$55*G32</f>
        <v>0</v>
      </c>
      <c r="H55" s="403">
        <f t="shared" ref="H55" si="37">+$T$55*H32</f>
        <v>0</v>
      </c>
      <c r="I55" s="403">
        <f>+$T$55*I32</f>
        <v>0</v>
      </c>
      <c r="J55" s="403">
        <f>+$U$55*J32</f>
        <v>0</v>
      </c>
      <c r="K55" s="403">
        <f t="shared" ref="K55" si="38">+$U$55*K32</f>
        <v>0</v>
      </c>
      <c r="L55" s="403">
        <f>+$U$55*L32</f>
        <v>0</v>
      </c>
      <c r="M55" s="403">
        <f>+$V$55*M32</f>
        <v>0</v>
      </c>
      <c r="N55" s="403">
        <f t="shared" ref="N55" si="39">+$V$55*N32</f>
        <v>0</v>
      </c>
      <c r="O55" s="404">
        <f>+$V$55*O32</f>
        <v>0</v>
      </c>
      <c r="P55" s="386">
        <f t="shared" si="21"/>
        <v>0</v>
      </c>
      <c r="Q55" s="405" t="str">
        <f t="shared" si="22"/>
        <v>-</v>
      </c>
      <c r="S55" s="461">
        <v>3.5000000000000003E-2</v>
      </c>
      <c r="T55" s="461">
        <v>3.5000000000000003E-2</v>
      </c>
      <c r="U55" s="461">
        <v>0.03</v>
      </c>
      <c r="V55" s="461">
        <v>3.5000000000000003E-2</v>
      </c>
    </row>
    <row r="56" spans="1:22" ht="16.5" hidden="1" customHeight="1">
      <c r="A56" s="406" t="s">
        <v>84</v>
      </c>
      <c r="B56" s="378"/>
      <c r="C56" s="379"/>
      <c r="D56" s="407">
        <f t="shared" ref="D56:O56" si="40">+$S$56*D33</f>
        <v>0</v>
      </c>
      <c r="E56" s="382">
        <f t="shared" si="40"/>
        <v>0</v>
      </c>
      <c r="F56" s="382">
        <f t="shared" si="40"/>
        <v>0</v>
      </c>
      <c r="G56" s="382">
        <f t="shared" si="40"/>
        <v>0</v>
      </c>
      <c r="H56" s="382">
        <f t="shared" si="40"/>
        <v>0</v>
      </c>
      <c r="I56" s="382">
        <f t="shared" si="40"/>
        <v>0</v>
      </c>
      <c r="J56" s="382">
        <f t="shared" si="40"/>
        <v>0</v>
      </c>
      <c r="K56" s="382">
        <f t="shared" si="40"/>
        <v>0</v>
      </c>
      <c r="L56" s="382">
        <f t="shared" si="40"/>
        <v>0</v>
      </c>
      <c r="M56" s="382">
        <f t="shared" si="40"/>
        <v>0</v>
      </c>
      <c r="N56" s="382">
        <f t="shared" si="40"/>
        <v>0</v>
      </c>
      <c r="O56" s="383">
        <f t="shared" si="40"/>
        <v>0</v>
      </c>
      <c r="P56" s="399">
        <f t="shared" si="21"/>
        <v>0</v>
      </c>
      <c r="Q56" s="384" t="str">
        <f t="shared" si="22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F57" si="41">SUM(B53:B56)</f>
        <v>0</v>
      </c>
      <c r="C57" s="412">
        <f t="shared" si="41"/>
        <v>0</v>
      </c>
      <c r="D57" s="413">
        <f t="shared" si="41"/>
        <v>0</v>
      </c>
      <c r="E57" s="414">
        <f t="shared" si="41"/>
        <v>0</v>
      </c>
      <c r="F57" s="414">
        <f t="shared" si="41"/>
        <v>0</v>
      </c>
      <c r="G57" s="414">
        <f>SUM(G53:G56)</f>
        <v>0</v>
      </c>
      <c r="H57" s="414">
        <f t="shared" ref="H57" si="42">SUM(H53:H56)</f>
        <v>0</v>
      </c>
      <c r="I57" s="414">
        <f>SUM(I53:I56)</f>
        <v>0</v>
      </c>
      <c r="J57" s="414">
        <f>SUM(J53:J56)</f>
        <v>0</v>
      </c>
      <c r="K57" s="414">
        <f t="shared" ref="K57" si="43">SUM(K53:K56)</f>
        <v>0</v>
      </c>
      <c r="L57" s="414">
        <f>SUM(L53:L56)</f>
        <v>0</v>
      </c>
      <c r="M57" s="414">
        <f>SUM(M53:M56)</f>
        <v>0</v>
      </c>
      <c r="N57" s="414">
        <f t="shared" ref="N57" si="44">SUM(N53:N56)</f>
        <v>0</v>
      </c>
      <c r="O57" s="412">
        <f>SUM(O53:O56)</f>
        <v>0</v>
      </c>
      <c r="P57" s="411">
        <f t="shared" si="21"/>
        <v>0</v>
      </c>
      <c r="Q57" s="415" t="str">
        <f t="shared" si="22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:F58" si="45">SUM(C59:C60)</f>
        <v>0</v>
      </c>
      <c r="D58" s="417">
        <f t="shared" si="45"/>
        <v>0</v>
      </c>
      <c r="E58" s="418">
        <f t="shared" si="45"/>
        <v>0</v>
      </c>
      <c r="F58" s="418">
        <f t="shared" si="45"/>
        <v>0</v>
      </c>
      <c r="G58" s="418">
        <f>SUM(G59:G60)</f>
        <v>0</v>
      </c>
      <c r="H58" s="418">
        <f t="shared" ref="H58" si="46">SUM(H59:H60)</f>
        <v>0</v>
      </c>
      <c r="I58" s="418">
        <f>SUM(I59:I60)</f>
        <v>0</v>
      </c>
      <c r="J58" s="418">
        <f>SUM(J59:J60)</f>
        <v>0</v>
      </c>
      <c r="K58" s="418">
        <f t="shared" ref="K58" si="47">SUM(K59:K60)</f>
        <v>0</v>
      </c>
      <c r="L58" s="418">
        <f>SUM(L59:L60)</f>
        <v>0</v>
      </c>
      <c r="M58" s="418">
        <f>SUM(M59:M60)</f>
        <v>0</v>
      </c>
      <c r="N58" s="418">
        <f t="shared" ref="N58" si="48">SUM(N59:N60)</f>
        <v>0</v>
      </c>
      <c r="O58" s="419">
        <f>SUM(O59:O60)</f>
        <v>0</v>
      </c>
      <c r="P58" s="420">
        <f t="shared" si="21"/>
        <v>0</v>
      </c>
      <c r="Q58" s="421" t="str">
        <f t="shared" si="22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49">+$S$59*E36</f>
        <v>0</v>
      </c>
      <c r="F59" s="426">
        <f t="shared" si="49"/>
        <v>0</v>
      </c>
      <c r="G59" s="426">
        <f>+$T$59*G36</f>
        <v>0</v>
      </c>
      <c r="H59" s="426">
        <f t="shared" ref="H59" si="50">+$T$59*H36</f>
        <v>0</v>
      </c>
      <c r="I59" s="426">
        <f>+$T$59*I36</f>
        <v>0</v>
      </c>
      <c r="J59" s="426">
        <f>+$U$59*J36</f>
        <v>0</v>
      </c>
      <c r="K59" s="426">
        <f t="shared" ref="K59" si="51">+$U$59*K36</f>
        <v>0</v>
      </c>
      <c r="L59" s="426">
        <f>+$U$59*L36</f>
        <v>0</v>
      </c>
      <c r="M59" s="426">
        <f>+$V$59*M36</f>
        <v>0</v>
      </c>
      <c r="N59" s="426">
        <f t="shared" ref="N59" si="52">+$V$59*N36</f>
        <v>0</v>
      </c>
      <c r="O59" s="427">
        <f>+$V$59*O36</f>
        <v>0</v>
      </c>
      <c r="P59" s="428">
        <f>SUM(D59:O59)</f>
        <v>0</v>
      </c>
      <c r="Q59" s="429" t="str">
        <f t="shared" si="22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>
        <v>0</v>
      </c>
      <c r="C60" s="432">
        <f>B60/10*12</f>
        <v>0</v>
      </c>
      <c r="D60" s="433">
        <f>+$S$60*D37</f>
        <v>0</v>
      </c>
      <c r="E60" s="434">
        <f t="shared" ref="E60:F60" si="53">+$S$60*E37</f>
        <v>0</v>
      </c>
      <c r="F60" s="434">
        <f t="shared" si="53"/>
        <v>0</v>
      </c>
      <c r="G60" s="434">
        <f>+$T$60*G37</f>
        <v>0</v>
      </c>
      <c r="H60" s="434">
        <f t="shared" ref="H60" si="54">+$T$60*H37</f>
        <v>0</v>
      </c>
      <c r="I60" s="434">
        <f>+$T$60*I37</f>
        <v>0</v>
      </c>
      <c r="J60" s="434">
        <f>+$U$60*J37</f>
        <v>0</v>
      </c>
      <c r="K60" s="434">
        <f t="shared" ref="K60" si="55">+$U$60*K37</f>
        <v>0</v>
      </c>
      <c r="L60" s="434">
        <f>+$U$60*L37</f>
        <v>0</v>
      </c>
      <c r="M60" s="434">
        <f>+$V$60*M37</f>
        <v>0</v>
      </c>
      <c r="N60" s="434">
        <f t="shared" ref="N60" si="56">+$V$60*N37</f>
        <v>0</v>
      </c>
      <c r="O60" s="435">
        <f>+$V$60*O37</f>
        <v>0</v>
      </c>
      <c r="P60" s="436">
        <f t="shared" si="21"/>
        <v>0</v>
      </c>
      <c r="Q60" s="437" t="str">
        <f t="shared" si="22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F61" si="57">SUM(B62:B63)</f>
        <v>0</v>
      </c>
      <c r="C61" s="416">
        <f t="shared" si="57"/>
        <v>0</v>
      </c>
      <c r="D61" s="417">
        <f t="shared" si="57"/>
        <v>0</v>
      </c>
      <c r="E61" s="418">
        <f t="shared" si="57"/>
        <v>0</v>
      </c>
      <c r="F61" s="418">
        <f t="shared" si="57"/>
        <v>0</v>
      </c>
      <c r="G61" s="418">
        <f>SUM(G62:G63)</f>
        <v>0</v>
      </c>
      <c r="H61" s="418">
        <f t="shared" ref="H61" si="58">SUM(H62:H63)</f>
        <v>0</v>
      </c>
      <c r="I61" s="418">
        <f>SUM(I62:I63)</f>
        <v>0</v>
      </c>
      <c r="J61" s="418">
        <f>SUM(J62:J63)</f>
        <v>0</v>
      </c>
      <c r="K61" s="418">
        <f t="shared" ref="K61" si="59">SUM(K62:K63)</f>
        <v>0</v>
      </c>
      <c r="L61" s="418">
        <f>SUM(L62:L63)</f>
        <v>0</v>
      </c>
      <c r="M61" s="418">
        <f>SUM(M62:M63)</f>
        <v>0</v>
      </c>
      <c r="N61" s="418">
        <f t="shared" ref="N61" si="60">SUM(N62:N63)</f>
        <v>0</v>
      </c>
      <c r="O61" s="419">
        <f>SUM(O62:O63)</f>
        <v>0</v>
      </c>
      <c r="P61" s="420">
        <f t="shared" si="21"/>
        <v>0</v>
      </c>
      <c r="Q61" s="421" t="str">
        <f t="shared" si="22"/>
        <v>-</v>
      </c>
    </row>
    <row r="62" spans="1:22" ht="16.5" customHeight="1">
      <c r="A62" s="422" t="s">
        <v>106</v>
      </c>
      <c r="B62" s="2250">
        <v>0</v>
      </c>
      <c r="C62" s="424"/>
      <c r="D62" s="425">
        <f>+$S$62*D39</f>
        <v>0</v>
      </c>
      <c r="E62" s="426">
        <f t="shared" ref="E62:F62" si="61">+$S$62*E39</f>
        <v>0</v>
      </c>
      <c r="F62" s="426">
        <f t="shared" si="61"/>
        <v>0</v>
      </c>
      <c r="G62" s="426">
        <f>+$T$62*G39</f>
        <v>0</v>
      </c>
      <c r="H62" s="426">
        <f t="shared" ref="H62" si="62">+$T$62*H39</f>
        <v>0</v>
      </c>
      <c r="I62" s="426">
        <f>+$T$62*I39</f>
        <v>0</v>
      </c>
      <c r="J62" s="426">
        <f>+$U$62*J39</f>
        <v>0</v>
      </c>
      <c r="K62" s="426">
        <f t="shared" ref="K62" si="63">+$U$62*K39</f>
        <v>0</v>
      </c>
      <c r="L62" s="426">
        <f>+$U$62*L39</f>
        <v>0</v>
      </c>
      <c r="M62" s="426">
        <f>+$V$62*M39</f>
        <v>0</v>
      </c>
      <c r="N62" s="426">
        <f t="shared" ref="N62" si="64">+$V$62*N39</f>
        <v>0</v>
      </c>
      <c r="O62" s="427">
        <f>+$V$62*O39</f>
        <v>0</v>
      </c>
      <c r="P62" s="428">
        <f t="shared" si="21"/>
        <v>0</v>
      </c>
      <c r="Q62" s="429" t="str">
        <f t="shared" si="22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65">+$S$63*E40</f>
        <v>0</v>
      </c>
      <c r="F63" s="442">
        <f t="shared" si="65"/>
        <v>0</v>
      </c>
      <c r="G63" s="442">
        <f>+$T$63*G40</f>
        <v>0</v>
      </c>
      <c r="H63" s="442">
        <f t="shared" ref="H63" si="66">+$T$63*H40</f>
        <v>0</v>
      </c>
      <c r="I63" s="442">
        <f>+$T$63*I40</f>
        <v>0</v>
      </c>
      <c r="J63" s="442">
        <f>+$U$63*J40</f>
        <v>0</v>
      </c>
      <c r="K63" s="442">
        <f t="shared" ref="K63" si="67">+$U$63*K40</f>
        <v>0</v>
      </c>
      <c r="L63" s="442">
        <f>+$U$63*L40</f>
        <v>0</v>
      </c>
      <c r="M63" s="442">
        <f>+$V$63*M40</f>
        <v>0</v>
      </c>
      <c r="N63" s="442">
        <f t="shared" ref="N63" si="68">+$V$63*N40</f>
        <v>0</v>
      </c>
      <c r="O63" s="443">
        <f>+$V$63*O40</f>
        <v>0</v>
      </c>
      <c r="P63" s="444">
        <f>SUM(D63:O63)</f>
        <v>0</v>
      </c>
      <c r="Q63" s="445" t="str">
        <f t="shared" si="22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/>
      <c r="D65" s="365">
        <f>+$S$65*D42</f>
        <v>0</v>
      </c>
      <c r="E65" s="366">
        <f t="shared" ref="E65:F65" si="69">+$S$65*E42</f>
        <v>0</v>
      </c>
      <c r="F65" s="366">
        <f t="shared" si="69"/>
        <v>0</v>
      </c>
      <c r="G65" s="366">
        <f>+$T$65*G42</f>
        <v>0</v>
      </c>
      <c r="H65" s="366">
        <f t="shared" ref="H65" si="70">+$T$65*H42</f>
        <v>0</v>
      </c>
      <c r="I65" s="366">
        <f>+$T$65*I42</f>
        <v>0</v>
      </c>
      <c r="J65" s="366">
        <f>+$T$65*J42</f>
        <v>0</v>
      </c>
      <c r="K65" s="366">
        <f t="shared" ref="K65" si="71">+$T$65*K42</f>
        <v>0</v>
      </c>
      <c r="L65" s="366">
        <f>+$U$65*L42</f>
        <v>0</v>
      </c>
      <c r="M65" s="366">
        <f>+$V$65*M42</f>
        <v>0</v>
      </c>
      <c r="N65" s="366">
        <f t="shared" ref="N65" si="72">+$V$65*N42</f>
        <v>0</v>
      </c>
      <c r="O65" s="448">
        <f>+$V$65*O42</f>
        <v>0</v>
      </c>
      <c r="P65" s="363">
        <f t="shared" si="21"/>
        <v>0</v>
      </c>
      <c r="Q65" s="367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1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73">+C48+C58+C61+C65</f>
        <v>0</v>
      </c>
      <c r="D67" s="365">
        <f>+D48+D58+D61+D65</f>
        <v>0</v>
      </c>
      <c r="E67" s="366">
        <f t="shared" ref="E67:F67" si="74">+E48+E58+E61+E65</f>
        <v>0</v>
      </c>
      <c r="F67" s="366">
        <f t="shared" si="74"/>
        <v>0</v>
      </c>
      <c r="G67" s="366">
        <f>+G48+G58+G61+G65</f>
        <v>0</v>
      </c>
      <c r="H67" s="366">
        <f t="shared" ref="H67:I67" si="75">+H48+H58+H61+H65</f>
        <v>0</v>
      </c>
      <c r="I67" s="366">
        <f t="shared" si="75"/>
        <v>0</v>
      </c>
      <c r="J67" s="366">
        <f>+J48+J58+J61+J65</f>
        <v>0</v>
      </c>
      <c r="K67" s="366">
        <f t="shared" ref="K67" si="76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77">+N48+N58+N61+N65</f>
        <v>0</v>
      </c>
      <c r="O67" s="364">
        <f>+O48+O58+O61+O65</f>
        <v>0</v>
      </c>
      <c r="P67" s="363">
        <f t="shared" si="21"/>
        <v>0</v>
      </c>
      <c r="Q67" s="367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937" t="s">
        <v>638</v>
      </c>
    </row>
    <row r="70" spans="1:22" ht="34.5" customHeight="1" thickBot="1">
      <c r="A70" s="356"/>
      <c r="B70" s="357" t="s">
        <v>657</v>
      </c>
      <c r="C70" s="357" t="s">
        <v>663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94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:O71" si="78">C74+C75+C80</f>
        <v>0</v>
      </c>
      <c r="D71" s="365">
        <f t="shared" si="78"/>
        <v>0</v>
      </c>
      <c r="E71" s="366">
        <f t="shared" si="78"/>
        <v>0</v>
      </c>
      <c r="F71" s="366">
        <f t="shared" si="78"/>
        <v>0</v>
      </c>
      <c r="G71" s="366">
        <f t="shared" si="78"/>
        <v>0</v>
      </c>
      <c r="H71" s="366">
        <f t="shared" si="78"/>
        <v>0</v>
      </c>
      <c r="I71" s="366">
        <f t="shared" si="78"/>
        <v>0</v>
      </c>
      <c r="J71" s="366">
        <f t="shared" si="78"/>
        <v>0</v>
      </c>
      <c r="K71" s="366">
        <f t="shared" si="78"/>
        <v>0</v>
      </c>
      <c r="L71" s="366">
        <f t="shared" si="78"/>
        <v>0</v>
      </c>
      <c r="M71" s="366">
        <f t="shared" si="78"/>
        <v>0</v>
      </c>
      <c r="N71" s="366">
        <f t="shared" si="78"/>
        <v>0</v>
      </c>
      <c r="O71" s="364">
        <f t="shared" si="78"/>
        <v>0</v>
      </c>
      <c r="P71" s="363">
        <f>SUM(D71:O71)</f>
        <v>0</v>
      </c>
      <c r="Q71" s="367" t="str">
        <f t="shared" ref="Q71:Q86" si="79">IF(P71=0,"-",P71/C71-1)</f>
        <v>-</v>
      </c>
    </row>
    <row r="72" spans="1:22" ht="16.5" customHeight="1">
      <c r="A72" s="368" t="s">
        <v>15</v>
      </c>
      <c r="B72" s="369">
        <f t="shared" ref="B72:O84" si="80">+B26-B49</f>
        <v>0</v>
      </c>
      <c r="C72" s="370">
        <f t="shared" si="80"/>
        <v>0</v>
      </c>
      <c r="D72" s="371">
        <f>+D26-D49</f>
        <v>0</v>
      </c>
      <c r="E72" s="372">
        <f t="shared" si="80"/>
        <v>0</v>
      </c>
      <c r="F72" s="372">
        <f t="shared" si="80"/>
        <v>0</v>
      </c>
      <c r="G72" s="372">
        <f t="shared" si="80"/>
        <v>0</v>
      </c>
      <c r="H72" s="373">
        <f t="shared" si="80"/>
        <v>0</v>
      </c>
      <c r="I72" s="373">
        <f t="shared" si="80"/>
        <v>0</v>
      </c>
      <c r="J72" s="373">
        <f t="shared" si="80"/>
        <v>0</v>
      </c>
      <c r="K72" s="373">
        <f t="shared" si="80"/>
        <v>0</v>
      </c>
      <c r="L72" s="373">
        <f t="shared" si="80"/>
        <v>0</v>
      </c>
      <c r="M72" s="373">
        <f t="shared" si="80"/>
        <v>0</v>
      </c>
      <c r="N72" s="373">
        <f t="shared" si="80"/>
        <v>0</v>
      </c>
      <c r="O72" s="374">
        <f t="shared" si="80"/>
        <v>0</v>
      </c>
      <c r="P72" s="369">
        <f t="shared" ref="P72:P90" si="81">SUM(D72:O72)</f>
        <v>0</v>
      </c>
      <c r="Q72" s="375" t="str">
        <f t="shared" si="79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0"/>
        <v>0</v>
      </c>
      <c r="C73" s="379">
        <f t="shared" si="80"/>
        <v>0</v>
      </c>
      <c r="D73" s="380">
        <f t="shared" si="80"/>
        <v>0</v>
      </c>
      <c r="E73" s="381">
        <f t="shared" si="80"/>
        <v>0</v>
      </c>
      <c r="F73" s="381">
        <f t="shared" si="80"/>
        <v>0</v>
      </c>
      <c r="G73" s="381">
        <f t="shared" si="80"/>
        <v>0</v>
      </c>
      <c r="H73" s="382">
        <f t="shared" si="80"/>
        <v>0</v>
      </c>
      <c r="I73" s="382">
        <f t="shared" si="80"/>
        <v>0</v>
      </c>
      <c r="J73" s="382">
        <f t="shared" si="80"/>
        <v>0</v>
      </c>
      <c r="K73" s="382">
        <f t="shared" si="80"/>
        <v>0</v>
      </c>
      <c r="L73" s="382">
        <f t="shared" si="80"/>
        <v>0</v>
      </c>
      <c r="M73" s="382">
        <f t="shared" si="80"/>
        <v>0</v>
      </c>
      <c r="N73" s="382">
        <f t="shared" si="80"/>
        <v>0</v>
      </c>
      <c r="O73" s="383">
        <f t="shared" si="80"/>
        <v>0</v>
      </c>
      <c r="P73" s="378">
        <f t="shared" si="81"/>
        <v>0</v>
      </c>
      <c r="Q73" s="384" t="str">
        <f t="shared" si="79"/>
        <v>-</v>
      </c>
    </row>
    <row r="74" spans="1:22" ht="15" customHeight="1">
      <c r="A74" s="385" t="s">
        <v>27</v>
      </c>
      <c r="B74" s="391">
        <f>+B72+B73</f>
        <v>0</v>
      </c>
      <c r="C74" s="390"/>
      <c r="D74" s="388">
        <f t="shared" ref="D74:O74" si="82">SUM(D72:D73)</f>
        <v>0</v>
      </c>
      <c r="E74" s="389">
        <f t="shared" si="82"/>
        <v>0</v>
      </c>
      <c r="F74" s="389">
        <f t="shared" si="82"/>
        <v>0</v>
      </c>
      <c r="G74" s="389">
        <f t="shared" si="82"/>
        <v>0</v>
      </c>
      <c r="H74" s="389">
        <f t="shared" si="82"/>
        <v>0</v>
      </c>
      <c r="I74" s="389">
        <f t="shared" si="82"/>
        <v>0</v>
      </c>
      <c r="J74" s="389">
        <f t="shared" si="82"/>
        <v>0</v>
      </c>
      <c r="K74" s="389">
        <f t="shared" si="82"/>
        <v>0</v>
      </c>
      <c r="L74" s="389">
        <f t="shared" si="82"/>
        <v>0</v>
      </c>
      <c r="M74" s="389">
        <f t="shared" si="82"/>
        <v>0</v>
      </c>
      <c r="N74" s="389">
        <f t="shared" si="82"/>
        <v>0</v>
      </c>
      <c r="O74" s="390">
        <f t="shared" si="82"/>
        <v>0</v>
      </c>
      <c r="P74" s="391">
        <f t="shared" si="81"/>
        <v>0</v>
      </c>
      <c r="Q74" s="449" t="str">
        <f t="shared" si="79"/>
        <v>-</v>
      </c>
    </row>
    <row r="75" spans="1:22" ht="16.5" customHeight="1">
      <c r="A75" s="393" t="s">
        <v>17</v>
      </c>
      <c r="B75" s="394">
        <f t="shared" si="80"/>
        <v>0</v>
      </c>
      <c r="C75" s="395">
        <f t="shared" si="80"/>
        <v>0</v>
      </c>
      <c r="D75" s="396">
        <f t="shared" si="80"/>
        <v>0</v>
      </c>
      <c r="E75" s="397">
        <f t="shared" si="80"/>
        <v>0</v>
      </c>
      <c r="F75" s="397">
        <f t="shared" si="80"/>
        <v>0</v>
      </c>
      <c r="G75" s="397">
        <f t="shared" si="80"/>
        <v>0</v>
      </c>
      <c r="H75" s="397">
        <f t="shared" si="80"/>
        <v>0</v>
      </c>
      <c r="I75" s="397">
        <f t="shared" si="80"/>
        <v>0</v>
      </c>
      <c r="J75" s="397">
        <f t="shared" si="80"/>
        <v>0</v>
      </c>
      <c r="K75" s="397">
        <f t="shared" si="80"/>
        <v>0</v>
      </c>
      <c r="L75" s="397">
        <f t="shared" si="80"/>
        <v>0</v>
      </c>
      <c r="M75" s="397">
        <f t="shared" si="80"/>
        <v>0</v>
      </c>
      <c r="N75" s="397">
        <f t="shared" si="80"/>
        <v>0</v>
      </c>
      <c r="O75" s="398">
        <f t="shared" si="80"/>
        <v>0</v>
      </c>
      <c r="P75" s="399">
        <f t="shared" si="81"/>
        <v>0</v>
      </c>
      <c r="Q75" s="384" t="str">
        <f t="shared" si="79"/>
        <v>-</v>
      </c>
    </row>
    <row r="76" spans="1:22" ht="16.5" customHeight="1">
      <c r="A76" s="400" t="s">
        <v>81</v>
      </c>
      <c r="B76" s="391">
        <f t="shared" si="80"/>
        <v>0</v>
      </c>
      <c r="C76" s="450">
        <f t="shared" si="80"/>
        <v>0</v>
      </c>
      <c r="D76" s="388">
        <f>+D30-D53</f>
        <v>0</v>
      </c>
      <c r="E76" s="389">
        <f t="shared" si="80"/>
        <v>0</v>
      </c>
      <c r="F76" s="389">
        <f t="shared" si="80"/>
        <v>0</v>
      </c>
      <c r="G76" s="389">
        <f t="shared" si="80"/>
        <v>0</v>
      </c>
      <c r="H76" s="389">
        <f t="shared" si="80"/>
        <v>0</v>
      </c>
      <c r="I76" s="389">
        <f t="shared" si="80"/>
        <v>0</v>
      </c>
      <c r="J76" s="389">
        <f t="shared" si="80"/>
        <v>0</v>
      </c>
      <c r="K76" s="389">
        <f t="shared" si="80"/>
        <v>0</v>
      </c>
      <c r="L76" s="389">
        <f t="shared" si="80"/>
        <v>0</v>
      </c>
      <c r="M76" s="389">
        <f t="shared" si="80"/>
        <v>0</v>
      </c>
      <c r="N76" s="389">
        <f t="shared" si="80"/>
        <v>0</v>
      </c>
      <c r="O76" s="390">
        <f t="shared" si="80"/>
        <v>0</v>
      </c>
      <c r="P76" s="386">
        <f t="shared" si="81"/>
        <v>0</v>
      </c>
      <c r="Q76" s="405" t="str">
        <f t="shared" si="79"/>
        <v>-</v>
      </c>
    </row>
    <row r="77" spans="1:22" ht="16.5" hidden="1" customHeight="1">
      <c r="A77" s="406" t="s">
        <v>82</v>
      </c>
      <c r="B77" s="394">
        <f t="shared" si="80"/>
        <v>0</v>
      </c>
      <c r="C77" s="395">
        <f t="shared" si="80"/>
        <v>0</v>
      </c>
      <c r="D77" s="396">
        <f t="shared" si="80"/>
        <v>0</v>
      </c>
      <c r="E77" s="397">
        <f t="shared" si="80"/>
        <v>0</v>
      </c>
      <c r="F77" s="397">
        <f t="shared" si="80"/>
        <v>0</v>
      </c>
      <c r="G77" s="397">
        <f t="shared" si="80"/>
        <v>0</v>
      </c>
      <c r="H77" s="397">
        <f t="shared" si="80"/>
        <v>0</v>
      </c>
      <c r="I77" s="397">
        <f t="shared" si="80"/>
        <v>0</v>
      </c>
      <c r="J77" s="397">
        <f t="shared" si="80"/>
        <v>0</v>
      </c>
      <c r="K77" s="397">
        <f t="shared" si="80"/>
        <v>0</v>
      </c>
      <c r="L77" s="397">
        <f t="shared" si="80"/>
        <v>0</v>
      </c>
      <c r="M77" s="397">
        <f t="shared" si="80"/>
        <v>0</v>
      </c>
      <c r="N77" s="397">
        <f t="shared" si="80"/>
        <v>0</v>
      </c>
      <c r="O77" s="398">
        <f t="shared" si="80"/>
        <v>0</v>
      </c>
      <c r="P77" s="399">
        <f>SUM(D77:O77)</f>
        <v>0</v>
      </c>
      <c r="Q77" s="384" t="str">
        <f t="shared" si="79"/>
        <v>-</v>
      </c>
    </row>
    <row r="78" spans="1:22" ht="16.5" customHeight="1">
      <c r="A78" s="400" t="s">
        <v>83</v>
      </c>
      <c r="B78" s="408">
        <f t="shared" si="80"/>
        <v>0</v>
      </c>
      <c r="C78" s="409">
        <f t="shared" si="80"/>
        <v>0</v>
      </c>
      <c r="D78" s="402">
        <f t="shared" si="80"/>
        <v>0</v>
      </c>
      <c r="E78" s="403">
        <f t="shared" si="80"/>
        <v>0</v>
      </c>
      <c r="F78" s="403">
        <f t="shared" si="80"/>
        <v>0</v>
      </c>
      <c r="G78" s="403">
        <f t="shared" si="80"/>
        <v>0</v>
      </c>
      <c r="H78" s="403">
        <f t="shared" si="80"/>
        <v>0</v>
      </c>
      <c r="I78" s="403">
        <f t="shared" si="80"/>
        <v>0</v>
      </c>
      <c r="J78" s="403">
        <f t="shared" si="80"/>
        <v>0</v>
      </c>
      <c r="K78" s="403">
        <f t="shared" si="80"/>
        <v>0</v>
      </c>
      <c r="L78" s="403">
        <f t="shared" si="80"/>
        <v>0</v>
      </c>
      <c r="M78" s="403">
        <f t="shared" si="80"/>
        <v>0</v>
      </c>
      <c r="N78" s="403">
        <f t="shared" si="80"/>
        <v>0</v>
      </c>
      <c r="O78" s="404">
        <f t="shared" si="80"/>
        <v>0</v>
      </c>
      <c r="P78" s="386">
        <f t="shared" si="81"/>
        <v>0</v>
      </c>
      <c r="Q78" s="405" t="str">
        <f t="shared" si="79"/>
        <v>-</v>
      </c>
    </row>
    <row r="79" spans="1:22" ht="16.5" hidden="1" customHeight="1">
      <c r="A79" s="406" t="s">
        <v>84</v>
      </c>
      <c r="B79" s="378">
        <f t="shared" si="80"/>
        <v>0</v>
      </c>
      <c r="C79" s="379">
        <f t="shared" si="80"/>
        <v>0</v>
      </c>
      <c r="D79" s="407">
        <f t="shared" si="80"/>
        <v>0</v>
      </c>
      <c r="E79" s="382">
        <f t="shared" si="80"/>
        <v>0</v>
      </c>
      <c r="F79" s="382">
        <f t="shared" si="80"/>
        <v>0</v>
      </c>
      <c r="G79" s="382">
        <f t="shared" si="80"/>
        <v>0</v>
      </c>
      <c r="H79" s="382">
        <f t="shared" si="80"/>
        <v>0</v>
      </c>
      <c r="I79" s="381">
        <f t="shared" si="80"/>
        <v>0</v>
      </c>
      <c r="J79" s="381">
        <f t="shared" si="80"/>
        <v>0</v>
      </c>
      <c r="K79" s="382">
        <f t="shared" si="80"/>
        <v>0</v>
      </c>
      <c r="L79" s="382">
        <f t="shared" si="80"/>
        <v>0</v>
      </c>
      <c r="M79" s="382">
        <f t="shared" si="80"/>
        <v>0</v>
      </c>
      <c r="N79" s="382">
        <f t="shared" si="80"/>
        <v>0</v>
      </c>
      <c r="O79" s="383">
        <f t="shared" si="80"/>
        <v>0</v>
      </c>
      <c r="P79" s="399">
        <f t="shared" si="81"/>
        <v>0</v>
      </c>
      <c r="Q79" s="384" t="str">
        <f t="shared" si="79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O80" si="83">SUM(B76:B79)</f>
        <v>0</v>
      </c>
      <c r="C80" s="412">
        <f t="shared" si="83"/>
        <v>0</v>
      </c>
      <c r="D80" s="413">
        <f t="shared" si="83"/>
        <v>0</v>
      </c>
      <c r="E80" s="414">
        <f t="shared" si="83"/>
        <v>0</v>
      </c>
      <c r="F80" s="414">
        <f t="shared" si="83"/>
        <v>0</v>
      </c>
      <c r="G80" s="414">
        <f t="shared" si="83"/>
        <v>0</v>
      </c>
      <c r="H80" s="414">
        <f t="shared" si="83"/>
        <v>0</v>
      </c>
      <c r="I80" s="414">
        <f t="shared" si="83"/>
        <v>0</v>
      </c>
      <c r="J80" s="414">
        <f t="shared" si="83"/>
        <v>0</v>
      </c>
      <c r="K80" s="414">
        <f t="shared" si="83"/>
        <v>0</v>
      </c>
      <c r="L80" s="414">
        <f t="shared" si="83"/>
        <v>0</v>
      </c>
      <c r="M80" s="414">
        <f t="shared" si="83"/>
        <v>0</v>
      </c>
      <c r="N80" s="414">
        <f t="shared" si="83"/>
        <v>0</v>
      </c>
      <c r="O80" s="412">
        <f t="shared" si="83"/>
        <v>0</v>
      </c>
      <c r="P80" s="411">
        <f t="shared" si="81"/>
        <v>0</v>
      </c>
      <c r="Q80" s="415" t="str">
        <f t="shared" si="79"/>
        <v>-</v>
      </c>
    </row>
    <row r="81" spans="1:22" ht="22.5" customHeight="1" thickBot="1">
      <c r="A81" s="362" t="s">
        <v>29</v>
      </c>
      <c r="B81" s="420">
        <f t="shared" si="80"/>
        <v>0</v>
      </c>
      <c r="C81" s="416">
        <f t="shared" si="80"/>
        <v>0</v>
      </c>
      <c r="D81" s="417">
        <f t="shared" si="80"/>
        <v>0</v>
      </c>
      <c r="E81" s="418">
        <f t="shared" si="80"/>
        <v>0</v>
      </c>
      <c r="F81" s="418">
        <f t="shared" si="80"/>
        <v>0</v>
      </c>
      <c r="G81" s="418">
        <f t="shared" si="80"/>
        <v>0</v>
      </c>
      <c r="H81" s="418">
        <f t="shared" si="80"/>
        <v>0</v>
      </c>
      <c r="I81" s="418">
        <f t="shared" si="80"/>
        <v>0</v>
      </c>
      <c r="J81" s="418">
        <f t="shared" si="80"/>
        <v>0</v>
      </c>
      <c r="K81" s="418">
        <f t="shared" si="80"/>
        <v>0</v>
      </c>
      <c r="L81" s="418">
        <f t="shared" si="80"/>
        <v>0</v>
      </c>
      <c r="M81" s="418">
        <f t="shared" si="80"/>
        <v>0</v>
      </c>
      <c r="N81" s="418">
        <f t="shared" si="80"/>
        <v>0</v>
      </c>
      <c r="O81" s="419">
        <f t="shared" si="80"/>
        <v>0</v>
      </c>
      <c r="P81" s="420">
        <f t="shared" si="81"/>
        <v>0</v>
      </c>
      <c r="Q81" s="421" t="str">
        <f t="shared" si="79"/>
        <v>-</v>
      </c>
    </row>
    <row r="82" spans="1:22" ht="16.5" customHeight="1">
      <c r="A82" s="422" t="s">
        <v>19</v>
      </c>
      <c r="B82" s="423">
        <f t="shared" si="80"/>
        <v>0</v>
      </c>
      <c r="C82" s="424">
        <f t="shared" si="80"/>
        <v>0</v>
      </c>
      <c r="D82" s="425">
        <f t="shared" si="80"/>
        <v>0</v>
      </c>
      <c r="E82" s="426">
        <f t="shared" si="80"/>
        <v>0</v>
      </c>
      <c r="F82" s="426">
        <f t="shared" si="80"/>
        <v>0</v>
      </c>
      <c r="G82" s="426">
        <f t="shared" si="80"/>
        <v>0</v>
      </c>
      <c r="H82" s="426">
        <f t="shared" si="80"/>
        <v>0</v>
      </c>
      <c r="I82" s="426">
        <f t="shared" si="80"/>
        <v>0</v>
      </c>
      <c r="J82" s="426">
        <f t="shared" si="80"/>
        <v>0</v>
      </c>
      <c r="K82" s="426">
        <f t="shared" si="80"/>
        <v>0</v>
      </c>
      <c r="L82" s="426">
        <f t="shared" si="80"/>
        <v>0</v>
      </c>
      <c r="M82" s="426">
        <f t="shared" si="80"/>
        <v>0</v>
      </c>
      <c r="N82" s="426">
        <f t="shared" si="80"/>
        <v>0</v>
      </c>
      <c r="O82" s="427">
        <f t="shared" si="80"/>
        <v>0</v>
      </c>
      <c r="P82" s="428">
        <f t="shared" si="81"/>
        <v>0</v>
      </c>
      <c r="Q82" s="429" t="str">
        <f t="shared" si="79"/>
        <v>-</v>
      </c>
    </row>
    <row r="83" spans="1:22" ht="16.5" customHeight="1" thickBot="1">
      <c r="A83" s="430" t="s">
        <v>20</v>
      </c>
      <c r="B83" s="431">
        <f t="shared" si="80"/>
        <v>0</v>
      </c>
      <c r="C83" s="432">
        <f t="shared" si="80"/>
        <v>0</v>
      </c>
      <c r="D83" s="433">
        <f t="shared" si="80"/>
        <v>0</v>
      </c>
      <c r="E83" s="434">
        <f t="shared" si="80"/>
        <v>0</v>
      </c>
      <c r="F83" s="434">
        <f t="shared" si="80"/>
        <v>0</v>
      </c>
      <c r="G83" s="434">
        <f t="shared" si="80"/>
        <v>0</v>
      </c>
      <c r="H83" s="434">
        <f t="shared" si="80"/>
        <v>0</v>
      </c>
      <c r="I83" s="434">
        <f t="shared" si="80"/>
        <v>0</v>
      </c>
      <c r="J83" s="434">
        <f t="shared" si="80"/>
        <v>0</v>
      </c>
      <c r="K83" s="434">
        <f t="shared" si="80"/>
        <v>0</v>
      </c>
      <c r="L83" s="434">
        <f t="shared" si="80"/>
        <v>0</v>
      </c>
      <c r="M83" s="434">
        <f t="shared" si="80"/>
        <v>0</v>
      </c>
      <c r="N83" s="434">
        <f t="shared" si="80"/>
        <v>0</v>
      </c>
      <c r="O83" s="435">
        <f t="shared" si="80"/>
        <v>0</v>
      </c>
      <c r="P83" s="436">
        <f t="shared" si="81"/>
        <v>0</v>
      </c>
      <c r="Q83" s="437" t="str">
        <f t="shared" si="79"/>
        <v>-</v>
      </c>
    </row>
    <row r="84" spans="1:22" ht="22.5" customHeight="1" thickBot="1">
      <c r="A84" s="362" t="s">
        <v>30</v>
      </c>
      <c r="B84" s="363">
        <f t="shared" si="80"/>
        <v>0.16949</v>
      </c>
      <c r="C84" s="364">
        <f t="shared" si="80"/>
        <v>0</v>
      </c>
      <c r="D84" s="365">
        <f t="shared" si="80"/>
        <v>0</v>
      </c>
      <c r="E84" s="366">
        <f t="shared" si="80"/>
        <v>0</v>
      </c>
      <c r="F84" s="366">
        <f t="shared" si="80"/>
        <v>0</v>
      </c>
      <c r="G84" s="366">
        <f t="shared" si="80"/>
        <v>0</v>
      </c>
      <c r="H84" s="366">
        <f t="shared" si="80"/>
        <v>0</v>
      </c>
      <c r="I84" s="366">
        <f t="shared" si="80"/>
        <v>0</v>
      </c>
      <c r="J84" s="366">
        <f t="shared" si="80"/>
        <v>0</v>
      </c>
      <c r="K84" s="366">
        <f t="shared" si="80"/>
        <v>0</v>
      </c>
      <c r="L84" s="366">
        <f t="shared" si="80"/>
        <v>0</v>
      </c>
      <c r="M84" s="366">
        <f t="shared" si="80"/>
        <v>0</v>
      </c>
      <c r="N84" s="366">
        <f t="shared" si="80"/>
        <v>0</v>
      </c>
      <c r="O84" s="448">
        <f t="shared" si="80"/>
        <v>0</v>
      </c>
      <c r="P84" s="363">
        <f t="shared" si="81"/>
        <v>0</v>
      </c>
      <c r="Q84" s="367" t="str">
        <f t="shared" si="79"/>
        <v>-</v>
      </c>
    </row>
    <row r="85" spans="1:22" ht="16.5" customHeight="1">
      <c r="A85" s="422" t="s">
        <v>106</v>
      </c>
      <c r="B85" s="423">
        <f t="shared" ref="B85:O85" si="84">+B39-B62</f>
        <v>0.16949</v>
      </c>
      <c r="C85" s="424">
        <f t="shared" si="84"/>
        <v>0</v>
      </c>
      <c r="D85" s="425">
        <f t="shared" si="84"/>
        <v>0</v>
      </c>
      <c r="E85" s="426">
        <f t="shared" si="84"/>
        <v>0</v>
      </c>
      <c r="F85" s="426">
        <f t="shared" si="84"/>
        <v>0</v>
      </c>
      <c r="G85" s="426">
        <f t="shared" si="84"/>
        <v>0</v>
      </c>
      <c r="H85" s="426">
        <f t="shared" si="84"/>
        <v>0</v>
      </c>
      <c r="I85" s="426">
        <f t="shared" si="84"/>
        <v>0</v>
      </c>
      <c r="J85" s="426">
        <f t="shared" si="84"/>
        <v>0</v>
      </c>
      <c r="K85" s="426">
        <f t="shared" si="84"/>
        <v>0</v>
      </c>
      <c r="L85" s="426">
        <f t="shared" si="84"/>
        <v>0</v>
      </c>
      <c r="M85" s="426">
        <f t="shared" si="84"/>
        <v>0</v>
      </c>
      <c r="N85" s="426">
        <f t="shared" si="84"/>
        <v>0</v>
      </c>
      <c r="O85" s="427">
        <f t="shared" si="84"/>
        <v>0</v>
      </c>
      <c r="P85" s="428">
        <f t="shared" si="81"/>
        <v>0</v>
      </c>
      <c r="Q85" s="429" t="str">
        <f t="shared" si="79"/>
        <v>-</v>
      </c>
    </row>
    <row r="86" spans="1:22" ht="16.5" customHeight="1" thickBot="1">
      <c r="A86" s="438" t="s">
        <v>105</v>
      </c>
      <c r="B86" s="439">
        <f t="shared" ref="B86:O86" si="85">+B40-B63</f>
        <v>0</v>
      </c>
      <c r="C86" s="440">
        <f t="shared" si="85"/>
        <v>0</v>
      </c>
      <c r="D86" s="441">
        <f t="shared" si="85"/>
        <v>0</v>
      </c>
      <c r="E86" s="442">
        <f t="shared" si="85"/>
        <v>0</v>
      </c>
      <c r="F86" s="442">
        <f t="shared" si="85"/>
        <v>0</v>
      </c>
      <c r="G86" s="442">
        <f t="shared" si="85"/>
        <v>0</v>
      </c>
      <c r="H86" s="442">
        <f t="shared" si="85"/>
        <v>0</v>
      </c>
      <c r="I86" s="442">
        <f t="shared" si="85"/>
        <v>0</v>
      </c>
      <c r="J86" s="442">
        <f t="shared" si="85"/>
        <v>0</v>
      </c>
      <c r="K86" s="442">
        <f t="shared" si="85"/>
        <v>0</v>
      </c>
      <c r="L86" s="442">
        <f t="shared" si="85"/>
        <v>0</v>
      </c>
      <c r="M86" s="442">
        <f t="shared" si="85"/>
        <v>0</v>
      </c>
      <c r="N86" s="442">
        <f t="shared" si="85"/>
        <v>0</v>
      </c>
      <c r="O86" s="443">
        <f t="shared" si="85"/>
        <v>0</v>
      </c>
      <c r="P86" s="444">
        <f t="shared" si="81"/>
        <v>0</v>
      </c>
      <c r="Q86" s="445" t="str">
        <f t="shared" si="79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O88" si="86">+B42-B65</f>
        <v>0</v>
      </c>
      <c r="C88" s="364">
        <f t="shared" si="86"/>
        <v>0</v>
      </c>
      <c r="D88" s="365">
        <f t="shared" si="86"/>
        <v>0</v>
      </c>
      <c r="E88" s="366">
        <f t="shared" si="86"/>
        <v>0</v>
      </c>
      <c r="F88" s="366">
        <f t="shared" si="86"/>
        <v>0</v>
      </c>
      <c r="G88" s="366">
        <f t="shared" si="86"/>
        <v>0</v>
      </c>
      <c r="H88" s="366">
        <f t="shared" si="86"/>
        <v>0</v>
      </c>
      <c r="I88" s="366">
        <f t="shared" si="86"/>
        <v>0</v>
      </c>
      <c r="J88" s="366">
        <f t="shared" si="86"/>
        <v>0</v>
      </c>
      <c r="K88" s="366">
        <f t="shared" si="86"/>
        <v>0</v>
      </c>
      <c r="L88" s="366">
        <f t="shared" si="86"/>
        <v>0</v>
      </c>
      <c r="M88" s="366">
        <f t="shared" si="86"/>
        <v>0</v>
      </c>
      <c r="N88" s="366">
        <f t="shared" si="86"/>
        <v>0</v>
      </c>
      <c r="O88" s="448">
        <f t="shared" si="86"/>
        <v>0</v>
      </c>
      <c r="P88" s="363">
        <f t="shared" si="81"/>
        <v>0</v>
      </c>
      <c r="Q88" s="367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1"/>
        <v>0</v>
      </c>
      <c r="Q89" s="453"/>
    </row>
    <row r="90" spans="1:22" ht="22.5" customHeight="1" thickBot="1">
      <c r="A90" s="362" t="s">
        <v>72</v>
      </c>
      <c r="B90" s="363">
        <f>+B71+B81+B84+B88</f>
        <v>0.16949</v>
      </c>
      <c r="C90" s="364">
        <f t="shared" ref="C90:O90" si="87">+C71+C81+C84+C88</f>
        <v>0</v>
      </c>
      <c r="D90" s="365">
        <f t="shared" si="87"/>
        <v>0</v>
      </c>
      <c r="E90" s="366">
        <f t="shared" si="87"/>
        <v>0</v>
      </c>
      <c r="F90" s="366">
        <f t="shared" si="87"/>
        <v>0</v>
      </c>
      <c r="G90" s="366">
        <f t="shared" si="87"/>
        <v>0</v>
      </c>
      <c r="H90" s="366">
        <f t="shared" si="87"/>
        <v>0</v>
      </c>
      <c r="I90" s="366">
        <f t="shared" si="87"/>
        <v>0</v>
      </c>
      <c r="J90" s="366">
        <f t="shared" si="87"/>
        <v>0</v>
      </c>
      <c r="K90" s="366">
        <f t="shared" si="87"/>
        <v>0</v>
      </c>
      <c r="L90" s="366">
        <f t="shared" si="87"/>
        <v>0</v>
      </c>
      <c r="M90" s="366">
        <f t="shared" si="87"/>
        <v>0</v>
      </c>
      <c r="N90" s="366">
        <f t="shared" si="87"/>
        <v>0</v>
      </c>
      <c r="O90" s="448">
        <f t="shared" si="87"/>
        <v>0</v>
      </c>
      <c r="P90" s="363">
        <f t="shared" si="81"/>
        <v>0</v>
      </c>
      <c r="Q90" s="367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937" t="s">
        <v>638</v>
      </c>
    </row>
    <row r="93" spans="1:22" ht="30.75" customHeight="1" thickBot="1">
      <c r="A93" s="356"/>
      <c r="B93" s="357" t="s">
        <v>657</v>
      </c>
      <c r="C93" s="357" t="s">
        <v>663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94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:P94" si="88">C97+C98+C103</f>
        <v>0</v>
      </c>
      <c r="D94" s="365">
        <f t="shared" si="88"/>
        <v>0</v>
      </c>
      <c r="E94" s="366">
        <f t="shared" si="88"/>
        <v>0</v>
      </c>
      <c r="F94" s="366">
        <f t="shared" si="88"/>
        <v>0</v>
      </c>
      <c r="G94" s="366">
        <f t="shared" si="88"/>
        <v>0</v>
      </c>
      <c r="H94" s="366">
        <f t="shared" si="88"/>
        <v>0</v>
      </c>
      <c r="I94" s="366">
        <f t="shared" si="88"/>
        <v>0</v>
      </c>
      <c r="J94" s="366">
        <f t="shared" si="88"/>
        <v>0</v>
      </c>
      <c r="K94" s="366">
        <f t="shared" si="88"/>
        <v>0</v>
      </c>
      <c r="L94" s="366">
        <f t="shared" si="88"/>
        <v>0</v>
      </c>
      <c r="M94" s="366">
        <f t="shared" si="88"/>
        <v>0</v>
      </c>
      <c r="N94" s="366">
        <f t="shared" si="88"/>
        <v>0</v>
      </c>
      <c r="O94" s="364">
        <f t="shared" si="88"/>
        <v>0</v>
      </c>
      <c r="P94" s="363">
        <f t="shared" si="88"/>
        <v>0</v>
      </c>
      <c r="Q94" s="367" t="str">
        <f t="shared" ref="Q94:Q109" si="89">IF(P94=0,"-",P94/C94-1)</f>
        <v>-</v>
      </c>
    </row>
    <row r="95" spans="1:22" ht="16.5" customHeight="1">
      <c r="A95" s="368" t="s">
        <v>15</v>
      </c>
      <c r="B95" s="369"/>
      <c r="C95" s="370"/>
      <c r="D95" s="371">
        <f>D5*'Alış Fiyat'!D340</f>
        <v>0</v>
      </c>
      <c r="E95" s="372">
        <f>E5*'Alış Fiyat'!E340</f>
        <v>0</v>
      </c>
      <c r="F95" s="372">
        <f>F5*'Alış Fiyat'!F340</f>
        <v>0</v>
      </c>
      <c r="G95" s="372">
        <f>G5*'Alış Fiyat'!G340</f>
        <v>0</v>
      </c>
      <c r="H95" s="373">
        <f>H5*'Alış Fiyat'!H340</f>
        <v>0</v>
      </c>
      <c r="I95" s="373">
        <f>I5*'Alış Fiyat'!I340</f>
        <v>0</v>
      </c>
      <c r="J95" s="373">
        <f>J5*'Alış Fiyat'!J340</f>
        <v>0</v>
      </c>
      <c r="K95" s="373">
        <f>K5*'Alış Fiyat'!K340</f>
        <v>0</v>
      </c>
      <c r="L95" s="373">
        <f>L5*'Alış Fiyat'!L340</f>
        <v>0</v>
      </c>
      <c r="M95" s="373">
        <f>M5*'Alış Fiyat'!M340</f>
        <v>0</v>
      </c>
      <c r="N95" s="373">
        <f>N5*'Alış Fiyat'!N340</f>
        <v>0</v>
      </c>
      <c r="O95" s="374">
        <f>O5*'Alış Fiyat'!O340</f>
        <v>0</v>
      </c>
      <c r="P95" s="369">
        <f t="shared" ref="P95:P102" si="90">SUM(D95:O95)</f>
        <v>0</v>
      </c>
      <c r="Q95" s="375" t="str">
        <f t="shared" si="89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/>
      <c r="C96" s="379"/>
      <c r="D96" s="380">
        <f>D6*'Alış Fiyat'!D341</f>
        <v>0</v>
      </c>
      <c r="E96" s="381">
        <f>E6*'Alış Fiyat'!E341</f>
        <v>0</v>
      </c>
      <c r="F96" s="381">
        <f>F6*'Alış Fiyat'!F341</f>
        <v>0</v>
      </c>
      <c r="G96" s="381">
        <f>G6*'Alış Fiyat'!G341</f>
        <v>0</v>
      </c>
      <c r="H96" s="382">
        <f>H6*'Alış Fiyat'!H341</f>
        <v>0</v>
      </c>
      <c r="I96" s="382">
        <f>I6*'Alış Fiyat'!I341</f>
        <v>0</v>
      </c>
      <c r="J96" s="382">
        <f>J6*'Alış Fiyat'!J341</f>
        <v>0</v>
      </c>
      <c r="K96" s="382">
        <f>K6*'Alış Fiyat'!K341</f>
        <v>0</v>
      </c>
      <c r="L96" s="382">
        <f>L6*'Alış Fiyat'!L341</f>
        <v>0</v>
      </c>
      <c r="M96" s="382">
        <f>M6*'Alış Fiyat'!M341</f>
        <v>0</v>
      </c>
      <c r="N96" s="382">
        <f>N6*'Alış Fiyat'!N341</f>
        <v>0</v>
      </c>
      <c r="O96" s="383">
        <f>O6*'Alış Fiyat'!O341</f>
        <v>0</v>
      </c>
      <c r="P96" s="378">
        <f t="shared" si="90"/>
        <v>0</v>
      </c>
      <c r="Q96" s="384" t="str">
        <f t="shared" si="89"/>
        <v>-</v>
      </c>
    </row>
    <row r="97" spans="1:22" ht="15" customHeight="1">
      <c r="A97" s="385" t="s">
        <v>27</v>
      </c>
      <c r="B97" s="1458">
        <f>+B95+B96</f>
        <v>0</v>
      </c>
      <c r="C97" s="390">
        <f>+C95+C96</f>
        <v>0</v>
      </c>
      <c r="D97" s="388">
        <f>SUM(D95:D96)</f>
        <v>0</v>
      </c>
      <c r="E97" s="389">
        <f t="shared" ref="E97:O97" si="91">SUM(E95:E96)</f>
        <v>0</v>
      </c>
      <c r="F97" s="389">
        <f t="shared" si="91"/>
        <v>0</v>
      </c>
      <c r="G97" s="389">
        <f t="shared" si="91"/>
        <v>0</v>
      </c>
      <c r="H97" s="389">
        <f t="shared" si="91"/>
        <v>0</v>
      </c>
      <c r="I97" s="389">
        <f t="shared" si="91"/>
        <v>0</v>
      </c>
      <c r="J97" s="389">
        <f t="shared" si="91"/>
        <v>0</v>
      </c>
      <c r="K97" s="389">
        <f t="shared" si="91"/>
        <v>0</v>
      </c>
      <c r="L97" s="389">
        <f t="shared" si="91"/>
        <v>0</v>
      </c>
      <c r="M97" s="389">
        <f t="shared" si="91"/>
        <v>0</v>
      </c>
      <c r="N97" s="389">
        <f t="shared" si="91"/>
        <v>0</v>
      </c>
      <c r="O97" s="390">
        <f t="shared" si="91"/>
        <v>0</v>
      </c>
      <c r="P97" s="391">
        <f t="shared" si="90"/>
        <v>0</v>
      </c>
      <c r="Q97" s="449" t="str">
        <f t="shared" si="89"/>
        <v>-</v>
      </c>
    </row>
    <row r="98" spans="1:22" ht="16.5" customHeight="1">
      <c r="A98" s="393" t="s">
        <v>17</v>
      </c>
      <c r="B98" s="394"/>
      <c r="C98" s="395">
        <f>C8*'Alış Fiyat'!C343</f>
        <v>0</v>
      </c>
      <c r="D98" s="396">
        <f>D8*'Alış Fiyat'!D343</f>
        <v>0</v>
      </c>
      <c r="E98" s="397">
        <f>E8*'Alış Fiyat'!E343</f>
        <v>0</v>
      </c>
      <c r="F98" s="397">
        <f>F8*'Alış Fiyat'!F343</f>
        <v>0</v>
      </c>
      <c r="G98" s="397">
        <f>G8*'Alış Fiyat'!G343</f>
        <v>0</v>
      </c>
      <c r="H98" s="397">
        <f>H8*'Alış Fiyat'!H343</f>
        <v>0</v>
      </c>
      <c r="I98" s="397">
        <f>I8*'Alış Fiyat'!I343</f>
        <v>0</v>
      </c>
      <c r="J98" s="397">
        <f>J8*'Alış Fiyat'!J343</f>
        <v>0</v>
      </c>
      <c r="K98" s="397">
        <f>K8*'Alış Fiyat'!K343</f>
        <v>0</v>
      </c>
      <c r="L98" s="397">
        <f>L8*'Alış Fiyat'!L343</f>
        <v>0</v>
      </c>
      <c r="M98" s="397">
        <f>M8*'Alış Fiyat'!M343</f>
        <v>0</v>
      </c>
      <c r="N98" s="397">
        <f>N8*'Alış Fiyat'!N343</f>
        <v>0</v>
      </c>
      <c r="O98" s="398">
        <f>O8*'Alış Fiyat'!O343</f>
        <v>0</v>
      </c>
      <c r="P98" s="399">
        <f t="shared" si="90"/>
        <v>0</v>
      </c>
      <c r="Q98" s="384" t="str">
        <f t="shared" si="89"/>
        <v>-</v>
      </c>
    </row>
    <row r="99" spans="1:22" ht="16.5" customHeight="1">
      <c r="A99" s="400" t="s">
        <v>81</v>
      </c>
      <c r="B99" s="2177"/>
      <c r="C99" s="370">
        <f>B99/10*12</f>
        <v>0</v>
      </c>
      <c r="D99" s="1563">
        <f>D9*'Alış Fiyat'!D344</f>
        <v>0</v>
      </c>
      <c r="E99" s="1560">
        <f>E9*'Alış Fiyat'!E344</f>
        <v>0</v>
      </c>
      <c r="F99" s="1560">
        <f>F9*'Alış Fiyat'!F344</f>
        <v>0</v>
      </c>
      <c r="G99" s="1560">
        <f>G9*'Alış Fiyat'!G344</f>
        <v>0</v>
      </c>
      <c r="H99" s="1560">
        <f>H9*'Alış Fiyat'!H344</f>
        <v>0</v>
      </c>
      <c r="I99" s="1560">
        <f>I9*'Alış Fiyat'!I344</f>
        <v>0</v>
      </c>
      <c r="J99" s="1560">
        <f>J9*'Alış Fiyat'!J344</f>
        <v>0</v>
      </c>
      <c r="K99" s="1560">
        <f>K9*'Alış Fiyat'!K344</f>
        <v>0</v>
      </c>
      <c r="L99" s="1560">
        <f>L9*'Alış Fiyat'!L344</f>
        <v>0</v>
      </c>
      <c r="M99" s="1560">
        <f>M9*'Alış Fiyat'!M344</f>
        <v>0</v>
      </c>
      <c r="N99" s="1560">
        <f>N9*'Alış Fiyat'!N344</f>
        <v>0</v>
      </c>
      <c r="O99" s="387">
        <f>O9*'Alış Fiyat'!O344</f>
        <v>0</v>
      </c>
      <c r="P99" s="386">
        <f t="shared" si="90"/>
        <v>0</v>
      </c>
      <c r="Q99" s="405" t="str">
        <f t="shared" si="89"/>
        <v>-</v>
      </c>
      <c r="S99" s="352" t="s">
        <v>587</v>
      </c>
    </row>
    <row r="100" spans="1:22" ht="16.5" hidden="1" customHeight="1">
      <c r="A100" s="406" t="s">
        <v>82</v>
      </c>
      <c r="B100" s="394"/>
      <c r="C100" s="395"/>
      <c r="D100" s="396">
        <f>D10*'Alış Fiyat'!D345</f>
        <v>0</v>
      </c>
      <c r="E100" s="397">
        <f>E10*'Alış Fiyat'!E345</f>
        <v>0</v>
      </c>
      <c r="F100" s="397">
        <f>F10*'Alış Fiyat'!F345</f>
        <v>0</v>
      </c>
      <c r="G100" s="397">
        <f>G10*'Alış Fiyat'!G345</f>
        <v>0</v>
      </c>
      <c r="H100" s="397">
        <f>H10*'Alış Fiyat'!H345</f>
        <v>0</v>
      </c>
      <c r="I100" s="397">
        <f>I10*'Alış Fiyat'!I345</f>
        <v>0</v>
      </c>
      <c r="J100" s="397">
        <f>J10*'Alış Fiyat'!J345</f>
        <v>0</v>
      </c>
      <c r="K100" s="397">
        <f>K10*'Alış Fiyat'!K345</f>
        <v>0</v>
      </c>
      <c r="L100" s="397">
        <f>L10*'Alış Fiyat'!L345</f>
        <v>0</v>
      </c>
      <c r="M100" s="397">
        <f>M10*'Alış Fiyat'!M345</f>
        <v>0</v>
      </c>
      <c r="N100" s="397">
        <f>N10*'Alış Fiyat'!N345</f>
        <v>0</v>
      </c>
      <c r="O100" s="398">
        <f>O10*'Alış Fiyat'!O345</f>
        <v>0</v>
      </c>
      <c r="P100" s="399">
        <f t="shared" si="90"/>
        <v>0</v>
      </c>
      <c r="Q100" s="384" t="str">
        <f t="shared" si="89"/>
        <v>-</v>
      </c>
    </row>
    <row r="101" spans="1:22" ht="16.5" customHeight="1">
      <c r="A101" s="400" t="s">
        <v>83</v>
      </c>
      <c r="B101" s="408"/>
      <c r="C101" s="370">
        <f>B101/10*12</f>
        <v>0</v>
      </c>
      <c r="D101" s="402">
        <f>D11*'Alış Fiyat'!D346</f>
        <v>0</v>
      </c>
      <c r="E101" s="403">
        <f>E11*'Alış Fiyat'!E346</f>
        <v>0</v>
      </c>
      <c r="F101" s="403">
        <f>F11*'Alış Fiyat'!F346</f>
        <v>0</v>
      </c>
      <c r="G101" s="403">
        <f>G11*'Alış Fiyat'!G346</f>
        <v>0</v>
      </c>
      <c r="H101" s="403">
        <f>H11*'Alış Fiyat'!H346</f>
        <v>0</v>
      </c>
      <c r="I101" s="403">
        <f>I11*'Alış Fiyat'!I346</f>
        <v>0</v>
      </c>
      <c r="J101" s="403">
        <f>J11*'Alış Fiyat'!J346</f>
        <v>0</v>
      </c>
      <c r="K101" s="403">
        <f>K11*'Alış Fiyat'!K346</f>
        <v>0</v>
      </c>
      <c r="L101" s="403">
        <f>L11*'Alış Fiyat'!L346</f>
        <v>0</v>
      </c>
      <c r="M101" s="403">
        <f>M11*'Alış Fiyat'!M346</f>
        <v>0</v>
      </c>
      <c r="N101" s="403">
        <f>N11*'Alış Fiyat'!N346</f>
        <v>0</v>
      </c>
      <c r="O101" s="404">
        <f>O11*'Alış Fiyat'!O346</f>
        <v>0</v>
      </c>
      <c r="P101" s="386">
        <f t="shared" si="90"/>
        <v>0</v>
      </c>
      <c r="Q101" s="405" t="str">
        <f t="shared" si="89"/>
        <v>-</v>
      </c>
    </row>
    <row r="102" spans="1:22" ht="16.5" hidden="1" customHeight="1">
      <c r="A102" s="406" t="s">
        <v>84</v>
      </c>
      <c r="B102" s="378"/>
      <c r="C102" s="379"/>
      <c r="D102" s="407">
        <f>D12*'Alış Fiyat'!D347</f>
        <v>0</v>
      </c>
      <c r="E102" s="382">
        <f>E12*'Alış Fiyat'!E347</f>
        <v>0</v>
      </c>
      <c r="F102" s="382">
        <f>F12*'Alış Fiyat'!F347</f>
        <v>0</v>
      </c>
      <c r="G102" s="382">
        <f>G12*'Alış Fiyat'!G347</f>
        <v>0</v>
      </c>
      <c r="H102" s="382">
        <f>H12*'Alış Fiyat'!H347</f>
        <v>0</v>
      </c>
      <c r="I102" s="381">
        <f>I12*'Alış Fiyat'!I347</f>
        <v>0</v>
      </c>
      <c r="J102" s="381">
        <f>J12*'Alış Fiyat'!J347</f>
        <v>0</v>
      </c>
      <c r="K102" s="382">
        <f>K12*'Alış Fiyat'!K347</f>
        <v>0</v>
      </c>
      <c r="L102" s="382">
        <f>L12*'Alış Fiyat'!L347</f>
        <v>0</v>
      </c>
      <c r="M102" s="382">
        <f>M12*'Alış Fiyat'!M347</f>
        <v>0</v>
      </c>
      <c r="N102" s="382">
        <f>N12*'Alış Fiyat'!N347</f>
        <v>0</v>
      </c>
      <c r="O102" s="383">
        <f>O12*'Alış Fiyat'!O347</f>
        <v>0</v>
      </c>
      <c r="P102" s="399">
        <f t="shared" si="90"/>
        <v>0</v>
      </c>
      <c r="Q102" s="384" t="str">
        <f t="shared" si="89"/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92">SUM(E99:E102)</f>
        <v>0</v>
      </c>
      <c r="F103" s="414">
        <f t="shared" si="92"/>
        <v>0</v>
      </c>
      <c r="G103" s="414">
        <f t="shared" si="92"/>
        <v>0</v>
      </c>
      <c r="H103" s="414">
        <f t="shared" si="92"/>
        <v>0</v>
      </c>
      <c r="I103" s="414">
        <f t="shared" si="92"/>
        <v>0</v>
      </c>
      <c r="J103" s="414">
        <f t="shared" si="92"/>
        <v>0</v>
      </c>
      <c r="K103" s="414">
        <f t="shared" si="92"/>
        <v>0</v>
      </c>
      <c r="L103" s="414">
        <f t="shared" si="92"/>
        <v>0</v>
      </c>
      <c r="M103" s="414">
        <f t="shared" si="92"/>
        <v>0</v>
      </c>
      <c r="N103" s="414">
        <f t="shared" si="92"/>
        <v>0</v>
      </c>
      <c r="O103" s="412">
        <f t="shared" si="92"/>
        <v>0</v>
      </c>
      <c r="P103" s="411">
        <f t="shared" si="92"/>
        <v>0</v>
      </c>
      <c r="Q103" s="415" t="str">
        <f t="shared" si="89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:P104" si="93">SUM(C105:C106)</f>
        <v>0</v>
      </c>
      <c r="D104" s="417">
        <f t="shared" si="93"/>
        <v>0</v>
      </c>
      <c r="E104" s="418">
        <f t="shared" si="93"/>
        <v>0</v>
      </c>
      <c r="F104" s="418">
        <f t="shared" si="93"/>
        <v>0</v>
      </c>
      <c r="G104" s="418">
        <f t="shared" si="93"/>
        <v>0</v>
      </c>
      <c r="H104" s="418">
        <f t="shared" si="93"/>
        <v>0</v>
      </c>
      <c r="I104" s="418">
        <f t="shared" si="93"/>
        <v>0</v>
      </c>
      <c r="J104" s="418">
        <f t="shared" si="93"/>
        <v>0</v>
      </c>
      <c r="K104" s="418">
        <f t="shared" si="93"/>
        <v>0</v>
      </c>
      <c r="L104" s="418">
        <f t="shared" si="93"/>
        <v>0</v>
      </c>
      <c r="M104" s="418">
        <f t="shared" si="93"/>
        <v>0</v>
      </c>
      <c r="N104" s="418">
        <f t="shared" si="93"/>
        <v>0</v>
      </c>
      <c r="O104" s="419">
        <f t="shared" si="93"/>
        <v>0</v>
      </c>
      <c r="P104" s="420">
        <f t="shared" si="93"/>
        <v>0</v>
      </c>
      <c r="Q104" s="421" t="str">
        <f t="shared" si="89"/>
        <v>-</v>
      </c>
    </row>
    <row r="105" spans="1:22" ht="16.5" customHeight="1">
      <c r="A105" s="422" t="s">
        <v>19</v>
      </c>
      <c r="B105" s="423"/>
      <c r="C105" s="424"/>
      <c r="D105" s="425">
        <f>D15*'Alış Fiyat'!D350</f>
        <v>0</v>
      </c>
      <c r="E105" s="426">
        <f>E15*'Alış Fiyat'!E350</f>
        <v>0</v>
      </c>
      <c r="F105" s="426">
        <f>F15*'Alış Fiyat'!F350</f>
        <v>0</v>
      </c>
      <c r="G105" s="426">
        <f>G15*'Alış Fiyat'!G350</f>
        <v>0</v>
      </c>
      <c r="H105" s="426">
        <f>H15*'Alış Fiyat'!H350</f>
        <v>0</v>
      </c>
      <c r="I105" s="426">
        <f>I15*'Alış Fiyat'!I350</f>
        <v>0</v>
      </c>
      <c r="J105" s="426">
        <f>J15*'Alış Fiyat'!J350</f>
        <v>0</v>
      </c>
      <c r="K105" s="426">
        <f>K15*'Alış Fiyat'!K350</f>
        <v>0</v>
      </c>
      <c r="L105" s="426">
        <f>L15*'Alış Fiyat'!L350</f>
        <v>0</v>
      </c>
      <c r="M105" s="426">
        <f>M15*'Alış Fiyat'!M350</f>
        <v>0</v>
      </c>
      <c r="N105" s="426">
        <f>N15*'Alış Fiyat'!N350</f>
        <v>0</v>
      </c>
      <c r="O105" s="427">
        <f>O15*'Alış Fiyat'!O350</f>
        <v>0</v>
      </c>
      <c r="P105" s="428">
        <f>SUM(D105:O105)</f>
        <v>0</v>
      </c>
      <c r="Q105" s="429" t="str">
        <f t="shared" si="89"/>
        <v>-</v>
      </c>
    </row>
    <row r="106" spans="1:22" ht="16.5" customHeight="1" thickBot="1">
      <c r="A106" s="430" t="s">
        <v>20</v>
      </c>
      <c r="B106" s="431">
        <v>0</v>
      </c>
      <c r="C106" s="432">
        <f>B106/10*12</f>
        <v>0</v>
      </c>
      <c r="D106" s="433">
        <f>D16*'Alış Fiyat'!D351</f>
        <v>0</v>
      </c>
      <c r="E106" s="434">
        <f>E16*'Alış Fiyat'!E351</f>
        <v>0</v>
      </c>
      <c r="F106" s="434">
        <f>F16*'Alış Fiyat'!F351</f>
        <v>0</v>
      </c>
      <c r="G106" s="434">
        <f>G16*'Alış Fiyat'!G351</f>
        <v>0</v>
      </c>
      <c r="H106" s="434">
        <f>H16*'Alış Fiyat'!H351</f>
        <v>0</v>
      </c>
      <c r="I106" s="434">
        <f>I16*'Alış Fiyat'!I351</f>
        <v>0</v>
      </c>
      <c r="J106" s="434">
        <f>J16*'Alış Fiyat'!J351</f>
        <v>0</v>
      </c>
      <c r="K106" s="434">
        <f>K16*'Alış Fiyat'!K351</f>
        <v>0</v>
      </c>
      <c r="L106" s="434">
        <f>L16*'Alış Fiyat'!L351</f>
        <v>0</v>
      </c>
      <c r="M106" s="434">
        <f>M16*'Alış Fiyat'!M351</f>
        <v>0</v>
      </c>
      <c r="N106" s="434">
        <f>N16*'Alış Fiyat'!N351</f>
        <v>0</v>
      </c>
      <c r="O106" s="435">
        <f>O16*'Alış Fiyat'!O351</f>
        <v>0</v>
      </c>
      <c r="P106" s="436">
        <f>SUM(D106:O106)</f>
        <v>0</v>
      </c>
      <c r="Q106" s="437" t="str">
        <f t="shared" si="89"/>
        <v>-</v>
      </c>
    </row>
    <row r="107" spans="1:22" ht="22.5" customHeight="1" thickBot="1">
      <c r="A107" s="362" t="s">
        <v>30</v>
      </c>
      <c r="B107" s="363">
        <f t="shared" ref="B107:P107" si="94">SUM(B108:B109)</f>
        <v>0.12118642995000001</v>
      </c>
      <c r="C107" s="416">
        <f t="shared" si="94"/>
        <v>0</v>
      </c>
      <c r="D107" s="417">
        <f t="shared" si="94"/>
        <v>0</v>
      </c>
      <c r="E107" s="418">
        <f t="shared" si="94"/>
        <v>0</v>
      </c>
      <c r="F107" s="418">
        <f t="shared" si="94"/>
        <v>0</v>
      </c>
      <c r="G107" s="418">
        <f t="shared" si="94"/>
        <v>0</v>
      </c>
      <c r="H107" s="418">
        <f t="shared" si="94"/>
        <v>0</v>
      </c>
      <c r="I107" s="418">
        <f t="shared" si="94"/>
        <v>0</v>
      </c>
      <c r="J107" s="418">
        <f t="shared" si="94"/>
        <v>0</v>
      </c>
      <c r="K107" s="418">
        <f t="shared" si="94"/>
        <v>0</v>
      </c>
      <c r="L107" s="418">
        <f t="shared" si="94"/>
        <v>0</v>
      </c>
      <c r="M107" s="418">
        <f t="shared" si="94"/>
        <v>0</v>
      </c>
      <c r="N107" s="418">
        <f t="shared" si="94"/>
        <v>0</v>
      </c>
      <c r="O107" s="419">
        <f t="shared" si="94"/>
        <v>0</v>
      </c>
      <c r="P107" s="420">
        <f t="shared" si="94"/>
        <v>0</v>
      </c>
      <c r="Q107" s="421" t="str">
        <f t="shared" si="89"/>
        <v>-</v>
      </c>
    </row>
    <row r="108" spans="1:22" ht="16.5" customHeight="1">
      <c r="A108" s="422" t="s">
        <v>106</v>
      </c>
      <c r="B108" s="2250">
        <v>0.12118642995000001</v>
      </c>
      <c r="C108" s="424"/>
      <c r="D108" s="425">
        <f>D18*'Alış Fiyat'!D353</f>
        <v>0</v>
      </c>
      <c r="E108" s="426">
        <f>E18*'Alış Fiyat'!E353</f>
        <v>0</v>
      </c>
      <c r="F108" s="426">
        <f>F18*'Alış Fiyat'!F353</f>
        <v>0</v>
      </c>
      <c r="G108" s="426">
        <f>G18*'Alış Fiyat'!G353</f>
        <v>0</v>
      </c>
      <c r="H108" s="426">
        <f>H18*'Alış Fiyat'!H353</f>
        <v>0</v>
      </c>
      <c r="I108" s="426">
        <f>I18*'Alış Fiyat'!I353</f>
        <v>0</v>
      </c>
      <c r="J108" s="426">
        <f>J18*'Alış Fiyat'!J353</f>
        <v>0</v>
      </c>
      <c r="K108" s="426">
        <f>K18*'Alış Fiyat'!K353</f>
        <v>0</v>
      </c>
      <c r="L108" s="426">
        <f>L18*'Alış Fiyat'!L353</f>
        <v>0</v>
      </c>
      <c r="M108" s="426">
        <f>M18*'Alış Fiyat'!M353</f>
        <v>0</v>
      </c>
      <c r="N108" s="426">
        <f>N18*'Alış Fiyat'!N353</f>
        <v>0</v>
      </c>
      <c r="O108" s="427">
        <f>O18*'Alış Fiyat'!O353</f>
        <v>0</v>
      </c>
      <c r="P108" s="428">
        <f>SUM(D108:O108)</f>
        <v>0</v>
      </c>
      <c r="Q108" s="429" t="str">
        <f t="shared" si="89"/>
        <v>-</v>
      </c>
    </row>
    <row r="109" spans="1:22" ht="16.5" customHeight="1" thickBot="1">
      <c r="A109" s="438" t="s">
        <v>105</v>
      </c>
      <c r="B109" s="439"/>
      <c r="C109" s="440">
        <f>B109/10*12</f>
        <v>0</v>
      </c>
      <c r="D109" s="441">
        <f>D19*'Alış Fiyat'!D354</f>
        <v>0</v>
      </c>
      <c r="E109" s="442">
        <f>E19*'Alış Fiyat'!E354</f>
        <v>0</v>
      </c>
      <c r="F109" s="442">
        <f>F19*'Alış Fiyat'!F354</f>
        <v>0</v>
      </c>
      <c r="G109" s="442">
        <f>G19*'Alış Fiyat'!G354</f>
        <v>0</v>
      </c>
      <c r="H109" s="442">
        <f>H19*'Alış Fiyat'!H354</f>
        <v>0</v>
      </c>
      <c r="I109" s="442">
        <f>I19*'Alış Fiyat'!I354</f>
        <v>0</v>
      </c>
      <c r="J109" s="442">
        <f>J19*'Alış Fiyat'!J354</f>
        <v>0</v>
      </c>
      <c r="K109" s="442">
        <f>K19*'Alış Fiyat'!K354</f>
        <v>0</v>
      </c>
      <c r="L109" s="442">
        <f>L19*'Alış Fiyat'!L354</f>
        <v>0</v>
      </c>
      <c r="M109" s="442">
        <f>M19*'Alış Fiyat'!M354</f>
        <v>0</v>
      </c>
      <c r="N109" s="442">
        <f>N19*'Alış Fiyat'!N354</f>
        <v>0</v>
      </c>
      <c r="O109" s="443">
        <f>O19*'Alış Fiyat'!O354</f>
        <v>0</v>
      </c>
      <c r="P109" s="444">
        <f>SUM(D109:O109)</f>
        <v>0</v>
      </c>
      <c r="Q109" s="445" t="str">
        <f t="shared" si="89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/>
      <c r="D111" s="365">
        <f>D21*'Alış Fiyat'!D356</f>
        <v>0</v>
      </c>
      <c r="E111" s="366">
        <f>E21*'Alış Fiyat'!E356</f>
        <v>0</v>
      </c>
      <c r="F111" s="366">
        <f>F21*'Alış Fiyat'!F356</f>
        <v>0</v>
      </c>
      <c r="G111" s="366">
        <f>G21*'Alış Fiyat'!G356</f>
        <v>0</v>
      </c>
      <c r="H111" s="366">
        <f>H21*'Alış Fiyat'!H356</f>
        <v>0</v>
      </c>
      <c r="I111" s="366">
        <f>I21*'Alış Fiyat'!I356</f>
        <v>0</v>
      </c>
      <c r="J111" s="366">
        <f>J21*'Alış Fiyat'!J356</f>
        <v>0</v>
      </c>
      <c r="K111" s="366">
        <f>K21*'Alış Fiyat'!K356</f>
        <v>0</v>
      </c>
      <c r="L111" s="366">
        <f>L21*'Alış Fiyat'!L356</f>
        <v>0</v>
      </c>
      <c r="M111" s="366">
        <f>M21*'Alış Fiyat'!M356</f>
        <v>0</v>
      </c>
      <c r="N111" s="366">
        <f>N21*'Alış Fiyat'!N356</f>
        <v>0</v>
      </c>
      <c r="O111" s="448">
        <f>O21*'Alış Fiyat'!O356</f>
        <v>0</v>
      </c>
      <c r="P111" s="363">
        <f>SUM(D111:O111)</f>
        <v>0</v>
      </c>
      <c r="Q111" s="367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0.12118642995000001</v>
      </c>
      <c r="C113" s="364">
        <f t="shared" ref="C113:P113" si="95">+C94+C104+C107+C111</f>
        <v>0</v>
      </c>
      <c r="D113" s="365">
        <f t="shared" si="95"/>
        <v>0</v>
      </c>
      <c r="E113" s="366">
        <f t="shared" si="95"/>
        <v>0</v>
      </c>
      <c r="F113" s="366">
        <f t="shared" si="95"/>
        <v>0</v>
      </c>
      <c r="G113" s="366">
        <f t="shared" si="95"/>
        <v>0</v>
      </c>
      <c r="H113" s="366">
        <f t="shared" si="95"/>
        <v>0</v>
      </c>
      <c r="I113" s="366">
        <f t="shared" si="95"/>
        <v>0</v>
      </c>
      <c r="J113" s="366">
        <f t="shared" si="95"/>
        <v>0</v>
      </c>
      <c r="K113" s="366">
        <f t="shared" si="95"/>
        <v>0</v>
      </c>
      <c r="L113" s="366">
        <f t="shared" si="95"/>
        <v>0</v>
      </c>
      <c r="M113" s="366">
        <f t="shared" si="95"/>
        <v>0</v>
      </c>
      <c r="N113" s="366">
        <f t="shared" si="95"/>
        <v>0</v>
      </c>
      <c r="O113" s="448">
        <f t="shared" si="95"/>
        <v>0</v>
      </c>
      <c r="P113" s="363">
        <f t="shared" si="95"/>
        <v>0</v>
      </c>
      <c r="Q113" s="367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937" t="s">
        <v>638</v>
      </c>
    </row>
    <row r="116" spans="1:22" ht="30.75" customHeight="1" thickBot="1">
      <c r="A116" s="356"/>
      <c r="B116" s="357" t="s">
        <v>657</v>
      </c>
      <c r="C116" s="357" t="s">
        <v>663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94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:P117" si="96">C120+C121+C126</f>
        <v>0</v>
      </c>
      <c r="D117" s="365">
        <f t="shared" si="96"/>
        <v>0</v>
      </c>
      <c r="E117" s="366">
        <f t="shared" si="96"/>
        <v>0</v>
      </c>
      <c r="F117" s="366">
        <f t="shared" si="96"/>
        <v>0</v>
      </c>
      <c r="G117" s="366">
        <f t="shared" si="96"/>
        <v>0</v>
      </c>
      <c r="H117" s="366">
        <f t="shared" si="96"/>
        <v>0</v>
      </c>
      <c r="I117" s="366">
        <f t="shared" si="96"/>
        <v>0</v>
      </c>
      <c r="J117" s="366">
        <f t="shared" si="96"/>
        <v>0</v>
      </c>
      <c r="K117" s="366">
        <f t="shared" si="96"/>
        <v>0</v>
      </c>
      <c r="L117" s="366">
        <f t="shared" si="96"/>
        <v>0</v>
      </c>
      <c r="M117" s="366">
        <f t="shared" si="96"/>
        <v>0</v>
      </c>
      <c r="N117" s="366">
        <f t="shared" si="96"/>
        <v>0</v>
      </c>
      <c r="O117" s="364">
        <f t="shared" si="96"/>
        <v>0</v>
      </c>
      <c r="P117" s="363">
        <f t="shared" si="96"/>
        <v>0</v>
      </c>
      <c r="Q117" s="367" t="str">
        <f t="shared" ref="Q117:Q132" si="97">IF(P117=0,"-",P117/C117-1)</f>
        <v>-</v>
      </c>
    </row>
    <row r="118" spans="1:22" ht="16.5" customHeight="1">
      <c r="A118" s="368" t="s">
        <v>15</v>
      </c>
      <c r="B118" s="369">
        <f t="shared" ref="B118:O129" si="98">+B72-B95</f>
        <v>0</v>
      </c>
      <c r="C118" s="370">
        <f t="shared" si="98"/>
        <v>0</v>
      </c>
      <c r="D118" s="371">
        <f t="shared" si="98"/>
        <v>0</v>
      </c>
      <c r="E118" s="372">
        <f t="shared" si="98"/>
        <v>0</v>
      </c>
      <c r="F118" s="372">
        <f t="shared" si="98"/>
        <v>0</v>
      </c>
      <c r="G118" s="372">
        <f t="shared" si="98"/>
        <v>0</v>
      </c>
      <c r="H118" s="373">
        <f t="shared" si="98"/>
        <v>0</v>
      </c>
      <c r="I118" s="373">
        <f t="shared" si="98"/>
        <v>0</v>
      </c>
      <c r="J118" s="373">
        <f t="shared" si="98"/>
        <v>0</v>
      </c>
      <c r="K118" s="373">
        <f t="shared" si="98"/>
        <v>0</v>
      </c>
      <c r="L118" s="373">
        <f t="shared" si="98"/>
        <v>0</v>
      </c>
      <c r="M118" s="373">
        <f t="shared" si="98"/>
        <v>0</v>
      </c>
      <c r="N118" s="373">
        <f t="shared" si="98"/>
        <v>0</v>
      </c>
      <c r="O118" s="374">
        <f t="shared" si="98"/>
        <v>0</v>
      </c>
      <c r="P118" s="369">
        <f t="shared" ref="P118:P125" si="99">SUM(D118:O118)</f>
        <v>0</v>
      </c>
      <c r="Q118" s="375" t="str">
        <f t="shared" si="97"/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98"/>
        <v>0</v>
      </c>
      <c r="C119" s="379">
        <f t="shared" si="98"/>
        <v>0</v>
      </c>
      <c r="D119" s="380">
        <f t="shared" si="98"/>
        <v>0</v>
      </c>
      <c r="E119" s="381">
        <f t="shared" si="98"/>
        <v>0</v>
      </c>
      <c r="F119" s="381">
        <f t="shared" si="98"/>
        <v>0</v>
      </c>
      <c r="G119" s="381">
        <f t="shared" si="98"/>
        <v>0</v>
      </c>
      <c r="H119" s="382">
        <f t="shared" si="98"/>
        <v>0</v>
      </c>
      <c r="I119" s="382">
        <f t="shared" si="98"/>
        <v>0</v>
      </c>
      <c r="J119" s="382">
        <f t="shared" si="98"/>
        <v>0</v>
      </c>
      <c r="K119" s="382">
        <f t="shared" si="98"/>
        <v>0</v>
      </c>
      <c r="L119" s="382">
        <f t="shared" si="98"/>
        <v>0</v>
      </c>
      <c r="M119" s="382">
        <f t="shared" si="98"/>
        <v>0</v>
      </c>
      <c r="N119" s="382">
        <f t="shared" si="98"/>
        <v>0</v>
      </c>
      <c r="O119" s="383">
        <f t="shared" si="98"/>
        <v>0</v>
      </c>
      <c r="P119" s="378">
        <f t="shared" si="99"/>
        <v>0</v>
      </c>
      <c r="Q119" s="384" t="str">
        <f t="shared" si="97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00">SUM(D118:D119)</f>
        <v>0</v>
      </c>
      <c r="E120" s="389">
        <f t="shared" si="100"/>
        <v>0</v>
      </c>
      <c r="F120" s="389">
        <f t="shared" si="100"/>
        <v>0</v>
      </c>
      <c r="G120" s="389">
        <f t="shared" si="100"/>
        <v>0</v>
      </c>
      <c r="H120" s="389">
        <f t="shared" si="100"/>
        <v>0</v>
      </c>
      <c r="I120" s="389">
        <f t="shared" si="100"/>
        <v>0</v>
      </c>
      <c r="J120" s="389">
        <f t="shared" si="100"/>
        <v>0</v>
      </c>
      <c r="K120" s="389">
        <f t="shared" si="100"/>
        <v>0</v>
      </c>
      <c r="L120" s="389">
        <f t="shared" si="100"/>
        <v>0</v>
      </c>
      <c r="M120" s="389">
        <f t="shared" si="100"/>
        <v>0</v>
      </c>
      <c r="N120" s="389">
        <f t="shared" si="100"/>
        <v>0</v>
      </c>
      <c r="O120" s="390">
        <f t="shared" si="100"/>
        <v>0</v>
      </c>
      <c r="P120" s="391">
        <f t="shared" si="99"/>
        <v>0</v>
      </c>
      <c r="Q120" s="449" t="str">
        <f t="shared" si="97"/>
        <v>-</v>
      </c>
    </row>
    <row r="121" spans="1:22" ht="16.5" customHeight="1">
      <c r="A121" s="393" t="s">
        <v>17</v>
      </c>
      <c r="B121" s="394">
        <f t="shared" si="98"/>
        <v>0</v>
      </c>
      <c r="C121" s="395">
        <f t="shared" si="98"/>
        <v>0</v>
      </c>
      <c r="D121" s="396">
        <f t="shared" si="98"/>
        <v>0</v>
      </c>
      <c r="E121" s="397">
        <f t="shared" si="98"/>
        <v>0</v>
      </c>
      <c r="F121" s="397">
        <f t="shared" si="98"/>
        <v>0</v>
      </c>
      <c r="G121" s="397">
        <f t="shared" si="98"/>
        <v>0</v>
      </c>
      <c r="H121" s="397">
        <f t="shared" si="98"/>
        <v>0</v>
      </c>
      <c r="I121" s="397">
        <f t="shared" si="98"/>
        <v>0</v>
      </c>
      <c r="J121" s="397">
        <f t="shared" si="98"/>
        <v>0</v>
      </c>
      <c r="K121" s="397">
        <f t="shared" si="98"/>
        <v>0</v>
      </c>
      <c r="L121" s="397">
        <f t="shared" si="98"/>
        <v>0</v>
      </c>
      <c r="M121" s="397">
        <f t="shared" si="98"/>
        <v>0</v>
      </c>
      <c r="N121" s="397">
        <f t="shared" si="98"/>
        <v>0</v>
      </c>
      <c r="O121" s="398">
        <f t="shared" si="98"/>
        <v>0</v>
      </c>
      <c r="P121" s="399">
        <f t="shared" si="99"/>
        <v>0</v>
      </c>
      <c r="Q121" s="384" t="str">
        <f t="shared" si="97"/>
        <v>-</v>
      </c>
    </row>
    <row r="122" spans="1:22" ht="16.5" customHeight="1">
      <c r="A122" s="400" t="s">
        <v>81</v>
      </c>
      <c r="B122" s="391">
        <f t="shared" si="98"/>
        <v>0</v>
      </c>
      <c r="C122" s="450">
        <f t="shared" si="98"/>
        <v>0</v>
      </c>
      <c r="D122" s="402">
        <f t="shared" si="98"/>
        <v>0</v>
      </c>
      <c r="E122" s="403">
        <f t="shared" si="98"/>
        <v>0</v>
      </c>
      <c r="F122" s="403">
        <f t="shared" si="98"/>
        <v>0</v>
      </c>
      <c r="G122" s="403">
        <f t="shared" si="98"/>
        <v>0</v>
      </c>
      <c r="H122" s="403">
        <f t="shared" si="98"/>
        <v>0</v>
      </c>
      <c r="I122" s="403">
        <f t="shared" si="98"/>
        <v>0</v>
      </c>
      <c r="J122" s="403">
        <f t="shared" si="98"/>
        <v>0</v>
      </c>
      <c r="K122" s="403">
        <f t="shared" si="98"/>
        <v>0</v>
      </c>
      <c r="L122" s="403">
        <f t="shared" si="98"/>
        <v>0</v>
      </c>
      <c r="M122" s="403">
        <f t="shared" si="98"/>
        <v>0</v>
      </c>
      <c r="N122" s="403">
        <f t="shared" si="98"/>
        <v>0</v>
      </c>
      <c r="O122" s="404">
        <f t="shared" si="98"/>
        <v>0</v>
      </c>
      <c r="P122" s="386">
        <f t="shared" si="99"/>
        <v>0</v>
      </c>
      <c r="Q122" s="405" t="str">
        <f t="shared" si="97"/>
        <v>-</v>
      </c>
    </row>
    <row r="123" spans="1:22" ht="16.5" hidden="1" customHeight="1">
      <c r="A123" s="406" t="s">
        <v>82</v>
      </c>
      <c r="B123" s="394">
        <f t="shared" si="98"/>
        <v>0</v>
      </c>
      <c r="C123" s="395">
        <f t="shared" si="98"/>
        <v>0</v>
      </c>
      <c r="D123" s="407">
        <f t="shared" si="98"/>
        <v>0</v>
      </c>
      <c r="E123" s="382">
        <f t="shared" si="98"/>
        <v>0</v>
      </c>
      <c r="F123" s="382">
        <f t="shared" si="98"/>
        <v>0</v>
      </c>
      <c r="G123" s="382">
        <f t="shared" si="98"/>
        <v>0</v>
      </c>
      <c r="H123" s="382">
        <f t="shared" si="98"/>
        <v>0</v>
      </c>
      <c r="I123" s="382">
        <f t="shared" si="98"/>
        <v>0</v>
      </c>
      <c r="J123" s="382">
        <f t="shared" si="98"/>
        <v>0</v>
      </c>
      <c r="K123" s="382">
        <f t="shared" si="98"/>
        <v>0</v>
      </c>
      <c r="L123" s="382">
        <f t="shared" si="98"/>
        <v>0</v>
      </c>
      <c r="M123" s="382">
        <f t="shared" si="98"/>
        <v>0</v>
      </c>
      <c r="N123" s="382">
        <f t="shared" si="98"/>
        <v>0</v>
      </c>
      <c r="O123" s="383">
        <f t="shared" si="98"/>
        <v>0</v>
      </c>
      <c r="P123" s="399">
        <f t="shared" si="99"/>
        <v>0</v>
      </c>
      <c r="Q123" s="384" t="str">
        <f t="shared" si="97"/>
        <v>-</v>
      </c>
    </row>
    <row r="124" spans="1:22" ht="16.5" customHeight="1">
      <c r="A124" s="400" t="s">
        <v>83</v>
      </c>
      <c r="B124" s="408">
        <f t="shared" si="98"/>
        <v>0</v>
      </c>
      <c r="C124" s="409">
        <f t="shared" si="98"/>
        <v>0</v>
      </c>
      <c r="D124" s="402">
        <f t="shared" si="98"/>
        <v>0</v>
      </c>
      <c r="E124" s="403">
        <f t="shared" si="98"/>
        <v>0</v>
      </c>
      <c r="F124" s="403">
        <f t="shared" si="98"/>
        <v>0</v>
      </c>
      <c r="G124" s="403">
        <f t="shared" si="98"/>
        <v>0</v>
      </c>
      <c r="H124" s="403">
        <f t="shared" si="98"/>
        <v>0</v>
      </c>
      <c r="I124" s="403">
        <f t="shared" si="98"/>
        <v>0</v>
      </c>
      <c r="J124" s="403">
        <f t="shared" si="98"/>
        <v>0</v>
      </c>
      <c r="K124" s="403">
        <f t="shared" si="98"/>
        <v>0</v>
      </c>
      <c r="L124" s="403">
        <f t="shared" si="98"/>
        <v>0</v>
      </c>
      <c r="M124" s="403">
        <f t="shared" si="98"/>
        <v>0</v>
      </c>
      <c r="N124" s="403">
        <f t="shared" si="98"/>
        <v>0</v>
      </c>
      <c r="O124" s="404">
        <f t="shared" si="98"/>
        <v>0</v>
      </c>
      <c r="P124" s="386">
        <f t="shared" si="99"/>
        <v>0</v>
      </c>
      <c r="Q124" s="405" t="str">
        <f t="shared" si="97"/>
        <v>-</v>
      </c>
    </row>
    <row r="125" spans="1:22" ht="16.5" hidden="1" customHeight="1">
      <c r="A125" s="406" t="s">
        <v>84</v>
      </c>
      <c r="B125" s="378">
        <f t="shared" si="98"/>
        <v>0</v>
      </c>
      <c r="C125" s="379">
        <f t="shared" si="98"/>
        <v>0</v>
      </c>
      <c r="D125" s="407">
        <f t="shared" si="98"/>
        <v>0</v>
      </c>
      <c r="E125" s="382">
        <f t="shared" si="98"/>
        <v>0</v>
      </c>
      <c r="F125" s="382">
        <f t="shared" si="98"/>
        <v>0</v>
      </c>
      <c r="G125" s="382">
        <f t="shared" si="98"/>
        <v>0</v>
      </c>
      <c r="H125" s="382">
        <f t="shared" si="98"/>
        <v>0</v>
      </c>
      <c r="I125" s="381">
        <f t="shared" si="98"/>
        <v>0</v>
      </c>
      <c r="J125" s="381">
        <f t="shared" si="98"/>
        <v>0</v>
      </c>
      <c r="K125" s="382">
        <f t="shared" si="98"/>
        <v>0</v>
      </c>
      <c r="L125" s="382">
        <f t="shared" si="98"/>
        <v>0</v>
      </c>
      <c r="M125" s="382">
        <f t="shared" si="98"/>
        <v>0</v>
      </c>
      <c r="N125" s="382">
        <f t="shared" si="98"/>
        <v>0</v>
      </c>
      <c r="O125" s="383">
        <f t="shared" si="98"/>
        <v>0</v>
      </c>
      <c r="P125" s="399">
        <f t="shared" si="99"/>
        <v>0</v>
      </c>
      <c r="Q125" s="384" t="str">
        <f t="shared" si="97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P126" si="101">SUM(B122:B125)</f>
        <v>0</v>
      </c>
      <c r="C126" s="412">
        <f t="shared" si="101"/>
        <v>0</v>
      </c>
      <c r="D126" s="413">
        <f t="shared" si="101"/>
        <v>0</v>
      </c>
      <c r="E126" s="414">
        <f t="shared" si="101"/>
        <v>0</v>
      </c>
      <c r="F126" s="414">
        <f t="shared" si="101"/>
        <v>0</v>
      </c>
      <c r="G126" s="414">
        <f t="shared" si="101"/>
        <v>0</v>
      </c>
      <c r="H126" s="414">
        <f t="shared" si="101"/>
        <v>0</v>
      </c>
      <c r="I126" s="414">
        <f t="shared" si="101"/>
        <v>0</v>
      </c>
      <c r="J126" s="414">
        <f t="shared" si="101"/>
        <v>0</v>
      </c>
      <c r="K126" s="414">
        <f t="shared" si="101"/>
        <v>0</v>
      </c>
      <c r="L126" s="414">
        <f t="shared" si="101"/>
        <v>0</v>
      </c>
      <c r="M126" s="414">
        <f t="shared" si="101"/>
        <v>0</v>
      </c>
      <c r="N126" s="414">
        <f t="shared" si="101"/>
        <v>0</v>
      </c>
      <c r="O126" s="412">
        <f t="shared" si="101"/>
        <v>0</v>
      </c>
      <c r="P126" s="411">
        <f t="shared" si="101"/>
        <v>0</v>
      </c>
      <c r="Q126" s="415" t="str">
        <f t="shared" si="97"/>
        <v>-</v>
      </c>
    </row>
    <row r="127" spans="1:22" ht="22.5" customHeight="1" thickBot="1">
      <c r="A127" s="362" t="s">
        <v>29</v>
      </c>
      <c r="B127" s="420">
        <f t="shared" si="98"/>
        <v>0</v>
      </c>
      <c r="C127" s="416">
        <f t="shared" si="98"/>
        <v>0</v>
      </c>
      <c r="D127" s="417">
        <f t="shared" si="98"/>
        <v>0</v>
      </c>
      <c r="E127" s="418">
        <f t="shared" si="98"/>
        <v>0</v>
      </c>
      <c r="F127" s="418">
        <f t="shared" si="98"/>
        <v>0</v>
      </c>
      <c r="G127" s="418">
        <f t="shared" si="98"/>
        <v>0</v>
      </c>
      <c r="H127" s="418">
        <f t="shared" si="98"/>
        <v>0</v>
      </c>
      <c r="I127" s="418">
        <f t="shared" si="98"/>
        <v>0</v>
      </c>
      <c r="J127" s="418">
        <f t="shared" si="98"/>
        <v>0</v>
      </c>
      <c r="K127" s="418">
        <f t="shared" si="98"/>
        <v>0</v>
      </c>
      <c r="L127" s="418">
        <f t="shared" si="98"/>
        <v>0</v>
      </c>
      <c r="M127" s="418">
        <f t="shared" si="98"/>
        <v>0</v>
      </c>
      <c r="N127" s="418">
        <f t="shared" si="98"/>
        <v>0</v>
      </c>
      <c r="O127" s="419">
        <f t="shared" si="98"/>
        <v>0</v>
      </c>
      <c r="P127" s="420">
        <f>SUM(P128:P129)</f>
        <v>0</v>
      </c>
      <c r="Q127" s="421" t="str">
        <f t="shared" si="97"/>
        <v>-</v>
      </c>
    </row>
    <row r="128" spans="1:22" ht="16.5" customHeight="1">
      <c r="A128" s="422" t="s">
        <v>19</v>
      </c>
      <c r="B128" s="423">
        <f t="shared" si="98"/>
        <v>0</v>
      </c>
      <c r="C128" s="424">
        <f t="shared" si="98"/>
        <v>0</v>
      </c>
      <c r="D128" s="425">
        <f t="shared" si="98"/>
        <v>0</v>
      </c>
      <c r="E128" s="426">
        <f t="shared" si="98"/>
        <v>0</v>
      </c>
      <c r="F128" s="426">
        <f t="shared" si="98"/>
        <v>0</v>
      </c>
      <c r="G128" s="426">
        <f t="shared" si="98"/>
        <v>0</v>
      </c>
      <c r="H128" s="426">
        <f t="shared" si="98"/>
        <v>0</v>
      </c>
      <c r="I128" s="426">
        <f t="shared" si="98"/>
        <v>0</v>
      </c>
      <c r="J128" s="426">
        <f t="shared" si="98"/>
        <v>0</v>
      </c>
      <c r="K128" s="426">
        <f t="shared" si="98"/>
        <v>0</v>
      </c>
      <c r="L128" s="426">
        <f t="shared" si="98"/>
        <v>0</v>
      </c>
      <c r="M128" s="426">
        <f t="shared" si="98"/>
        <v>0</v>
      </c>
      <c r="N128" s="426">
        <f t="shared" si="98"/>
        <v>0</v>
      </c>
      <c r="O128" s="427">
        <f t="shared" si="98"/>
        <v>0</v>
      </c>
      <c r="P128" s="428">
        <f>SUM(D128:O128)</f>
        <v>0</v>
      </c>
      <c r="Q128" s="429" t="str">
        <f t="shared" si="97"/>
        <v>-</v>
      </c>
    </row>
    <row r="129" spans="1:17" ht="16.5" customHeight="1" thickBot="1">
      <c r="A129" s="430" t="s">
        <v>20</v>
      </c>
      <c r="B129" s="431">
        <f t="shared" si="98"/>
        <v>0</v>
      </c>
      <c r="C129" s="432">
        <f t="shared" si="98"/>
        <v>0</v>
      </c>
      <c r="D129" s="433">
        <f t="shared" si="98"/>
        <v>0</v>
      </c>
      <c r="E129" s="434">
        <f t="shared" si="98"/>
        <v>0</v>
      </c>
      <c r="F129" s="434">
        <f t="shared" si="98"/>
        <v>0</v>
      </c>
      <c r="G129" s="434">
        <f t="shared" si="98"/>
        <v>0</v>
      </c>
      <c r="H129" s="434">
        <f t="shared" si="98"/>
        <v>0</v>
      </c>
      <c r="I129" s="434">
        <f t="shared" si="98"/>
        <v>0</v>
      </c>
      <c r="J129" s="434">
        <f t="shared" si="98"/>
        <v>0</v>
      </c>
      <c r="K129" s="434">
        <f t="shared" si="98"/>
        <v>0</v>
      </c>
      <c r="L129" s="434">
        <f t="shared" si="98"/>
        <v>0</v>
      </c>
      <c r="M129" s="434">
        <f t="shared" si="98"/>
        <v>0</v>
      </c>
      <c r="N129" s="434">
        <f t="shared" si="98"/>
        <v>0</v>
      </c>
      <c r="O129" s="435">
        <f t="shared" si="98"/>
        <v>0</v>
      </c>
      <c r="P129" s="436">
        <f>SUM(D129:O129)</f>
        <v>0</v>
      </c>
      <c r="Q129" s="437" t="str">
        <f t="shared" si="97"/>
        <v>-</v>
      </c>
    </row>
    <row r="130" spans="1:17" ht="22.5" customHeight="1" thickBot="1">
      <c r="A130" s="362" t="s">
        <v>30</v>
      </c>
      <c r="B130" s="363">
        <f t="shared" ref="B130:P130" si="102">SUM(B131:B132)</f>
        <v>4.8303570049999994E-2</v>
      </c>
      <c r="C130" s="416">
        <f t="shared" si="102"/>
        <v>0</v>
      </c>
      <c r="D130" s="417">
        <f t="shared" si="102"/>
        <v>0</v>
      </c>
      <c r="E130" s="418">
        <f t="shared" si="102"/>
        <v>0</v>
      </c>
      <c r="F130" s="418">
        <f t="shared" si="102"/>
        <v>0</v>
      </c>
      <c r="G130" s="418">
        <f t="shared" si="102"/>
        <v>0</v>
      </c>
      <c r="H130" s="418">
        <f t="shared" si="102"/>
        <v>0</v>
      </c>
      <c r="I130" s="418">
        <f t="shared" si="102"/>
        <v>0</v>
      </c>
      <c r="J130" s="418">
        <f t="shared" si="102"/>
        <v>0</v>
      </c>
      <c r="K130" s="418">
        <f t="shared" si="102"/>
        <v>0</v>
      </c>
      <c r="L130" s="418">
        <f t="shared" si="102"/>
        <v>0</v>
      </c>
      <c r="M130" s="418">
        <f t="shared" si="102"/>
        <v>0</v>
      </c>
      <c r="N130" s="418">
        <f t="shared" si="102"/>
        <v>0</v>
      </c>
      <c r="O130" s="419">
        <f t="shared" si="102"/>
        <v>0</v>
      </c>
      <c r="P130" s="420">
        <f t="shared" si="102"/>
        <v>0</v>
      </c>
      <c r="Q130" s="421" t="str">
        <f t="shared" si="97"/>
        <v>-</v>
      </c>
    </row>
    <row r="131" spans="1:17" ht="16.5" customHeight="1">
      <c r="A131" s="422" t="s">
        <v>106</v>
      </c>
      <c r="B131" s="423">
        <f t="shared" ref="B131:O131" si="103">+B85-B108</f>
        <v>4.8303570049999994E-2</v>
      </c>
      <c r="C131" s="424">
        <f t="shared" si="103"/>
        <v>0</v>
      </c>
      <c r="D131" s="425">
        <f t="shared" si="103"/>
        <v>0</v>
      </c>
      <c r="E131" s="426">
        <f t="shared" si="103"/>
        <v>0</v>
      </c>
      <c r="F131" s="426">
        <f t="shared" si="103"/>
        <v>0</v>
      </c>
      <c r="G131" s="426">
        <f t="shared" si="103"/>
        <v>0</v>
      </c>
      <c r="H131" s="426">
        <f t="shared" si="103"/>
        <v>0</v>
      </c>
      <c r="I131" s="426">
        <f t="shared" si="103"/>
        <v>0</v>
      </c>
      <c r="J131" s="426">
        <f t="shared" si="103"/>
        <v>0</v>
      </c>
      <c r="K131" s="426">
        <f t="shared" si="103"/>
        <v>0</v>
      </c>
      <c r="L131" s="426">
        <f t="shared" si="103"/>
        <v>0</v>
      </c>
      <c r="M131" s="426">
        <f t="shared" si="103"/>
        <v>0</v>
      </c>
      <c r="N131" s="426">
        <f t="shared" si="103"/>
        <v>0</v>
      </c>
      <c r="O131" s="427">
        <f t="shared" si="103"/>
        <v>0</v>
      </c>
      <c r="P131" s="428">
        <f>SUM(D131:O131)</f>
        <v>0</v>
      </c>
      <c r="Q131" s="429" t="str">
        <f t="shared" si="97"/>
        <v>-</v>
      </c>
    </row>
    <row r="132" spans="1:17" ht="16.5" customHeight="1" thickBot="1">
      <c r="A132" s="438" t="s">
        <v>105</v>
      </c>
      <c r="B132" s="439">
        <f t="shared" ref="B132:O132" si="104">+B86-B109</f>
        <v>0</v>
      </c>
      <c r="C132" s="440">
        <f>+C86-C109</f>
        <v>0</v>
      </c>
      <c r="D132" s="441">
        <f t="shared" si="104"/>
        <v>0</v>
      </c>
      <c r="E132" s="442">
        <f t="shared" si="104"/>
        <v>0</v>
      </c>
      <c r="F132" s="442">
        <f t="shared" si="104"/>
        <v>0</v>
      </c>
      <c r="G132" s="442">
        <f t="shared" si="104"/>
        <v>0</v>
      </c>
      <c r="H132" s="442">
        <f t="shared" si="104"/>
        <v>0</v>
      </c>
      <c r="I132" s="442">
        <f t="shared" si="104"/>
        <v>0</v>
      </c>
      <c r="J132" s="442">
        <f t="shared" si="104"/>
        <v>0</v>
      </c>
      <c r="K132" s="442">
        <f t="shared" si="104"/>
        <v>0</v>
      </c>
      <c r="L132" s="442">
        <f t="shared" si="104"/>
        <v>0</v>
      </c>
      <c r="M132" s="442">
        <f t="shared" si="104"/>
        <v>0</v>
      </c>
      <c r="N132" s="442">
        <f t="shared" si="104"/>
        <v>0</v>
      </c>
      <c r="O132" s="443">
        <f t="shared" si="104"/>
        <v>0</v>
      </c>
      <c r="P132" s="444">
        <f>SUM(D132:O132)</f>
        <v>0</v>
      </c>
      <c r="Q132" s="445" t="str">
        <f t="shared" si="97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O134" si="105">+B88-B111</f>
        <v>0</v>
      </c>
      <c r="C134" s="364">
        <f t="shared" si="105"/>
        <v>0</v>
      </c>
      <c r="D134" s="365">
        <f t="shared" si="105"/>
        <v>0</v>
      </c>
      <c r="E134" s="366">
        <f t="shared" si="105"/>
        <v>0</v>
      </c>
      <c r="F134" s="366">
        <f t="shared" si="105"/>
        <v>0</v>
      </c>
      <c r="G134" s="366">
        <f t="shared" si="105"/>
        <v>0</v>
      </c>
      <c r="H134" s="366">
        <f t="shared" si="105"/>
        <v>0</v>
      </c>
      <c r="I134" s="366">
        <f t="shared" si="105"/>
        <v>0</v>
      </c>
      <c r="J134" s="366">
        <f t="shared" si="105"/>
        <v>0</v>
      </c>
      <c r="K134" s="366">
        <f t="shared" si="105"/>
        <v>0</v>
      </c>
      <c r="L134" s="366">
        <f t="shared" si="105"/>
        <v>0</v>
      </c>
      <c r="M134" s="366">
        <f t="shared" si="105"/>
        <v>0</v>
      </c>
      <c r="N134" s="366">
        <f t="shared" si="105"/>
        <v>0</v>
      </c>
      <c r="O134" s="448">
        <f t="shared" si="105"/>
        <v>0</v>
      </c>
      <c r="P134" s="363">
        <f>SUM(D134:O134)</f>
        <v>0</v>
      </c>
      <c r="Q134" s="367" t="str">
        <f>IF(P134=0,"-",P134/C134-1)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4.8303570049999994E-2</v>
      </c>
      <c r="C136" s="364">
        <f t="shared" ref="C136:P136" si="106">+C117+C127+C130+C134</f>
        <v>0</v>
      </c>
      <c r="D136" s="365">
        <f t="shared" si="106"/>
        <v>0</v>
      </c>
      <c r="E136" s="366">
        <f t="shared" si="106"/>
        <v>0</v>
      </c>
      <c r="F136" s="366">
        <f t="shared" si="106"/>
        <v>0</v>
      </c>
      <c r="G136" s="366">
        <f t="shared" si="106"/>
        <v>0</v>
      </c>
      <c r="H136" s="366">
        <f t="shared" si="106"/>
        <v>0</v>
      </c>
      <c r="I136" s="366">
        <f t="shared" si="106"/>
        <v>0</v>
      </c>
      <c r="J136" s="366">
        <f t="shared" si="106"/>
        <v>0</v>
      </c>
      <c r="K136" s="366">
        <f t="shared" si="106"/>
        <v>0</v>
      </c>
      <c r="L136" s="366">
        <f t="shared" si="106"/>
        <v>0</v>
      </c>
      <c r="M136" s="366">
        <f t="shared" si="106"/>
        <v>0</v>
      </c>
      <c r="N136" s="366">
        <f t="shared" si="106"/>
        <v>0</v>
      </c>
      <c r="O136" s="364">
        <f t="shared" si="106"/>
        <v>0</v>
      </c>
      <c r="P136" s="363">
        <f t="shared" si="106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937" t="s">
        <v>638</v>
      </c>
    </row>
    <row r="139" spans="1:17" ht="30.75" customHeight="1" thickBot="1">
      <c r="A139" s="356"/>
      <c r="B139" s="357" t="s">
        <v>657</v>
      </c>
      <c r="C139" s="357" t="s">
        <v>663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941" t="s">
        <v>619</v>
      </c>
    </row>
    <row r="140" spans="1:17" ht="22.5" customHeight="1" thickBot="1">
      <c r="A140" s="362" t="s">
        <v>37</v>
      </c>
      <c r="B140" s="363">
        <f t="shared" ref="B140:P140" si="107">SUM(B141:B173)</f>
        <v>0</v>
      </c>
      <c r="C140" s="364">
        <f t="shared" si="107"/>
        <v>0</v>
      </c>
      <c r="D140" s="417">
        <f t="shared" si="107"/>
        <v>0</v>
      </c>
      <c r="E140" s="418">
        <f t="shared" si="107"/>
        <v>0</v>
      </c>
      <c r="F140" s="418">
        <f t="shared" si="107"/>
        <v>0</v>
      </c>
      <c r="G140" s="418">
        <f t="shared" si="107"/>
        <v>0</v>
      </c>
      <c r="H140" s="418">
        <f t="shared" si="107"/>
        <v>0</v>
      </c>
      <c r="I140" s="418">
        <f t="shared" si="107"/>
        <v>0</v>
      </c>
      <c r="J140" s="418">
        <f t="shared" si="107"/>
        <v>0</v>
      </c>
      <c r="K140" s="418">
        <f t="shared" si="107"/>
        <v>0</v>
      </c>
      <c r="L140" s="418">
        <f t="shared" si="107"/>
        <v>0</v>
      </c>
      <c r="M140" s="418">
        <f t="shared" si="107"/>
        <v>0</v>
      </c>
      <c r="N140" s="418">
        <f t="shared" si="107"/>
        <v>0</v>
      </c>
      <c r="O140" s="416">
        <f t="shared" si="107"/>
        <v>0</v>
      </c>
      <c r="P140" s="420">
        <f t="shared" si="107"/>
        <v>0</v>
      </c>
      <c r="Q140" s="421"/>
    </row>
    <row r="141" spans="1:17">
      <c r="A141" s="468" t="s">
        <v>38</v>
      </c>
      <c r="B141" s="469"/>
      <c r="C141" s="470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474">
        <f t="shared" ref="P141:P173" si="108">SUM(D141:O141)</f>
        <v>0</v>
      </c>
      <c r="Q141" s="475" t="str">
        <f>IF(P141=0,"-",P141/C141-1)</f>
        <v>-</v>
      </c>
    </row>
    <row r="142" spans="1:17">
      <c r="A142" s="476" t="s">
        <v>39</v>
      </c>
      <c r="B142" s="477"/>
      <c r="C142" s="478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394">
        <f t="shared" si="108"/>
        <v>0</v>
      </c>
      <c r="Q142" s="482" t="str">
        <f t="shared" ref="Q142:Q173" si="109">IF(P142=0,"-",P142/C142-1)</f>
        <v>-</v>
      </c>
    </row>
    <row r="143" spans="1:17">
      <c r="A143" s="483" t="s">
        <v>67</v>
      </c>
      <c r="B143" s="484"/>
      <c r="C143" s="485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391">
        <f t="shared" si="108"/>
        <v>0</v>
      </c>
      <c r="Q143" s="489" t="str">
        <f t="shared" si="109"/>
        <v>-</v>
      </c>
    </row>
    <row r="144" spans="1:17">
      <c r="A144" s="476" t="s">
        <v>40</v>
      </c>
      <c r="B144" s="477"/>
      <c r="C144" s="478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394">
        <f t="shared" si="108"/>
        <v>0</v>
      </c>
      <c r="Q144" s="482" t="str">
        <f t="shared" si="109"/>
        <v>-</v>
      </c>
    </row>
    <row r="145" spans="1:17">
      <c r="A145" s="483" t="s">
        <v>41</v>
      </c>
      <c r="B145" s="484"/>
      <c r="C145" s="485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391">
        <f t="shared" si="108"/>
        <v>0</v>
      </c>
      <c r="Q145" s="489" t="str">
        <f t="shared" si="109"/>
        <v>-</v>
      </c>
    </row>
    <row r="146" spans="1:17">
      <c r="A146" s="476" t="s">
        <v>42</v>
      </c>
      <c r="B146" s="477"/>
      <c r="C146" s="478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394">
        <f t="shared" si="108"/>
        <v>0</v>
      </c>
      <c r="Q146" s="482" t="str">
        <f t="shared" si="109"/>
        <v>-</v>
      </c>
    </row>
    <row r="147" spans="1:17">
      <c r="A147" s="483" t="s">
        <v>43</v>
      </c>
      <c r="B147" s="484"/>
      <c r="C147" s="485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391">
        <f t="shared" si="108"/>
        <v>0</v>
      </c>
      <c r="Q147" s="489" t="str">
        <f t="shared" si="109"/>
        <v>-</v>
      </c>
    </row>
    <row r="148" spans="1:17">
      <c r="A148" s="476" t="s">
        <v>44</v>
      </c>
      <c r="B148" s="477"/>
      <c r="C148" s="478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394">
        <f t="shared" si="108"/>
        <v>0</v>
      </c>
      <c r="Q148" s="482" t="str">
        <f t="shared" si="109"/>
        <v>-</v>
      </c>
    </row>
    <row r="149" spans="1:17">
      <c r="A149" s="483" t="s">
        <v>45</v>
      </c>
      <c r="B149" s="484"/>
      <c r="C149" s="485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391">
        <f t="shared" si="108"/>
        <v>0</v>
      </c>
      <c r="Q149" s="489" t="str">
        <f t="shared" si="109"/>
        <v>-</v>
      </c>
    </row>
    <row r="150" spans="1:17">
      <c r="A150" s="476" t="s">
        <v>46</v>
      </c>
      <c r="B150" s="477"/>
      <c r="C150" s="478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394">
        <f t="shared" si="108"/>
        <v>0</v>
      </c>
      <c r="Q150" s="482" t="str">
        <f t="shared" si="109"/>
        <v>-</v>
      </c>
    </row>
    <row r="151" spans="1:17" ht="14.25" customHeight="1">
      <c r="A151" s="483" t="s">
        <v>65</v>
      </c>
      <c r="B151" s="484"/>
      <c r="C151" s="485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391">
        <f t="shared" si="108"/>
        <v>0</v>
      </c>
      <c r="Q151" s="489" t="str">
        <f t="shared" si="109"/>
        <v>-</v>
      </c>
    </row>
    <row r="152" spans="1:17">
      <c r="A152" s="476" t="s">
        <v>78</v>
      </c>
      <c r="B152" s="477"/>
      <c r="C152" s="478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394">
        <f t="shared" si="108"/>
        <v>0</v>
      </c>
      <c r="Q152" s="482" t="str">
        <f t="shared" si="109"/>
        <v>-</v>
      </c>
    </row>
    <row r="153" spans="1:17">
      <c r="A153" s="483" t="s">
        <v>47</v>
      </c>
      <c r="B153" s="484"/>
      <c r="C153" s="485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391">
        <f t="shared" si="108"/>
        <v>0</v>
      </c>
      <c r="Q153" s="489" t="str">
        <f t="shared" si="109"/>
        <v>-</v>
      </c>
    </row>
    <row r="154" spans="1:17">
      <c r="A154" s="476" t="s">
        <v>48</v>
      </c>
      <c r="B154" s="477"/>
      <c r="C154" s="478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394">
        <f t="shared" si="108"/>
        <v>0</v>
      </c>
      <c r="Q154" s="482" t="str">
        <f t="shared" si="109"/>
        <v>-</v>
      </c>
    </row>
    <row r="155" spans="1:17">
      <c r="A155" s="483" t="s">
        <v>77</v>
      </c>
      <c r="B155" s="484"/>
      <c r="C155" s="485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391">
        <f t="shared" si="108"/>
        <v>0</v>
      </c>
      <c r="Q155" s="489" t="str">
        <f t="shared" si="109"/>
        <v>-</v>
      </c>
    </row>
    <row r="156" spans="1:17">
      <c r="A156" s="476" t="s">
        <v>49</v>
      </c>
      <c r="B156" s="477"/>
      <c r="C156" s="478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394">
        <f t="shared" si="108"/>
        <v>0</v>
      </c>
      <c r="Q156" s="482" t="str">
        <f t="shared" si="109"/>
        <v>-</v>
      </c>
    </row>
    <row r="157" spans="1:17">
      <c r="A157" s="483" t="s">
        <v>50</v>
      </c>
      <c r="B157" s="484"/>
      <c r="C157" s="485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391">
        <f t="shared" si="108"/>
        <v>0</v>
      </c>
      <c r="Q157" s="489" t="str">
        <f t="shared" si="109"/>
        <v>-</v>
      </c>
    </row>
    <row r="158" spans="1:17" ht="15" customHeight="1">
      <c r="A158" s="476" t="s">
        <v>76</v>
      </c>
      <c r="B158" s="477"/>
      <c r="C158" s="478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394">
        <f t="shared" si="108"/>
        <v>0</v>
      </c>
      <c r="Q158" s="482" t="str">
        <f t="shared" si="109"/>
        <v>-</v>
      </c>
    </row>
    <row r="159" spans="1:17">
      <c r="A159" s="483" t="s">
        <v>51</v>
      </c>
      <c r="B159" s="484"/>
      <c r="C159" s="485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391">
        <f t="shared" si="108"/>
        <v>0</v>
      </c>
      <c r="Q159" s="489" t="str">
        <f t="shared" si="109"/>
        <v>-</v>
      </c>
    </row>
    <row r="160" spans="1:17">
      <c r="A160" s="476" t="s">
        <v>52</v>
      </c>
      <c r="B160" s="477"/>
      <c r="C160" s="478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394">
        <f t="shared" si="108"/>
        <v>0</v>
      </c>
      <c r="Q160" s="482" t="str">
        <f t="shared" si="109"/>
        <v>-</v>
      </c>
    </row>
    <row r="161" spans="1:17">
      <c r="A161" s="483" t="s">
        <v>53</v>
      </c>
      <c r="B161" s="484"/>
      <c r="C161" s="485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391">
        <f t="shared" si="108"/>
        <v>0</v>
      </c>
      <c r="Q161" s="489" t="str">
        <f t="shared" si="109"/>
        <v>-</v>
      </c>
    </row>
    <row r="162" spans="1:17">
      <c r="A162" s="476" t="s">
        <v>54</v>
      </c>
      <c r="B162" s="477"/>
      <c r="C162" s="478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394">
        <f t="shared" si="108"/>
        <v>0</v>
      </c>
      <c r="Q162" s="482" t="str">
        <f t="shared" si="109"/>
        <v>-</v>
      </c>
    </row>
    <row r="163" spans="1:17">
      <c r="A163" s="483" t="s">
        <v>55</v>
      </c>
      <c r="B163" s="484"/>
      <c r="C163" s="485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391">
        <f t="shared" si="108"/>
        <v>0</v>
      </c>
      <c r="Q163" s="489" t="str">
        <f t="shared" si="109"/>
        <v>-</v>
      </c>
    </row>
    <row r="164" spans="1:17">
      <c r="A164" s="476" t="s">
        <v>56</v>
      </c>
      <c r="B164" s="477"/>
      <c r="C164" s="478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394">
        <f t="shared" si="108"/>
        <v>0</v>
      </c>
      <c r="Q164" s="482" t="str">
        <f t="shared" si="109"/>
        <v>-</v>
      </c>
    </row>
    <row r="165" spans="1:17">
      <c r="A165" s="483" t="s">
        <v>57</v>
      </c>
      <c r="B165" s="484"/>
      <c r="C165" s="485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391">
        <f t="shared" si="108"/>
        <v>0</v>
      </c>
      <c r="Q165" s="489" t="str">
        <f t="shared" si="109"/>
        <v>-</v>
      </c>
    </row>
    <row r="166" spans="1:17">
      <c r="A166" s="476" t="s">
        <v>58</v>
      </c>
      <c r="B166" s="477"/>
      <c r="C166" s="478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394">
        <f t="shared" si="108"/>
        <v>0</v>
      </c>
      <c r="Q166" s="482" t="str">
        <f t="shared" si="109"/>
        <v>-</v>
      </c>
    </row>
    <row r="167" spans="1:17">
      <c r="A167" s="483" t="s">
        <v>59</v>
      </c>
      <c r="B167" s="484"/>
      <c r="C167" s="485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391">
        <f t="shared" si="108"/>
        <v>0</v>
      </c>
      <c r="Q167" s="489" t="str">
        <f t="shared" si="109"/>
        <v>-</v>
      </c>
    </row>
    <row r="168" spans="1:17">
      <c r="A168" s="476" t="s">
        <v>60</v>
      </c>
      <c r="B168" s="477"/>
      <c r="C168" s="478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394">
        <f t="shared" si="108"/>
        <v>0</v>
      </c>
      <c r="Q168" s="482" t="str">
        <f t="shared" si="109"/>
        <v>-</v>
      </c>
    </row>
    <row r="169" spans="1:17">
      <c r="A169" s="483" t="s">
        <v>61</v>
      </c>
      <c r="B169" s="484"/>
      <c r="C169" s="485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391">
        <f t="shared" si="108"/>
        <v>0</v>
      </c>
      <c r="Q169" s="489" t="str">
        <f t="shared" si="109"/>
        <v>-</v>
      </c>
    </row>
    <row r="170" spans="1:17">
      <c r="A170" s="476" t="s">
        <v>62</v>
      </c>
      <c r="B170" s="477"/>
      <c r="C170" s="478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394">
        <f t="shared" si="108"/>
        <v>0</v>
      </c>
      <c r="Q170" s="482" t="str">
        <f t="shared" si="109"/>
        <v>-</v>
      </c>
    </row>
    <row r="171" spans="1:17">
      <c r="A171" s="483" t="s">
        <v>63</v>
      </c>
      <c r="B171" s="484"/>
      <c r="C171" s="485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391">
        <f t="shared" si="108"/>
        <v>0</v>
      </c>
      <c r="Q171" s="489" t="str">
        <f t="shared" si="109"/>
        <v>-</v>
      </c>
    </row>
    <row r="172" spans="1:17">
      <c r="A172" s="476" t="s">
        <v>66</v>
      </c>
      <c r="B172" s="477"/>
      <c r="C172" s="478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394">
        <f>SUM(D172:O172)</f>
        <v>0</v>
      </c>
      <c r="Q172" s="482" t="str">
        <f t="shared" si="109"/>
        <v>-</v>
      </c>
    </row>
    <row r="173" spans="1:17" ht="15" thickBot="1">
      <c r="A173" s="490" t="s">
        <v>64</v>
      </c>
      <c r="B173" s="491"/>
      <c r="C173" s="492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496">
        <f t="shared" si="108"/>
        <v>0</v>
      </c>
      <c r="Q173" s="497" t="str">
        <f t="shared" si="109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937" t="s">
        <v>638</v>
      </c>
    </row>
    <row r="176" spans="1:17" ht="30.75" customHeight="1" thickBot="1">
      <c r="A176" s="498"/>
      <c r="B176" s="357" t="s">
        <v>657</v>
      </c>
      <c r="C176" s="357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941" t="s">
        <v>619</v>
      </c>
    </row>
    <row r="177" spans="1:17" ht="21" customHeight="1">
      <c r="A177" s="502" t="s">
        <v>68</v>
      </c>
      <c r="B177" s="2034">
        <f>B44</f>
        <v>0.16949</v>
      </c>
      <c r="C177" s="2035">
        <f t="shared" ref="C177:P177" si="110">C44</f>
        <v>0</v>
      </c>
      <c r="D177" s="1816">
        <f t="shared" si="110"/>
        <v>0</v>
      </c>
      <c r="E177" s="1817">
        <f t="shared" si="110"/>
        <v>0</v>
      </c>
      <c r="F177" s="1817">
        <f t="shared" si="110"/>
        <v>0</v>
      </c>
      <c r="G177" s="1817">
        <f t="shared" si="110"/>
        <v>0</v>
      </c>
      <c r="H177" s="1817">
        <f t="shared" si="110"/>
        <v>0</v>
      </c>
      <c r="I177" s="1817">
        <f t="shared" si="110"/>
        <v>0</v>
      </c>
      <c r="J177" s="1817">
        <f t="shared" si="110"/>
        <v>0</v>
      </c>
      <c r="K177" s="1817">
        <f t="shared" si="110"/>
        <v>0</v>
      </c>
      <c r="L177" s="1817">
        <f t="shared" si="110"/>
        <v>0</v>
      </c>
      <c r="M177" s="1817">
        <f t="shared" si="110"/>
        <v>0</v>
      </c>
      <c r="N177" s="1817">
        <f t="shared" si="110"/>
        <v>0</v>
      </c>
      <c r="O177" s="1818">
        <f t="shared" si="110"/>
        <v>0</v>
      </c>
      <c r="P177" s="1819">
        <f t="shared" si="110"/>
        <v>0</v>
      </c>
      <c r="Q177" s="506" t="str">
        <f t="shared" ref="Q177:Q187" si="111">IF(P177=0,"-",P177/C177-1)</f>
        <v>-</v>
      </c>
    </row>
    <row r="178" spans="1:17" ht="21" customHeight="1">
      <c r="A178" s="476" t="s">
        <v>69</v>
      </c>
      <c r="B178" s="2036">
        <f t="shared" ref="B178:P178" si="112">B67</f>
        <v>0</v>
      </c>
      <c r="C178" s="2037">
        <f t="shared" si="112"/>
        <v>0</v>
      </c>
      <c r="D178" s="1820">
        <f t="shared" si="112"/>
        <v>0</v>
      </c>
      <c r="E178" s="1821">
        <f t="shared" si="112"/>
        <v>0</v>
      </c>
      <c r="F178" s="1821">
        <f t="shared" si="112"/>
        <v>0</v>
      </c>
      <c r="G178" s="1821">
        <f t="shared" si="112"/>
        <v>0</v>
      </c>
      <c r="H178" s="1821">
        <f t="shared" si="112"/>
        <v>0</v>
      </c>
      <c r="I178" s="1821">
        <f t="shared" si="112"/>
        <v>0</v>
      </c>
      <c r="J178" s="1821">
        <f t="shared" si="112"/>
        <v>0</v>
      </c>
      <c r="K178" s="1821">
        <f t="shared" si="112"/>
        <v>0</v>
      </c>
      <c r="L178" s="1821">
        <f t="shared" si="112"/>
        <v>0</v>
      </c>
      <c r="M178" s="1821">
        <f t="shared" si="112"/>
        <v>0</v>
      </c>
      <c r="N178" s="1821">
        <f t="shared" si="112"/>
        <v>0</v>
      </c>
      <c r="O178" s="1822">
        <f t="shared" si="112"/>
        <v>0</v>
      </c>
      <c r="P178" s="1823">
        <f t="shared" si="112"/>
        <v>0</v>
      </c>
      <c r="Q178" s="510" t="str">
        <f t="shared" si="111"/>
        <v>-</v>
      </c>
    </row>
    <row r="179" spans="1:17" ht="21" customHeight="1">
      <c r="A179" s="483" t="s">
        <v>512</v>
      </c>
      <c r="B179" s="2038"/>
      <c r="C179" s="2039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11"/>
        <v>-</v>
      </c>
    </row>
    <row r="180" spans="1:17" ht="21" customHeight="1">
      <c r="A180" s="483" t="s">
        <v>70</v>
      </c>
      <c r="B180" s="2038">
        <f>B90-B179</f>
        <v>0.16949</v>
      </c>
      <c r="C180" s="2039">
        <f t="shared" ref="C180:O180" si="113">C90-C179</f>
        <v>0</v>
      </c>
      <c r="D180" s="1824">
        <f t="shared" si="113"/>
        <v>0</v>
      </c>
      <c r="E180" s="1825">
        <f t="shared" si="113"/>
        <v>0</v>
      </c>
      <c r="F180" s="1825">
        <f t="shared" si="113"/>
        <v>0</v>
      </c>
      <c r="G180" s="1825">
        <f t="shared" si="113"/>
        <v>0</v>
      </c>
      <c r="H180" s="1825">
        <f t="shared" si="113"/>
        <v>0</v>
      </c>
      <c r="I180" s="1825">
        <f t="shared" si="113"/>
        <v>0</v>
      </c>
      <c r="J180" s="1825">
        <f t="shared" si="113"/>
        <v>0</v>
      </c>
      <c r="K180" s="1825">
        <f t="shared" si="113"/>
        <v>0</v>
      </c>
      <c r="L180" s="1825">
        <f t="shared" si="113"/>
        <v>0</v>
      </c>
      <c r="M180" s="1825">
        <f t="shared" si="113"/>
        <v>0</v>
      </c>
      <c r="N180" s="1825">
        <f t="shared" si="113"/>
        <v>0</v>
      </c>
      <c r="O180" s="1826">
        <f t="shared" si="113"/>
        <v>0</v>
      </c>
      <c r="P180" s="1827">
        <f>P90-P179</f>
        <v>0</v>
      </c>
      <c r="Q180" s="514" t="str">
        <f t="shared" si="111"/>
        <v>-</v>
      </c>
    </row>
    <row r="181" spans="1:17" ht="21" customHeight="1">
      <c r="A181" s="476" t="s">
        <v>71</v>
      </c>
      <c r="B181" s="2036">
        <f>B113</f>
        <v>0.12118642995000001</v>
      </c>
      <c r="C181" s="2037">
        <f t="shared" ref="C181:P181" si="114">C113</f>
        <v>0</v>
      </c>
      <c r="D181" s="1820">
        <f t="shared" si="114"/>
        <v>0</v>
      </c>
      <c r="E181" s="1821">
        <f t="shared" si="114"/>
        <v>0</v>
      </c>
      <c r="F181" s="1821">
        <f t="shared" si="114"/>
        <v>0</v>
      </c>
      <c r="G181" s="1821">
        <f t="shared" si="114"/>
        <v>0</v>
      </c>
      <c r="H181" s="1821">
        <f t="shared" si="114"/>
        <v>0</v>
      </c>
      <c r="I181" s="1821">
        <f t="shared" si="114"/>
        <v>0</v>
      </c>
      <c r="J181" s="1821">
        <f t="shared" si="114"/>
        <v>0</v>
      </c>
      <c r="K181" s="1821">
        <f t="shared" si="114"/>
        <v>0</v>
      </c>
      <c r="L181" s="1821">
        <f t="shared" si="114"/>
        <v>0</v>
      </c>
      <c r="M181" s="1821">
        <f t="shared" si="114"/>
        <v>0</v>
      </c>
      <c r="N181" s="1821">
        <f t="shared" si="114"/>
        <v>0</v>
      </c>
      <c r="O181" s="1822">
        <f t="shared" si="114"/>
        <v>0</v>
      </c>
      <c r="P181" s="1823">
        <f t="shared" si="114"/>
        <v>0</v>
      </c>
      <c r="Q181" s="510" t="str">
        <f t="shared" si="111"/>
        <v>-</v>
      </c>
    </row>
    <row r="182" spans="1:17" ht="21" customHeight="1">
      <c r="A182" s="483" t="s">
        <v>36</v>
      </c>
      <c r="B182" s="2038">
        <f t="shared" ref="B182:P182" si="115">B136</f>
        <v>4.8303570049999994E-2</v>
      </c>
      <c r="C182" s="2039">
        <f t="shared" si="115"/>
        <v>0</v>
      </c>
      <c r="D182" s="1824">
        <f t="shared" si="115"/>
        <v>0</v>
      </c>
      <c r="E182" s="1825">
        <f t="shared" si="115"/>
        <v>0</v>
      </c>
      <c r="F182" s="1825">
        <f t="shared" si="115"/>
        <v>0</v>
      </c>
      <c r="G182" s="1825">
        <f t="shared" si="115"/>
        <v>0</v>
      </c>
      <c r="H182" s="1825">
        <f t="shared" si="115"/>
        <v>0</v>
      </c>
      <c r="I182" s="1825">
        <f t="shared" si="115"/>
        <v>0</v>
      </c>
      <c r="J182" s="1825">
        <f t="shared" si="115"/>
        <v>0</v>
      </c>
      <c r="K182" s="1825">
        <f t="shared" si="115"/>
        <v>0</v>
      </c>
      <c r="L182" s="1825">
        <f t="shared" si="115"/>
        <v>0</v>
      </c>
      <c r="M182" s="1825">
        <f t="shared" si="115"/>
        <v>0</v>
      </c>
      <c r="N182" s="1825">
        <f t="shared" si="115"/>
        <v>0</v>
      </c>
      <c r="O182" s="1826">
        <f t="shared" si="115"/>
        <v>0</v>
      </c>
      <c r="P182" s="1827">
        <f t="shared" si="115"/>
        <v>0</v>
      </c>
      <c r="Q182" s="514" t="str">
        <f t="shared" si="111"/>
        <v>-</v>
      </c>
    </row>
    <row r="183" spans="1:17" ht="21" customHeight="1">
      <c r="A183" s="515" t="s">
        <v>73</v>
      </c>
      <c r="B183" s="2040">
        <f>B182/B180</f>
        <v>0.28499362823765412</v>
      </c>
      <c r="C183" s="2041" t="e">
        <f t="shared" ref="C183:P183" si="116">C182/C180</f>
        <v>#DIV/0!</v>
      </c>
      <c r="D183" s="518" t="e">
        <f t="shared" si="116"/>
        <v>#DIV/0!</v>
      </c>
      <c r="E183" s="519" t="e">
        <f t="shared" si="116"/>
        <v>#DIV/0!</v>
      </c>
      <c r="F183" s="519" t="e">
        <f t="shared" si="116"/>
        <v>#DIV/0!</v>
      </c>
      <c r="G183" s="519" t="e">
        <f t="shared" si="116"/>
        <v>#DIV/0!</v>
      </c>
      <c r="H183" s="519" t="e">
        <f t="shared" si="116"/>
        <v>#DIV/0!</v>
      </c>
      <c r="I183" s="519" t="e">
        <f t="shared" si="116"/>
        <v>#DIV/0!</v>
      </c>
      <c r="J183" s="519" t="e">
        <f t="shared" si="116"/>
        <v>#DIV/0!</v>
      </c>
      <c r="K183" s="519" t="e">
        <f t="shared" si="116"/>
        <v>#DIV/0!</v>
      </c>
      <c r="L183" s="519" t="e">
        <f t="shared" si="116"/>
        <v>#DIV/0!</v>
      </c>
      <c r="M183" s="519" t="e">
        <f t="shared" si="116"/>
        <v>#DIV/0!</v>
      </c>
      <c r="N183" s="519" t="e">
        <f t="shared" si="116"/>
        <v>#DIV/0!</v>
      </c>
      <c r="O183" s="520" t="e">
        <f t="shared" si="116"/>
        <v>#DIV/0!</v>
      </c>
      <c r="P183" s="521" t="e">
        <f t="shared" si="116"/>
        <v>#DIV/0!</v>
      </c>
      <c r="Q183" s="522" t="e">
        <f t="shared" si="111"/>
        <v>#DIV/0!</v>
      </c>
    </row>
    <row r="184" spans="1:17" ht="21" customHeight="1">
      <c r="A184" s="483" t="s">
        <v>75</v>
      </c>
      <c r="B184" s="2042">
        <f t="shared" ref="B184:P184" si="117">B140</f>
        <v>0</v>
      </c>
      <c r="C184" s="2043">
        <f t="shared" si="117"/>
        <v>0</v>
      </c>
      <c r="D184" s="513">
        <f t="shared" si="117"/>
        <v>0</v>
      </c>
      <c r="E184" s="487">
        <f t="shared" si="117"/>
        <v>0</v>
      </c>
      <c r="F184" s="487">
        <f t="shared" si="117"/>
        <v>0</v>
      </c>
      <c r="G184" s="487">
        <f t="shared" si="117"/>
        <v>0</v>
      </c>
      <c r="H184" s="487">
        <f t="shared" si="117"/>
        <v>0</v>
      </c>
      <c r="I184" s="487">
        <f t="shared" si="117"/>
        <v>0</v>
      </c>
      <c r="J184" s="487">
        <f t="shared" si="117"/>
        <v>0</v>
      </c>
      <c r="K184" s="487">
        <f t="shared" si="117"/>
        <v>0</v>
      </c>
      <c r="L184" s="487">
        <f t="shared" si="117"/>
        <v>0</v>
      </c>
      <c r="M184" s="487">
        <f t="shared" si="117"/>
        <v>0</v>
      </c>
      <c r="N184" s="487">
        <f t="shared" si="117"/>
        <v>0</v>
      </c>
      <c r="O184" s="487">
        <f t="shared" si="117"/>
        <v>0</v>
      </c>
      <c r="P184" s="391">
        <f t="shared" si="117"/>
        <v>0</v>
      </c>
      <c r="Q184" s="514" t="str">
        <f t="shared" si="111"/>
        <v>-</v>
      </c>
    </row>
    <row r="185" spans="1:17" s="531" customFormat="1" ht="21" customHeight="1">
      <c r="A185" s="523" t="s">
        <v>74</v>
      </c>
      <c r="B185" s="2044">
        <f>B184/B180</f>
        <v>0</v>
      </c>
      <c r="C185" s="2045" t="e">
        <f t="shared" ref="C185:P185" si="118">C184/C180</f>
        <v>#DIV/0!</v>
      </c>
      <c r="D185" s="526" t="e">
        <f t="shared" si="118"/>
        <v>#DIV/0!</v>
      </c>
      <c r="E185" s="527" t="e">
        <f t="shared" si="118"/>
        <v>#DIV/0!</v>
      </c>
      <c r="F185" s="527" t="e">
        <f t="shared" si="118"/>
        <v>#DIV/0!</v>
      </c>
      <c r="G185" s="527" t="e">
        <f t="shared" si="118"/>
        <v>#DIV/0!</v>
      </c>
      <c r="H185" s="527" t="e">
        <f t="shared" si="118"/>
        <v>#DIV/0!</v>
      </c>
      <c r="I185" s="527" t="e">
        <f t="shared" si="118"/>
        <v>#DIV/0!</v>
      </c>
      <c r="J185" s="527" t="e">
        <f t="shared" si="118"/>
        <v>#DIV/0!</v>
      </c>
      <c r="K185" s="527" t="e">
        <f t="shared" si="118"/>
        <v>#DIV/0!</v>
      </c>
      <c r="L185" s="527" t="e">
        <f t="shared" si="118"/>
        <v>#DIV/0!</v>
      </c>
      <c r="M185" s="527" t="e">
        <f t="shared" si="118"/>
        <v>#DIV/0!</v>
      </c>
      <c r="N185" s="527" t="e">
        <f t="shared" si="118"/>
        <v>#DIV/0!</v>
      </c>
      <c r="O185" s="528" t="e">
        <f t="shared" si="118"/>
        <v>#DIV/0!</v>
      </c>
      <c r="P185" s="529" t="e">
        <f t="shared" si="118"/>
        <v>#DIV/0!</v>
      </c>
      <c r="Q185" s="530" t="e">
        <f t="shared" si="111"/>
        <v>#DIV/0!</v>
      </c>
    </row>
    <row r="186" spans="1:17" s="281" customFormat="1" ht="21" customHeight="1" thickBot="1">
      <c r="A186" s="532" t="s">
        <v>79</v>
      </c>
      <c r="B186" s="2046">
        <f>B182-B184</f>
        <v>4.8303570049999994E-2</v>
      </c>
      <c r="C186" s="2047">
        <f t="shared" ref="C186:P186" si="119">C182-C184</f>
        <v>0</v>
      </c>
      <c r="D186" s="535">
        <f t="shared" si="119"/>
        <v>0</v>
      </c>
      <c r="E186" s="536">
        <f t="shared" si="119"/>
        <v>0</v>
      </c>
      <c r="F186" s="536">
        <f t="shared" si="119"/>
        <v>0</v>
      </c>
      <c r="G186" s="536">
        <f t="shared" si="119"/>
        <v>0</v>
      </c>
      <c r="H186" s="536">
        <f t="shared" si="119"/>
        <v>0</v>
      </c>
      <c r="I186" s="536">
        <f t="shared" si="119"/>
        <v>0</v>
      </c>
      <c r="J186" s="536">
        <f t="shared" si="119"/>
        <v>0</v>
      </c>
      <c r="K186" s="536">
        <f t="shared" si="119"/>
        <v>0</v>
      </c>
      <c r="L186" s="536">
        <f t="shared" si="119"/>
        <v>0</v>
      </c>
      <c r="M186" s="536">
        <f t="shared" si="119"/>
        <v>0</v>
      </c>
      <c r="N186" s="536">
        <f t="shared" si="119"/>
        <v>0</v>
      </c>
      <c r="O186" s="537">
        <f t="shared" si="119"/>
        <v>0</v>
      </c>
      <c r="P186" s="496">
        <f t="shared" si="119"/>
        <v>0</v>
      </c>
      <c r="Q186" s="538" t="str">
        <f t="shared" si="111"/>
        <v>-</v>
      </c>
    </row>
    <row r="187" spans="1:17" s="281" customFormat="1" ht="21" customHeight="1" thickBot="1">
      <c r="A187" s="539" t="s">
        <v>80</v>
      </c>
      <c r="B187" s="2048">
        <f>B186/B180</f>
        <v>0.28499362823765412</v>
      </c>
      <c r="C187" s="2049" t="e">
        <f t="shared" ref="C187:P187" si="120">C186/C180</f>
        <v>#DIV/0!</v>
      </c>
      <c r="D187" s="542" t="e">
        <f t="shared" si="120"/>
        <v>#DIV/0!</v>
      </c>
      <c r="E187" s="543" t="e">
        <f t="shared" si="120"/>
        <v>#DIV/0!</v>
      </c>
      <c r="F187" s="543" t="e">
        <f t="shared" si="120"/>
        <v>#DIV/0!</v>
      </c>
      <c r="G187" s="543" t="e">
        <f t="shared" si="120"/>
        <v>#DIV/0!</v>
      </c>
      <c r="H187" s="543" t="e">
        <f t="shared" si="120"/>
        <v>#DIV/0!</v>
      </c>
      <c r="I187" s="543" t="e">
        <f t="shared" si="120"/>
        <v>#DIV/0!</v>
      </c>
      <c r="J187" s="543" t="e">
        <f t="shared" si="120"/>
        <v>#DIV/0!</v>
      </c>
      <c r="K187" s="543" t="e">
        <f t="shared" si="120"/>
        <v>#DIV/0!</v>
      </c>
      <c r="L187" s="543" t="e">
        <f t="shared" si="120"/>
        <v>#DIV/0!</v>
      </c>
      <c r="M187" s="543" t="e">
        <f t="shared" si="120"/>
        <v>#DIV/0!</v>
      </c>
      <c r="N187" s="543" t="e">
        <f t="shared" si="120"/>
        <v>#DIV/0!</v>
      </c>
      <c r="O187" s="544" t="e">
        <f t="shared" si="120"/>
        <v>#DIV/0!</v>
      </c>
      <c r="P187" s="545" t="e">
        <f t="shared" si="120"/>
        <v>#DIV/0!</v>
      </c>
      <c r="Q187" s="546" t="e">
        <f t="shared" si="111"/>
        <v>#DIV/0!</v>
      </c>
    </row>
  </sheetData>
  <mergeCells count="16">
    <mergeCell ref="B2:C2"/>
    <mergeCell ref="D2:P2"/>
    <mergeCell ref="B23:C23"/>
    <mergeCell ref="D23:P23"/>
    <mergeCell ref="B46:C46"/>
    <mergeCell ref="D46:P46"/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</mergeCells>
  <pageMargins left="0.25" right="0.25" top="0.75" bottom="0.75" header="0.3" footer="0.3"/>
  <pageSetup paperSize="9" scale="71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V187"/>
  <sheetViews>
    <sheetView zoomScale="85" zoomScaleNormal="85" workbookViewId="0">
      <selection activeCell="A2" sqref="A2"/>
    </sheetView>
  </sheetViews>
  <sheetFormatPr defaultColWidth="9.109375" defaultRowHeight="14.4"/>
  <cols>
    <col min="1" max="1" width="30.332031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13" width="12.44140625" style="352" customWidth="1"/>
    <col min="14" max="14" width="12.44140625" style="353" customWidth="1"/>
    <col min="15" max="16" width="12.44140625" style="352" customWidth="1"/>
    <col min="17" max="16384" width="9.109375" style="352"/>
  </cols>
  <sheetData>
    <row r="1" spans="1:22" ht="15" thickBot="1">
      <c r="C1" s="352" t="s">
        <v>587</v>
      </c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937" t="s">
        <v>638</v>
      </c>
    </row>
    <row r="3" spans="1:22" ht="30.75" customHeight="1" thickBot="1">
      <c r="A3" s="356"/>
      <c r="B3" s="357" t="s">
        <v>657</v>
      </c>
      <c r="C3" s="357" t="s">
        <v>663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94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367" t="str">
        <f t="shared" ref="Q4:Q16" si="3">IF(P4=0,"-",P4/C4-1)</f>
        <v>-</v>
      </c>
    </row>
    <row r="5" spans="1:22" ht="16.5" customHeight="1">
      <c r="A5" s="368" t="s">
        <v>15</v>
      </c>
      <c r="B5" s="2178"/>
      <c r="C5" s="370">
        <f>B5/10*12</f>
        <v>0</v>
      </c>
      <c r="D5" s="371"/>
      <c r="E5" s="372"/>
      <c r="F5" s="372"/>
      <c r="G5" s="372"/>
      <c r="H5" s="373"/>
      <c r="I5" s="373"/>
      <c r="J5" s="373"/>
      <c r="K5" s="373"/>
      <c r="L5" s="373"/>
      <c r="M5" s="373"/>
      <c r="N5" s="373"/>
      <c r="O5" s="374"/>
      <c r="P5" s="369">
        <f t="shared" si="2"/>
        <v>0</v>
      </c>
      <c r="Q5" s="375" t="str">
        <f t="shared" ref="Q5:Q14" si="4">IF(P5=0,"-",P5/C5-1)</f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378"/>
      <c r="C6" s="379"/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384" t="str">
        <f t="shared" si="4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+C6+C5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4"/>
        <v>-</v>
      </c>
    </row>
    <row r="8" spans="1:22" ht="16.5" customHeight="1">
      <c r="A8" s="393" t="s">
        <v>17</v>
      </c>
      <c r="B8" s="1448"/>
      <c r="C8" s="398">
        <f>+B8/10*12</f>
        <v>0</v>
      </c>
      <c r="D8" s="396"/>
      <c r="E8" s="397"/>
      <c r="F8" s="397"/>
      <c r="G8" s="397"/>
      <c r="H8" s="397"/>
      <c r="I8" s="397"/>
      <c r="J8" s="397"/>
      <c r="K8" s="397"/>
      <c r="L8" s="397"/>
      <c r="M8" s="397"/>
      <c r="N8" s="397"/>
      <c r="O8" s="398"/>
      <c r="P8" s="399">
        <f t="shared" si="2"/>
        <v>0</v>
      </c>
      <c r="Q8" s="384" t="str">
        <f t="shared" si="4"/>
        <v>-</v>
      </c>
    </row>
    <row r="9" spans="1:22" ht="16.5" customHeight="1">
      <c r="A9" s="400" t="s">
        <v>81</v>
      </c>
      <c r="B9" s="2177"/>
      <c r="C9" s="370">
        <f>B9/10*12</f>
        <v>0</v>
      </c>
      <c r="D9" s="402">
        <f>+'DAĞITICI-ÖTV''SİZ-İHALE HEDEF'!C5</f>
        <v>0</v>
      </c>
      <c r="E9" s="403">
        <f>+'DAĞITICI-ÖTV''SİZ-İHALE HEDEF'!D5</f>
        <v>0</v>
      </c>
      <c r="F9" s="403">
        <f>+'DAĞITICI-ÖTV''SİZ-İHALE HEDEF'!E5</f>
        <v>0</v>
      </c>
      <c r="G9" s="403">
        <f>+'DAĞITICI-ÖTV''SİZ-İHALE HEDEF'!F5</f>
        <v>0</v>
      </c>
      <c r="H9" s="403">
        <f>+'DAĞITICI-ÖTV''SİZ-İHALE HEDEF'!G5</f>
        <v>0</v>
      </c>
      <c r="I9" s="403">
        <f>+'DAĞITICI-ÖTV''SİZ-İHALE HEDEF'!H5</f>
        <v>0</v>
      </c>
      <c r="J9" s="403">
        <f>+'DAĞITICI-ÖTV''SİZ-İHALE HEDEF'!I5</f>
        <v>0</v>
      </c>
      <c r="K9" s="403">
        <f>+'DAĞITICI-ÖTV''SİZ-İHALE HEDEF'!J5</f>
        <v>0</v>
      </c>
      <c r="L9" s="403">
        <f>+'DAĞITICI-ÖTV''SİZ-İHALE HEDEF'!K5</f>
        <v>0</v>
      </c>
      <c r="M9" s="403">
        <f>+'DAĞITICI-ÖTV''SİZ-İHALE HEDEF'!L5</f>
        <v>0</v>
      </c>
      <c r="N9" s="403">
        <f>+'DAĞITICI-ÖTV''SİZ-İHALE HEDEF'!M5</f>
        <v>0</v>
      </c>
      <c r="O9" s="404">
        <f>+'DAĞITICI-ÖTV''SİZ-İHALE HEDEF'!N5</f>
        <v>0</v>
      </c>
      <c r="P9" s="386">
        <f t="shared" si="2"/>
        <v>0</v>
      </c>
      <c r="Q9" s="405" t="str">
        <f t="shared" si="4"/>
        <v>-</v>
      </c>
    </row>
    <row r="10" spans="1:22" ht="16.5" hidden="1" customHeight="1">
      <c r="A10" s="406" t="s">
        <v>82</v>
      </c>
      <c r="B10" s="394"/>
      <c r="C10" s="370">
        <f t="shared" ref="C10" si="6">+B10/10*12</f>
        <v>0</v>
      </c>
      <c r="D10" s="402">
        <v>0</v>
      </c>
      <c r="E10" s="403">
        <v>0</v>
      </c>
      <c r="F10" s="403">
        <v>0</v>
      </c>
      <c r="G10" s="403">
        <v>0</v>
      </c>
      <c r="H10" s="403">
        <v>0</v>
      </c>
      <c r="I10" s="403">
        <v>0</v>
      </c>
      <c r="J10" s="403">
        <v>0</v>
      </c>
      <c r="K10" s="403">
        <v>0</v>
      </c>
      <c r="L10" s="403">
        <v>0</v>
      </c>
      <c r="M10" s="403">
        <v>0</v>
      </c>
      <c r="N10" s="403">
        <v>0</v>
      </c>
      <c r="O10" s="404">
        <v>0</v>
      </c>
      <c r="P10" s="399">
        <f t="shared" si="2"/>
        <v>0</v>
      </c>
      <c r="Q10" s="384" t="str">
        <f t="shared" si="4"/>
        <v>-</v>
      </c>
    </row>
    <row r="11" spans="1:22" ht="16.5" customHeight="1">
      <c r="A11" s="400" t="s">
        <v>83</v>
      </c>
      <c r="B11" s="408"/>
      <c r="C11" s="370">
        <f>B11/10*12</f>
        <v>0</v>
      </c>
      <c r="D11" s="402">
        <f>+'DAĞITICI-ÖTV''SİZ-İHALE HEDEF'!C7</f>
        <v>0</v>
      </c>
      <c r="E11" s="403">
        <f>+'DAĞITICI-ÖTV''SİZ-İHALE HEDEF'!D7</f>
        <v>0</v>
      </c>
      <c r="F11" s="403">
        <f>+'DAĞITICI-ÖTV''SİZ-İHALE HEDEF'!E7</f>
        <v>0</v>
      </c>
      <c r="G11" s="403">
        <f>+'DAĞITICI-ÖTV''SİZ-İHALE HEDEF'!F7</f>
        <v>0</v>
      </c>
      <c r="H11" s="403">
        <f>+'DAĞITICI-ÖTV''SİZ-İHALE HEDEF'!G7</f>
        <v>0</v>
      </c>
      <c r="I11" s="403">
        <f>+'DAĞITICI-ÖTV''SİZ-İHALE HEDEF'!H7</f>
        <v>0</v>
      </c>
      <c r="J11" s="403">
        <f>+'DAĞITICI-ÖTV''SİZ-İHALE HEDEF'!I7</f>
        <v>0</v>
      </c>
      <c r="K11" s="403">
        <f>+'DAĞITICI-ÖTV''SİZ-İHALE HEDEF'!J7</f>
        <v>0</v>
      </c>
      <c r="L11" s="403">
        <f>+'DAĞITICI-ÖTV''SİZ-İHALE HEDEF'!K7</f>
        <v>0</v>
      </c>
      <c r="M11" s="403">
        <f>+'DAĞITICI-ÖTV''SİZ-İHALE HEDEF'!L7</f>
        <v>0</v>
      </c>
      <c r="N11" s="403">
        <f>+'DAĞITICI-ÖTV''SİZ-İHALE HEDEF'!M7</f>
        <v>0</v>
      </c>
      <c r="O11" s="404">
        <f>+'DAĞITICI-ÖTV''SİZ-İHALE HEDEF'!N7</f>
        <v>0</v>
      </c>
      <c r="P11" s="386">
        <f t="shared" si="2"/>
        <v>0</v>
      </c>
      <c r="Q11" s="405" t="str">
        <f t="shared" si="4"/>
        <v>-</v>
      </c>
    </row>
    <row r="12" spans="1:22" ht="16.5" hidden="1" customHeight="1">
      <c r="A12" s="406" t="s">
        <v>84</v>
      </c>
      <c r="B12" s="378"/>
      <c r="C12" s="379"/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384" t="str">
        <f t="shared" si="4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11">
        <f>SUM(B9:B12)</f>
        <v>0</v>
      </c>
      <c r="C13" s="412">
        <f>SUM(C9:C12)</f>
        <v>0</v>
      </c>
      <c r="D13" s="413">
        <f>SUM(D9:D12)</f>
        <v>0</v>
      </c>
      <c r="E13" s="414">
        <f t="shared" ref="E13:O13" si="7">SUM(E9:E12)</f>
        <v>0</v>
      </c>
      <c r="F13" s="414">
        <f t="shared" si="7"/>
        <v>0</v>
      </c>
      <c r="G13" s="414">
        <f t="shared" si="7"/>
        <v>0</v>
      </c>
      <c r="H13" s="414">
        <f t="shared" si="7"/>
        <v>0</v>
      </c>
      <c r="I13" s="414">
        <f t="shared" si="7"/>
        <v>0</v>
      </c>
      <c r="J13" s="414">
        <f t="shared" si="7"/>
        <v>0</v>
      </c>
      <c r="K13" s="414">
        <f t="shared" si="7"/>
        <v>0</v>
      </c>
      <c r="L13" s="414">
        <f t="shared" si="7"/>
        <v>0</v>
      </c>
      <c r="M13" s="414">
        <f t="shared" si="7"/>
        <v>0</v>
      </c>
      <c r="N13" s="414">
        <f t="shared" si="7"/>
        <v>0</v>
      </c>
      <c r="O13" s="412">
        <f t="shared" si="7"/>
        <v>0</v>
      </c>
      <c r="P13" s="411">
        <f t="shared" si="2"/>
        <v>0</v>
      </c>
      <c r="Q13" s="415" t="str">
        <f t="shared" si="4"/>
        <v>-</v>
      </c>
    </row>
    <row r="14" spans="1:22" ht="22.5" customHeight="1" thickBot="1">
      <c r="A14" s="362" t="s">
        <v>25</v>
      </c>
      <c r="B14" s="363">
        <f>SUM(B15:B16)</f>
        <v>0</v>
      </c>
      <c r="C14" s="364">
        <f t="shared" ref="C14" si="8">SUM(C15:C16)</f>
        <v>0</v>
      </c>
      <c r="D14" s="417">
        <f>SUM(D15:D16)</f>
        <v>0</v>
      </c>
      <c r="E14" s="418">
        <f t="shared" ref="E14:O14" si="9">SUM(E15:E16)</f>
        <v>0</v>
      </c>
      <c r="F14" s="418">
        <f t="shared" si="9"/>
        <v>0</v>
      </c>
      <c r="G14" s="418">
        <f t="shared" si="9"/>
        <v>0</v>
      </c>
      <c r="H14" s="418">
        <f t="shared" si="9"/>
        <v>0</v>
      </c>
      <c r="I14" s="418">
        <f t="shared" si="9"/>
        <v>0</v>
      </c>
      <c r="J14" s="418">
        <f t="shared" si="9"/>
        <v>0</v>
      </c>
      <c r="K14" s="418">
        <f t="shared" si="9"/>
        <v>0</v>
      </c>
      <c r="L14" s="418">
        <f t="shared" si="9"/>
        <v>0</v>
      </c>
      <c r="M14" s="418">
        <f t="shared" si="9"/>
        <v>0</v>
      </c>
      <c r="N14" s="418">
        <f t="shared" si="9"/>
        <v>0</v>
      </c>
      <c r="O14" s="419">
        <f t="shared" si="9"/>
        <v>0</v>
      </c>
      <c r="P14" s="420">
        <f t="shared" si="2"/>
        <v>0</v>
      </c>
      <c r="Q14" s="421" t="str">
        <f t="shared" si="4"/>
        <v>-</v>
      </c>
    </row>
    <row r="15" spans="1:22" ht="16.5" customHeight="1">
      <c r="A15" s="422" t="s">
        <v>19</v>
      </c>
      <c r="B15" s="423"/>
      <c r="C15" s="370">
        <f t="shared" ref="C15:C16" si="10">+B15/10*12</f>
        <v>0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370">
        <f t="shared" si="10"/>
        <v>0</v>
      </c>
      <c r="D16" s="433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5"/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:C17" si="11">SUM(B18:B19)</f>
        <v>0</v>
      </c>
      <c r="C17" s="364">
        <f t="shared" si="11"/>
        <v>0</v>
      </c>
      <c r="D17" s="417">
        <f>SUM(D18:D19)</f>
        <v>0</v>
      </c>
      <c r="E17" s="418">
        <f t="shared" ref="E17:O17" si="12">SUM(E18:E19)</f>
        <v>0</v>
      </c>
      <c r="F17" s="418">
        <f t="shared" si="12"/>
        <v>0</v>
      </c>
      <c r="G17" s="418">
        <f t="shared" si="12"/>
        <v>0</v>
      </c>
      <c r="H17" s="418">
        <f t="shared" si="12"/>
        <v>0</v>
      </c>
      <c r="I17" s="418">
        <f t="shared" si="12"/>
        <v>0</v>
      </c>
      <c r="J17" s="418">
        <f t="shared" si="12"/>
        <v>0</v>
      </c>
      <c r="K17" s="418">
        <f t="shared" si="12"/>
        <v>0</v>
      </c>
      <c r="L17" s="418">
        <f t="shared" si="12"/>
        <v>0</v>
      </c>
      <c r="M17" s="418">
        <f t="shared" si="12"/>
        <v>0</v>
      </c>
      <c r="N17" s="418">
        <f t="shared" si="12"/>
        <v>0</v>
      </c>
      <c r="O17" s="419">
        <f t="shared" si="12"/>
        <v>0</v>
      </c>
      <c r="P17" s="420">
        <f t="shared" si="2"/>
        <v>0</v>
      </c>
      <c r="Q17" s="421" t="str">
        <f>IF(P17=0,"-",P17/C17-1)</f>
        <v>-</v>
      </c>
    </row>
    <row r="18" spans="1:22" ht="16.5" customHeight="1">
      <c r="A18" s="422" t="s">
        <v>106</v>
      </c>
      <c r="B18" s="423"/>
      <c r="C18" s="370"/>
      <c r="D18" s="425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7"/>
      <c r="P18" s="428">
        <f t="shared" si="2"/>
        <v>0</v>
      </c>
      <c r="Q18" s="429" t="str">
        <f>IF(P18=0,"-",P18/C18-1)</f>
        <v>-</v>
      </c>
    </row>
    <row r="19" spans="1:22" ht="16.5" customHeight="1" thickBot="1">
      <c r="A19" s="438" t="s">
        <v>105</v>
      </c>
      <c r="B19" s="439"/>
      <c r="C19" s="1447"/>
      <c r="D19" s="441"/>
      <c r="E19" s="442"/>
      <c r="F19" s="442"/>
      <c r="G19" s="442"/>
      <c r="H19" s="442"/>
      <c r="I19" s="442"/>
      <c r="J19" s="442"/>
      <c r="K19" s="442"/>
      <c r="L19" s="442"/>
      <c r="M19" s="442"/>
      <c r="N19" s="442"/>
      <c r="O19" s="443"/>
      <c r="P19" s="444">
        <f t="shared" si="2"/>
        <v>0</v>
      </c>
      <c r="Q19" s="445" t="str">
        <f>IF(P19=0,"-",P19/C19-1)</f>
        <v>-</v>
      </c>
    </row>
    <row r="20" spans="1:22" ht="16.5" customHeight="1" thickBot="1">
      <c r="C20" s="353" t="s">
        <v>587</v>
      </c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/>
    </row>
    <row r="21" spans="1:22" ht="22.5" customHeight="1" thickBot="1">
      <c r="A21" s="362" t="s">
        <v>85</v>
      </c>
      <c r="B21" s="363"/>
      <c r="C21" s="364"/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>IF(P21=0,"-",P21/C21-1)</f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937" t="s">
        <v>638</v>
      </c>
    </row>
    <row r="24" spans="1:22" ht="30.75" customHeight="1" thickBot="1">
      <c r="A24" s="356"/>
      <c r="B24" s="357" t="s">
        <v>657</v>
      </c>
      <c r="C24" s="357" t="s">
        <v>663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94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 t="shared" ref="C25:O25" si="13">C28+C29+C34</f>
        <v>0</v>
      </c>
      <c r="D25" s="365">
        <f t="shared" si="13"/>
        <v>0</v>
      </c>
      <c r="E25" s="366">
        <f t="shared" si="13"/>
        <v>0</v>
      </c>
      <c r="F25" s="366">
        <f t="shared" si="13"/>
        <v>0</v>
      </c>
      <c r="G25" s="366">
        <f t="shared" si="13"/>
        <v>0</v>
      </c>
      <c r="H25" s="366">
        <f t="shared" si="13"/>
        <v>0</v>
      </c>
      <c r="I25" s="366">
        <f t="shared" si="13"/>
        <v>0</v>
      </c>
      <c r="J25" s="366">
        <f t="shared" si="13"/>
        <v>0</v>
      </c>
      <c r="K25" s="366">
        <f t="shared" si="13"/>
        <v>0</v>
      </c>
      <c r="L25" s="366">
        <f t="shared" si="13"/>
        <v>0</v>
      </c>
      <c r="M25" s="366">
        <f t="shared" si="13"/>
        <v>0</v>
      </c>
      <c r="N25" s="366">
        <f t="shared" si="13"/>
        <v>0</v>
      </c>
      <c r="O25" s="364">
        <f t="shared" si="13"/>
        <v>0</v>
      </c>
      <c r="P25" s="363">
        <f t="shared" ref="P25:P44" si="14">SUM(D25:O25)</f>
        <v>0</v>
      </c>
      <c r="Q25" s="367" t="str">
        <f t="shared" ref="Q25:Q40" si="15">IF(P25=0,"-",P25/C25-1)</f>
        <v>-</v>
      </c>
    </row>
    <row r="26" spans="1:22" ht="16.5" customHeight="1">
      <c r="A26" s="368" t="s">
        <v>15</v>
      </c>
      <c r="B26" s="2178"/>
      <c r="C26" s="370">
        <f>B26/10*12</f>
        <v>0</v>
      </c>
      <c r="D26" s="371">
        <f>D5*'Satış Fiyat'!D5</f>
        <v>0</v>
      </c>
      <c r="E26" s="372">
        <f>E5*'Satış Fiyat'!E5</f>
        <v>0</v>
      </c>
      <c r="F26" s="372">
        <f>F5*'Satış Fiyat'!F5</f>
        <v>0</v>
      </c>
      <c r="G26" s="372">
        <f>G5*'Satış Fiyat'!G5</f>
        <v>0</v>
      </c>
      <c r="H26" s="373">
        <f>H5*'Satış Fiyat'!H5</f>
        <v>0</v>
      </c>
      <c r="I26" s="373">
        <f>I5*'Satış Fiyat'!I5</f>
        <v>0</v>
      </c>
      <c r="J26" s="373">
        <f>J5*'Satış Fiyat'!J5</f>
        <v>0</v>
      </c>
      <c r="K26" s="373">
        <f>K5*'Satış Fiyat'!K5</f>
        <v>0</v>
      </c>
      <c r="L26" s="373">
        <f>L5*'Satış Fiyat'!L5</f>
        <v>0</v>
      </c>
      <c r="M26" s="373">
        <f>M5*'Satış Fiyat'!M5</f>
        <v>0</v>
      </c>
      <c r="N26" s="373">
        <f>N5*'Satış Fiyat'!N5</f>
        <v>0</v>
      </c>
      <c r="O26" s="374">
        <f>O5*'Satış Fiyat'!O5</f>
        <v>0</v>
      </c>
      <c r="P26" s="369">
        <f t="shared" si="14"/>
        <v>0</v>
      </c>
      <c r="Q26" s="375" t="str">
        <f t="shared" si="15"/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Fiyat'!B6</f>
        <v>0</v>
      </c>
      <c r="C27" s="379">
        <f>C6*'Satış Fiyat'!C6</f>
        <v>0</v>
      </c>
      <c r="D27" s="380">
        <f>D6*'Satış Fiyat'!D6</f>
        <v>0</v>
      </c>
      <c r="E27" s="381">
        <f>E6*'Satış Fiyat'!E6</f>
        <v>0</v>
      </c>
      <c r="F27" s="381">
        <f>F6*'Satış Fiyat'!F6</f>
        <v>0</v>
      </c>
      <c r="G27" s="381">
        <f>G6*'Satış Fiyat'!G6</f>
        <v>0</v>
      </c>
      <c r="H27" s="382">
        <f>H6*'Satış Fiyat'!H6</f>
        <v>0</v>
      </c>
      <c r="I27" s="382">
        <f>I6*'Satış Fiyat'!I6</f>
        <v>0</v>
      </c>
      <c r="J27" s="382">
        <f>J6*'Satış Fiyat'!J6</f>
        <v>0</v>
      </c>
      <c r="K27" s="382">
        <f>K6*'Satış Fiyat'!K6</f>
        <v>0</v>
      </c>
      <c r="L27" s="382">
        <f>L6*'Satış Fiyat'!L6</f>
        <v>0</v>
      </c>
      <c r="M27" s="382">
        <f>M6*'Satış Fiyat'!M6</f>
        <v>0</v>
      </c>
      <c r="N27" s="382">
        <f>N6*'Satış Fiyat'!N6</f>
        <v>0</v>
      </c>
      <c r="O27" s="383">
        <f>O6*'Satış Fiyat'!O6</f>
        <v>0</v>
      </c>
      <c r="P27" s="378">
        <f t="shared" si="14"/>
        <v>0</v>
      </c>
      <c r="Q27" s="384" t="str">
        <f t="shared" si="15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6">SUM(D26:D27)</f>
        <v>0</v>
      </c>
      <c r="E28" s="389">
        <f t="shared" si="16"/>
        <v>0</v>
      </c>
      <c r="F28" s="389">
        <f t="shared" si="16"/>
        <v>0</v>
      </c>
      <c r="G28" s="389">
        <f t="shared" si="16"/>
        <v>0</v>
      </c>
      <c r="H28" s="389">
        <f t="shared" si="16"/>
        <v>0</v>
      </c>
      <c r="I28" s="389">
        <f t="shared" si="16"/>
        <v>0</v>
      </c>
      <c r="J28" s="389">
        <f t="shared" si="16"/>
        <v>0</v>
      </c>
      <c r="K28" s="389">
        <f t="shared" si="16"/>
        <v>0</v>
      </c>
      <c r="L28" s="389">
        <f t="shared" si="16"/>
        <v>0</v>
      </c>
      <c r="M28" s="389">
        <f t="shared" si="16"/>
        <v>0</v>
      </c>
      <c r="N28" s="389">
        <f t="shared" si="16"/>
        <v>0</v>
      </c>
      <c r="O28" s="390">
        <f t="shared" si="16"/>
        <v>0</v>
      </c>
      <c r="P28" s="391">
        <f t="shared" si="14"/>
        <v>0</v>
      </c>
      <c r="Q28" s="449" t="str">
        <f t="shared" si="15"/>
        <v>-</v>
      </c>
    </row>
    <row r="29" spans="1:22" ht="16.5" customHeight="1">
      <c r="A29" s="393" t="s">
        <v>17</v>
      </c>
      <c r="B29" s="394">
        <f>B8*'Satış Fiyat'!B8</f>
        <v>0</v>
      </c>
      <c r="C29" s="395">
        <f>C8*'Satış Fiyat'!C8</f>
        <v>0</v>
      </c>
      <c r="D29" s="396">
        <f>D8*'Satış Fiyat'!D8</f>
        <v>0</v>
      </c>
      <c r="E29" s="397">
        <f>E8*'Satış Fiyat'!E8</f>
        <v>0</v>
      </c>
      <c r="F29" s="397">
        <f>F8*'Satış Fiyat'!F8</f>
        <v>0</v>
      </c>
      <c r="G29" s="397">
        <f>G8*'Satış Fiyat'!G8</f>
        <v>0</v>
      </c>
      <c r="H29" s="397">
        <f>H8*'Satış Fiyat'!H8</f>
        <v>0</v>
      </c>
      <c r="I29" s="397">
        <f>I8*'Satış Fiyat'!I8</f>
        <v>0</v>
      </c>
      <c r="J29" s="397">
        <f>J8*'Satış Fiyat'!J8</f>
        <v>0</v>
      </c>
      <c r="K29" s="397">
        <f>K8*'Satış Fiyat'!K8</f>
        <v>0</v>
      </c>
      <c r="L29" s="397">
        <f>L8*'Satış Fiyat'!L8</f>
        <v>0</v>
      </c>
      <c r="M29" s="397">
        <f>M8*'Satış Fiyat'!M8</f>
        <v>0</v>
      </c>
      <c r="N29" s="397">
        <f>N8*'Satış Fiyat'!N8</f>
        <v>0</v>
      </c>
      <c r="O29" s="398">
        <f>O8*'Satış Fiyat'!O8</f>
        <v>0</v>
      </c>
      <c r="P29" s="399">
        <f t="shared" si="14"/>
        <v>0</v>
      </c>
      <c r="Q29" s="384" t="str">
        <f t="shared" si="15"/>
        <v>-</v>
      </c>
    </row>
    <row r="30" spans="1:22" ht="16.5" customHeight="1">
      <c r="A30" s="400" t="s">
        <v>81</v>
      </c>
      <c r="B30" s="2251"/>
      <c r="C30" s="370">
        <f t="shared" ref="C30:C32" si="17">B30/10*12</f>
        <v>0</v>
      </c>
      <c r="D30" s="1563">
        <f>D9*'DAĞITICI-ÖTV''SİZ-İHALE HEDEF'!C48</f>
        <v>0</v>
      </c>
      <c r="E30" s="1560">
        <f>E9*'DAĞITICI-ÖTV''SİZ-İHALE HEDEF'!D48</f>
        <v>0</v>
      </c>
      <c r="F30" s="1560">
        <f>F9*'DAĞITICI-ÖTV''SİZ-İHALE HEDEF'!E48</f>
        <v>0</v>
      </c>
      <c r="G30" s="1560">
        <f>G9*'DAĞITICI-ÖTV''SİZ-İHALE HEDEF'!F48</f>
        <v>0</v>
      </c>
      <c r="H30" s="1560">
        <f>H9*'DAĞITICI-ÖTV''SİZ-İHALE HEDEF'!G48</f>
        <v>0</v>
      </c>
      <c r="I30" s="1560">
        <f>I9*'DAĞITICI-ÖTV''SİZ-İHALE HEDEF'!H48</f>
        <v>0</v>
      </c>
      <c r="J30" s="1560">
        <f>J9*'DAĞITICI-ÖTV''SİZ-İHALE HEDEF'!I48</f>
        <v>0</v>
      </c>
      <c r="K30" s="1560">
        <f>K9*'DAĞITICI-ÖTV''SİZ-İHALE HEDEF'!J48</f>
        <v>0</v>
      </c>
      <c r="L30" s="1560">
        <f>L9*'DAĞITICI-ÖTV''SİZ-İHALE HEDEF'!K48</f>
        <v>0</v>
      </c>
      <c r="M30" s="1560">
        <f>M9*'DAĞITICI-ÖTV''SİZ-İHALE HEDEF'!L48</f>
        <v>0</v>
      </c>
      <c r="N30" s="1560">
        <f>N9*'DAĞITICI-ÖTV''SİZ-İHALE HEDEF'!M48</f>
        <v>0</v>
      </c>
      <c r="O30" s="387">
        <f>O9*'DAĞITICI-ÖTV''SİZ-İHALE HEDEF'!N48</f>
        <v>0</v>
      </c>
      <c r="P30" s="386">
        <f t="shared" si="14"/>
        <v>0</v>
      </c>
      <c r="Q30" s="405" t="str">
        <f t="shared" si="15"/>
        <v>-</v>
      </c>
    </row>
    <row r="31" spans="1:22" ht="16.5" hidden="1" customHeight="1">
      <c r="A31" s="406" t="s">
        <v>82</v>
      </c>
      <c r="B31" s="394"/>
      <c r="C31" s="395">
        <f t="shared" si="17"/>
        <v>0</v>
      </c>
      <c r="D31" s="1564">
        <f>D10*'Satış Fiyat'!D10</f>
        <v>0</v>
      </c>
      <c r="E31" s="1561">
        <f>E10*'Satış Fiyat'!E10</f>
        <v>0</v>
      </c>
      <c r="F31" s="1561">
        <f>F10*'Satış Fiyat'!F10</f>
        <v>0</v>
      </c>
      <c r="G31" s="1561">
        <f>G10*'Satış Fiyat'!G10</f>
        <v>0</v>
      </c>
      <c r="H31" s="1561">
        <f>H10*'Satış Fiyat'!H10</f>
        <v>0</v>
      </c>
      <c r="I31" s="1561">
        <f>I10*'Satış Fiyat'!I10</f>
        <v>0</v>
      </c>
      <c r="J31" s="1561">
        <f>J10*'Satış Fiyat'!J10</f>
        <v>0</v>
      </c>
      <c r="K31" s="1561">
        <f>K10*'Satış Fiyat'!K10</f>
        <v>0</v>
      </c>
      <c r="L31" s="1561">
        <f>L10*'Satış Fiyat'!L10</f>
        <v>0</v>
      </c>
      <c r="M31" s="1561">
        <f>M10*'Satış Fiyat'!M10</f>
        <v>0</v>
      </c>
      <c r="N31" s="1561">
        <f>N10*'Satış Fiyat'!N10</f>
        <v>0</v>
      </c>
      <c r="O31" s="1562">
        <f>O10*'Satış Fiyat'!O10</f>
        <v>0</v>
      </c>
      <c r="P31" s="399">
        <f t="shared" si="14"/>
        <v>0</v>
      </c>
      <c r="Q31" s="384" t="str">
        <f t="shared" si="15"/>
        <v>-</v>
      </c>
    </row>
    <row r="32" spans="1:22" ht="16.5" customHeight="1">
      <c r="A32" s="400" t="s">
        <v>83</v>
      </c>
      <c r="B32" s="408"/>
      <c r="C32" s="370">
        <f t="shared" si="17"/>
        <v>0</v>
      </c>
      <c r="D32" s="402">
        <f>D11*'DAĞITICI-ÖTV''SİZ-İHALE HEDEF'!C49</f>
        <v>0</v>
      </c>
      <c r="E32" s="403">
        <f>E11*'DAĞITICI-ÖTV''SİZ-İHALE HEDEF'!D49</f>
        <v>0</v>
      </c>
      <c r="F32" s="1560">
        <f>F11*'DAĞITICI-ÖTV''SİZ-İHALE HEDEF'!E49</f>
        <v>0</v>
      </c>
      <c r="G32" s="403">
        <f>G11*'DAĞITICI-ÖTV''SİZ-İHALE HEDEF'!F49</f>
        <v>0</v>
      </c>
      <c r="H32" s="403">
        <f>H11*'DAĞITICI-ÖTV''SİZ-İHALE HEDEF'!G49</f>
        <v>0</v>
      </c>
      <c r="I32" s="403">
        <f>I11*'DAĞITICI-ÖTV''SİZ-İHALE HEDEF'!H49</f>
        <v>0</v>
      </c>
      <c r="J32" s="403">
        <f>J11*'DAĞITICI-ÖTV''SİZ-İHALE HEDEF'!I49</f>
        <v>0</v>
      </c>
      <c r="K32" s="403">
        <f>K11*'DAĞITICI-ÖTV''SİZ-İHALE HEDEF'!J49</f>
        <v>0</v>
      </c>
      <c r="L32" s="403">
        <f>L11*'DAĞITICI-ÖTV''SİZ-İHALE HEDEF'!K49</f>
        <v>0</v>
      </c>
      <c r="M32" s="403">
        <f>M11*'DAĞITICI-ÖTV''SİZ-İHALE HEDEF'!L49</f>
        <v>0</v>
      </c>
      <c r="N32" s="403">
        <f>N11*'DAĞITICI-ÖTV''SİZ-İHALE HEDEF'!M49</f>
        <v>0</v>
      </c>
      <c r="O32" s="404">
        <f>O11*'DAĞITICI-ÖTV''SİZ-İHALE HEDEF'!N49</f>
        <v>0</v>
      </c>
      <c r="P32" s="386">
        <f t="shared" si="14"/>
        <v>0</v>
      </c>
      <c r="Q32" s="405" t="str">
        <f t="shared" si="15"/>
        <v>-</v>
      </c>
    </row>
    <row r="33" spans="1:22" ht="16.5" hidden="1" customHeight="1">
      <c r="A33" s="406" t="s">
        <v>84</v>
      </c>
      <c r="B33" s="378">
        <f>B12*'Satış Fiyat'!B12</f>
        <v>0</v>
      </c>
      <c r="C33" s="379"/>
      <c r="D33" s="407">
        <f>D12*'Satış Fiyat'!D12</f>
        <v>0</v>
      </c>
      <c r="E33" s="382">
        <f>E12*'Satış Fiyat'!E12</f>
        <v>0</v>
      </c>
      <c r="F33" s="382">
        <f>F12*'Satış Fiyat'!F12</f>
        <v>0</v>
      </c>
      <c r="G33" s="382">
        <f>G12*'Satış Fiyat'!G12</f>
        <v>0</v>
      </c>
      <c r="H33" s="382">
        <f>H12*'Satış Fiyat'!H12</f>
        <v>0</v>
      </c>
      <c r="I33" s="381">
        <f>I12*'Satış Fiyat'!I12</f>
        <v>0</v>
      </c>
      <c r="J33" s="381">
        <f>J12*'Satış Fiyat'!J12</f>
        <v>0</v>
      </c>
      <c r="K33" s="382">
        <f>K12*'Satış Fiyat'!K12</f>
        <v>0</v>
      </c>
      <c r="L33" s="382">
        <f>L12*'Satış Fiyat'!L12</f>
        <v>0</v>
      </c>
      <c r="M33" s="382">
        <f>M12*'Satış Fiyat'!M12</f>
        <v>0</v>
      </c>
      <c r="N33" s="382">
        <f>N12*'Satış Fiyat'!N12</f>
        <v>0</v>
      </c>
      <c r="O33" s="383">
        <f>O12*'Satış Fiyat'!O12</f>
        <v>0</v>
      </c>
      <c r="P33" s="399">
        <f t="shared" si="14"/>
        <v>0</v>
      </c>
      <c r="Q33" s="384" t="str">
        <f t="shared" si="15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8">SUM(E30:E33)</f>
        <v>0</v>
      </c>
      <c r="F34" s="414">
        <f t="shared" si="18"/>
        <v>0</v>
      </c>
      <c r="G34" s="414">
        <f t="shared" si="18"/>
        <v>0</v>
      </c>
      <c r="H34" s="414">
        <f t="shared" si="18"/>
        <v>0</v>
      </c>
      <c r="I34" s="414">
        <f t="shared" si="18"/>
        <v>0</v>
      </c>
      <c r="J34" s="414">
        <f t="shared" si="18"/>
        <v>0</v>
      </c>
      <c r="K34" s="414">
        <f t="shared" si="18"/>
        <v>0</v>
      </c>
      <c r="L34" s="414">
        <f t="shared" si="18"/>
        <v>0</v>
      </c>
      <c r="M34" s="414">
        <f t="shared" si="18"/>
        <v>0</v>
      </c>
      <c r="N34" s="414">
        <f t="shared" si="18"/>
        <v>0</v>
      </c>
      <c r="O34" s="412">
        <f t="shared" si="18"/>
        <v>0</v>
      </c>
      <c r="P34" s="411">
        <f t="shared" si="14"/>
        <v>0</v>
      </c>
      <c r="Q34" s="415" t="str">
        <f t="shared" si="15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:O35" si="19">SUM(C36:C37)</f>
        <v>0</v>
      </c>
      <c r="D35" s="417">
        <f t="shared" si="19"/>
        <v>0</v>
      </c>
      <c r="E35" s="418">
        <f t="shared" si="19"/>
        <v>0</v>
      </c>
      <c r="F35" s="418">
        <f t="shared" si="19"/>
        <v>0</v>
      </c>
      <c r="G35" s="418">
        <f t="shared" si="19"/>
        <v>0</v>
      </c>
      <c r="H35" s="418">
        <f t="shared" si="19"/>
        <v>0</v>
      </c>
      <c r="I35" s="418">
        <f t="shared" si="19"/>
        <v>0</v>
      </c>
      <c r="J35" s="418">
        <f t="shared" si="19"/>
        <v>0</v>
      </c>
      <c r="K35" s="418">
        <f t="shared" si="19"/>
        <v>0</v>
      </c>
      <c r="L35" s="418">
        <f t="shared" si="19"/>
        <v>0</v>
      </c>
      <c r="M35" s="418">
        <f t="shared" si="19"/>
        <v>0</v>
      </c>
      <c r="N35" s="418">
        <f t="shared" si="19"/>
        <v>0</v>
      </c>
      <c r="O35" s="419">
        <f t="shared" si="19"/>
        <v>0</v>
      </c>
      <c r="P35" s="420">
        <f t="shared" si="14"/>
        <v>0</v>
      </c>
      <c r="Q35" s="421" t="str">
        <f t="shared" si="15"/>
        <v>-</v>
      </c>
    </row>
    <row r="36" spans="1:22" ht="16.5" customHeight="1">
      <c r="A36" s="422" t="s">
        <v>19</v>
      </c>
      <c r="B36" s="423">
        <f>B15*'Satış Fiyat'!B15</f>
        <v>0</v>
      </c>
      <c r="C36" s="424">
        <f>C15*'Satış Fiyat'!C15</f>
        <v>0</v>
      </c>
      <c r="D36" s="425">
        <f>D15*'Satış Fiyat'!D15</f>
        <v>0</v>
      </c>
      <c r="E36" s="426">
        <f>E15*'Satış Fiyat'!E15</f>
        <v>0</v>
      </c>
      <c r="F36" s="426">
        <f>F15*'Satış Fiyat'!F15</f>
        <v>0</v>
      </c>
      <c r="G36" s="426">
        <f>G15*'Satış Fiyat'!G15</f>
        <v>0</v>
      </c>
      <c r="H36" s="426">
        <f>H15*'Satış Fiyat'!H15</f>
        <v>0</v>
      </c>
      <c r="I36" s="426">
        <f>I15*'Satış Fiyat'!I15</f>
        <v>0</v>
      </c>
      <c r="J36" s="426">
        <f>J15*'Satış Fiyat'!J15</f>
        <v>0</v>
      </c>
      <c r="K36" s="426">
        <f>K15*'Satış Fiyat'!K15</f>
        <v>0</v>
      </c>
      <c r="L36" s="426">
        <f>L15*'Satış Fiyat'!L15</f>
        <v>0</v>
      </c>
      <c r="M36" s="426">
        <f>M15*'Satış Fiyat'!M15</f>
        <v>0</v>
      </c>
      <c r="N36" s="426">
        <f>N15*'Satış Fiyat'!N15</f>
        <v>0</v>
      </c>
      <c r="O36" s="427">
        <f>O15*'Satış Fiyat'!O15</f>
        <v>0</v>
      </c>
      <c r="P36" s="428">
        <f t="shared" si="14"/>
        <v>0</v>
      </c>
      <c r="Q36" s="429" t="str">
        <f t="shared" si="15"/>
        <v>-</v>
      </c>
    </row>
    <row r="37" spans="1:22" ht="16.5" customHeight="1" thickBot="1">
      <c r="A37" s="430" t="s">
        <v>20</v>
      </c>
      <c r="B37" s="2249">
        <f>B16*'Satış Fiyat'!B16</f>
        <v>0</v>
      </c>
      <c r="C37" s="432">
        <f>C16*'Satış Fiyat'!C16</f>
        <v>0</v>
      </c>
      <c r="D37" s="433">
        <f>D16*'Satış Fiyat'!D16</f>
        <v>0</v>
      </c>
      <c r="E37" s="434">
        <f>E16*'Satış Fiyat'!E16</f>
        <v>0</v>
      </c>
      <c r="F37" s="434">
        <f>F16*'Satış Fiyat'!F16</f>
        <v>0</v>
      </c>
      <c r="G37" s="434">
        <f>G16*'Satış Fiyat'!G16</f>
        <v>0</v>
      </c>
      <c r="H37" s="434">
        <f>H16*'Satış Fiyat'!H16</f>
        <v>0</v>
      </c>
      <c r="I37" s="434">
        <f>I16*'Satış Fiyat'!I16</f>
        <v>0</v>
      </c>
      <c r="J37" s="434">
        <f>J16*'Satış Fiyat'!J16</f>
        <v>0</v>
      </c>
      <c r="K37" s="434">
        <f>K16*'Satış Fiyat'!K16</f>
        <v>0</v>
      </c>
      <c r="L37" s="434">
        <f>L16*'Satış Fiyat'!L16</f>
        <v>0</v>
      </c>
      <c r="M37" s="434">
        <f>M16*'Satış Fiyat'!M16</f>
        <v>0</v>
      </c>
      <c r="N37" s="434">
        <f>N16*'Satış Fiyat'!N16</f>
        <v>0</v>
      </c>
      <c r="O37" s="435">
        <f>O16*'Satış Fiyat'!O16</f>
        <v>0</v>
      </c>
      <c r="P37" s="436">
        <f t="shared" si="14"/>
        <v>0</v>
      </c>
      <c r="Q37" s="437" t="str">
        <f t="shared" si="15"/>
        <v>-</v>
      </c>
    </row>
    <row r="38" spans="1:22" ht="22.5" customHeight="1" thickBot="1">
      <c r="A38" s="362" t="s">
        <v>30</v>
      </c>
      <c r="B38" s="363">
        <f t="shared" ref="B38:O38" si="20">SUM(B39:B40)</f>
        <v>0</v>
      </c>
      <c r="C38" s="416">
        <f t="shared" si="20"/>
        <v>0</v>
      </c>
      <c r="D38" s="417">
        <f t="shared" si="20"/>
        <v>0</v>
      </c>
      <c r="E38" s="418">
        <f t="shared" si="20"/>
        <v>0</v>
      </c>
      <c r="F38" s="418">
        <f t="shared" si="20"/>
        <v>0</v>
      </c>
      <c r="G38" s="418">
        <f t="shared" si="20"/>
        <v>0</v>
      </c>
      <c r="H38" s="418">
        <f t="shared" si="20"/>
        <v>0</v>
      </c>
      <c r="I38" s="418">
        <f t="shared" si="20"/>
        <v>0</v>
      </c>
      <c r="J38" s="418">
        <f t="shared" si="20"/>
        <v>0</v>
      </c>
      <c r="K38" s="418">
        <f t="shared" si="20"/>
        <v>0</v>
      </c>
      <c r="L38" s="418">
        <f t="shared" si="20"/>
        <v>0</v>
      </c>
      <c r="M38" s="418">
        <f t="shared" si="20"/>
        <v>0</v>
      </c>
      <c r="N38" s="418">
        <f t="shared" si="20"/>
        <v>0</v>
      </c>
      <c r="O38" s="419">
        <f t="shared" si="20"/>
        <v>0</v>
      </c>
      <c r="P38" s="420">
        <f t="shared" si="14"/>
        <v>0</v>
      </c>
      <c r="Q38" s="421" t="str">
        <f t="shared" si="15"/>
        <v>-</v>
      </c>
    </row>
    <row r="39" spans="1:22" ht="16.5" customHeight="1">
      <c r="A39" s="422" t="s">
        <v>106</v>
      </c>
      <c r="B39" s="2250">
        <v>0</v>
      </c>
      <c r="C39" s="424">
        <f>C18*'Satış Fiyat'!C18</f>
        <v>0</v>
      </c>
      <c r="D39" s="425">
        <f>D18*'Satış Fiyat'!D18</f>
        <v>0</v>
      </c>
      <c r="E39" s="426">
        <f>E18*'Satış Fiyat'!E18</f>
        <v>0</v>
      </c>
      <c r="F39" s="426">
        <f>F18*'Satış Fiyat'!F18</f>
        <v>0</v>
      </c>
      <c r="G39" s="426">
        <f>G18*'Satış Fiyat'!G18</f>
        <v>0</v>
      </c>
      <c r="H39" s="426">
        <f>H18*'Satış Fiyat'!H18</f>
        <v>0</v>
      </c>
      <c r="I39" s="426">
        <f>I18*'Satış Fiyat'!I18</f>
        <v>0</v>
      </c>
      <c r="J39" s="426">
        <f>J18*'Satış Fiyat'!J18</f>
        <v>0</v>
      </c>
      <c r="K39" s="426">
        <f>K18*'Satış Fiyat'!K18</f>
        <v>0</v>
      </c>
      <c r="L39" s="426">
        <f>L18*'Satış Fiyat'!L18</f>
        <v>0</v>
      </c>
      <c r="M39" s="426">
        <f>M18*'Satış Fiyat'!M18</f>
        <v>0</v>
      </c>
      <c r="N39" s="426">
        <f>N18*'Satış Fiyat'!N18</f>
        <v>0</v>
      </c>
      <c r="O39" s="427">
        <f>O18*'Satış Fiyat'!O18</f>
        <v>0</v>
      </c>
      <c r="P39" s="428">
        <f t="shared" si="14"/>
        <v>0</v>
      </c>
      <c r="Q39" s="429" t="str">
        <f t="shared" si="15"/>
        <v>-</v>
      </c>
    </row>
    <row r="40" spans="1:22" ht="16.5" customHeight="1" thickBot="1">
      <c r="A40" s="438" t="s">
        <v>105</v>
      </c>
      <c r="B40" s="439">
        <f>B19*'Satış Fiyat'!B19</f>
        <v>0</v>
      </c>
      <c r="C40" s="440">
        <f>C19*'Satış Fiyat'!C19</f>
        <v>0</v>
      </c>
      <c r="D40" s="441">
        <f>D19*'Satış Fiyat'!D19</f>
        <v>0</v>
      </c>
      <c r="E40" s="442">
        <f>E19*'Satış Fiyat'!E19</f>
        <v>0</v>
      </c>
      <c r="F40" s="442">
        <f>F19*'Satış Fiyat'!F19</f>
        <v>0</v>
      </c>
      <c r="G40" s="442">
        <f>G19*'Satış Fiyat'!G19</f>
        <v>0</v>
      </c>
      <c r="H40" s="442">
        <f>H19*'Satış Fiyat'!H19</f>
        <v>0</v>
      </c>
      <c r="I40" s="442">
        <f>I19*'Satış Fiyat'!I19</f>
        <v>0</v>
      </c>
      <c r="J40" s="442">
        <f>J19*'Satış Fiyat'!J19</f>
        <v>0</v>
      </c>
      <c r="K40" s="442">
        <f>K19*'Satış Fiyat'!K19</f>
        <v>0</v>
      </c>
      <c r="L40" s="442">
        <f>L19*'Satış Fiyat'!L19</f>
        <v>0</v>
      </c>
      <c r="M40" s="442">
        <f>M19*'Satış Fiyat'!M19</f>
        <v>0</v>
      </c>
      <c r="N40" s="442">
        <f>N19*'Satış Fiyat'!N19</f>
        <v>0</v>
      </c>
      <c r="O40" s="443">
        <f>O19*'Satış Fiyat'!O19</f>
        <v>0</v>
      </c>
      <c r="P40" s="444">
        <f t="shared" si="14"/>
        <v>0</v>
      </c>
      <c r="Q40" s="445" t="str">
        <f t="shared" si="15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>
        <f>B21*'Satış Fiyat'!B21</f>
        <v>0</v>
      </c>
      <c r="C42" s="364">
        <f>C21*'Satış Fiyat'!C21</f>
        <v>0</v>
      </c>
      <c r="D42" s="365">
        <f>D21*'Satış Fiyat'!D21</f>
        <v>0</v>
      </c>
      <c r="E42" s="366">
        <f>E21*'Satış Fiyat'!E21</f>
        <v>0</v>
      </c>
      <c r="F42" s="366">
        <f>F21*'Satış Fiyat'!F21</f>
        <v>0</v>
      </c>
      <c r="G42" s="366">
        <f>G21*'Satış Fiyat'!G21</f>
        <v>0</v>
      </c>
      <c r="H42" s="366">
        <f>H21*'Satış Fiyat'!H21</f>
        <v>0</v>
      </c>
      <c r="I42" s="366">
        <f>I21*'Satış Fiyat'!I21</f>
        <v>0</v>
      </c>
      <c r="J42" s="366">
        <f>J21*'Satış Fiyat'!J21</f>
        <v>0</v>
      </c>
      <c r="K42" s="366">
        <f>K21*'Satış Fiyat'!K21</f>
        <v>0</v>
      </c>
      <c r="L42" s="366">
        <f>L21*'Satış Fiyat'!L21</f>
        <v>0</v>
      </c>
      <c r="M42" s="366">
        <f>M21*'Satış Fiyat'!M21</f>
        <v>0</v>
      </c>
      <c r="N42" s="366">
        <f>N21*'Satış Fiyat'!N21</f>
        <v>0</v>
      </c>
      <c r="O42" s="448">
        <f>O21*'Satış Fiyat'!O21</f>
        <v>0</v>
      </c>
      <c r="P42" s="363">
        <f t="shared" si="14"/>
        <v>0</v>
      </c>
      <c r="Q42" s="367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4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:O44" si="21">+C25+C35+C38+C42</f>
        <v>0</v>
      </c>
      <c r="D44" s="365">
        <f t="shared" si="21"/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4"/>
        <v>0</v>
      </c>
      <c r="Q44" s="367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937" t="s">
        <v>638</v>
      </c>
    </row>
    <row r="47" spans="1:22" ht="30.75" customHeight="1" thickBot="1">
      <c r="A47" s="356"/>
      <c r="B47" s="357" t="s">
        <v>657</v>
      </c>
      <c r="C47" s="357" t="s">
        <v>663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94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:O48" si="22">C51+C52+C57</f>
        <v>0</v>
      </c>
      <c r="D48" s="365">
        <f t="shared" si="22"/>
        <v>0</v>
      </c>
      <c r="E48" s="366">
        <f t="shared" si="22"/>
        <v>0</v>
      </c>
      <c r="F48" s="366">
        <f t="shared" si="22"/>
        <v>0</v>
      </c>
      <c r="G48" s="366">
        <f t="shared" si="22"/>
        <v>0</v>
      </c>
      <c r="H48" s="366">
        <f t="shared" si="22"/>
        <v>0</v>
      </c>
      <c r="I48" s="366">
        <f t="shared" si="22"/>
        <v>0</v>
      </c>
      <c r="J48" s="366">
        <f t="shared" si="22"/>
        <v>0</v>
      </c>
      <c r="K48" s="366">
        <f t="shared" si="22"/>
        <v>0</v>
      </c>
      <c r="L48" s="366">
        <f t="shared" si="22"/>
        <v>0</v>
      </c>
      <c r="M48" s="366">
        <f t="shared" si="22"/>
        <v>0</v>
      </c>
      <c r="N48" s="366">
        <f t="shared" si="22"/>
        <v>0</v>
      </c>
      <c r="O48" s="364">
        <f t="shared" si="22"/>
        <v>0</v>
      </c>
      <c r="P48" s="363">
        <f t="shared" ref="P48:P67" si="23">SUM(D48:O48)</f>
        <v>0</v>
      </c>
      <c r="Q48" s="367" t="str">
        <f t="shared" ref="Q48:Q63" si="24"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2178"/>
      <c r="C49" s="370">
        <f>B49/10*12</f>
        <v>0</v>
      </c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25">+$T$49*H26</f>
        <v>0</v>
      </c>
      <c r="I49" s="373">
        <f>+$T$49*I26</f>
        <v>0</v>
      </c>
      <c r="J49" s="373">
        <f>+$U$49*J26</f>
        <v>0</v>
      </c>
      <c r="K49" s="373">
        <f t="shared" ref="K49" si="26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3"/>
        <v>0</v>
      </c>
      <c r="Q49" s="375" t="str">
        <f t="shared" si="24"/>
        <v>-</v>
      </c>
      <c r="R49" s="376"/>
      <c r="S49" s="457"/>
      <c r="T49" s="457"/>
      <c r="U49" s="457"/>
      <c r="V49" s="457"/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7">+$S$50*E27</f>
        <v>0</v>
      </c>
      <c r="F50" s="382">
        <f t="shared" si="27"/>
        <v>0</v>
      </c>
      <c r="G50" s="382">
        <f t="shared" si="27"/>
        <v>0</v>
      </c>
      <c r="H50" s="382">
        <f t="shared" si="27"/>
        <v>0</v>
      </c>
      <c r="I50" s="382">
        <f t="shared" si="27"/>
        <v>0</v>
      </c>
      <c r="J50" s="382">
        <f t="shared" si="27"/>
        <v>0</v>
      </c>
      <c r="K50" s="382">
        <f t="shared" si="27"/>
        <v>0</v>
      </c>
      <c r="L50" s="382">
        <f t="shared" si="27"/>
        <v>0</v>
      </c>
      <c r="M50" s="382">
        <f t="shared" si="27"/>
        <v>0</v>
      </c>
      <c r="N50" s="382">
        <f t="shared" si="27"/>
        <v>0</v>
      </c>
      <c r="O50" s="383">
        <f t="shared" si="27"/>
        <v>0</v>
      </c>
      <c r="P50" s="378">
        <f t="shared" si="23"/>
        <v>0</v>
      </c>
      <c r="Q50" s="384" t="str">
        <f t="shared" si="24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28">SUM(E49:E50)</f>
        <v>0</v>
      </c>
      <c r="F51" s="389">
        <f t="shared" si="28"/>
        <v>0</v>
      </c>
      <c r="G51" s="389">
        <f>SUM(G49:G50)</f>
        <v>0</v>
      </c>
      <c r="H51" s="389">
        <f t="shared" ref="H51" si="29">SUM(H49:H50)</f>
        <v>0</v>
      </c>
      <c r="I51" s="389">
        <f>SUM(I49:I50)</f>
        <v>0</v>
      </c>
      <c r="J51" s="389">
        <f>SUM(J49:J50)</f>
        <v>0</v>
      </c>
      <c r="K51" s="389">
        <f t="shared" ref="K51" si="30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3"/>
        <v>0</v>
      </c>
      <c r="Q51" s="449" t="str">
        <f t="shared" si="24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1">+$S$52*E29</f>
        <v>0</v>
      </c>
      <c r="F52" s="397">
        <f>+$S$52*F29</f>
        <v>0</v>
      </c>
      <c r="G52" s="397">
        <f>+$T$52*G29</f>
        <v>0</v>
      </c>
      <c r="H52" s="397">
        <f t="shared" ref="H52" si="32">+$T$52*H29</f>
        <v>0</v>
      </c>
      <c r="I52" s="397">
        <f>+$T$52*I29</f>
        <v>0</v>
      </c>
      <c r="J52" s="397">
        <f>+$U$52*J29</f>
        <v>0</v>
      </c>
      <c r="K52" s="397">
        <f t="shared" ref="K52" si="33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3"/>
        <v>0</v>
      </c>
      <c r="Q52" s="384" t="str">
        <f t="shared" si="24"/>
        <v>-</v>
      </c>
      <c r="S52" s="460"/>
      <c r="T52" s="460"/>
      <c r="U52" s="460"/>
      <c r="V52" s="460"/>
    </row>
    <row r="53" spans="1:22" ht="16.5" customHeight="1">
      <c r="A53" s="400" t="s">
        <v>81</v>
      </c>
      <c r="B53" s="2251"/>
      <c r="C53" s="370">
        <f>B53/10*12</f>
        <v>0</v>
      </c>
      <c r="D53" s="402">
        <f t="shared" ref="D53:F53" si="34">+$S$53*D30</f>
        <v>0</v>
      </c>
      <c r="E53" s="403">
        <f t="shared" si="34"/>
        <v>0</v>
      </c>
      <c r="F53" s="403">
        <f t="shared" si="34"/>
        <v>0</v>
      </c>
      <c r="G53" s="403">
        <f>+$T$53*G30</f>
        <v>0</v>
      </c>
      <c r="H53" s="403">
        <f t="shared" ref="H53" si="35">+$T$53*H30</f>
        <v>0</v>
      </c>
      <c r="I53" s="403">
        <f>+$T$53*I30</f>
        <v>0</v>
      </c>
      <c r="J53" s="403">
        <f>+$U$53*J30</f>
        <v>0</v>
      </c>
      <c r="K53" s="403">
        <f t="shared" ref="K53" si="36">+$U$53*K30</f>
        <v>0</v>
      </c>
      <c r="L53" s="403">
        <f>+$U$53*L30</f>
        <v>0</v>
      </c>
      <c r="M53" s="403">
        <f>+$V$53*M30</f>
        <v>0</v>
      </c>
      <c r="N53" s="403">
        <f t="shared" ref="N53" si="37">+$V$53*N30</f>
        <v>0</v>
      </c>
      <c r="O53" s="404">
        <f>+$V$53*O30</f>
        <v>0</v>
      </c>
      <c r="P53" s="386">
        <f t="shared" si="23"/>
        <v>0</v>
      </c>
      <c r="Q53" s="405" t="str">
        <f t="shared" si="24"/>
        <v>-</v>
      </c>
      <c r="S53" s="461"/>
      <c r="T53" s="461"/>
      <c r="U53" s="461"/>
      <c r="V53" s="461"/>
    </row>
    <row r="54" spans="1:22" ht="16.5" hidden="1" customHeight="1">
      <c r="A54" s="406" t="s">
        <v>82</v>
      </c>
      <c r="B54" s="394"/>
      <c r="C54" s="395"/>
      <c r="D54" s="407">
        <f t="shared" ref="D54:O54" si="38">+$S$54*D31</f>
        <v>0</v>
      </c>
      <c r="E54" s="382">
        <f t="shared" si="38"/>
        <v>0</v>
      </c>
      <c r="F54" s="382">
        <f t="shared" si="38"/>
        <v>0</v>
      </c>
      <c r="G54" s="382">
        <f t="shared" si="38"/>
        <v>0</v>
      </c>
      <c r="H54" s="382">
        <f t="shared" si="38"/>
        <v>0</v>
      </c>
      <c r="I54" s="382">
        <f t="shared" si="38"/>
        <v>0</v>
      </c>
      <c r="J54" s="382">
        <f t="shared" si="38"/>
        <v>0</v>
      </c>
      <c r="K54" s="382">
        <f t="shared" si="38"/>
        <v>0</v>
      </c>
      <c r="L54" s="382">
        <f t="shared" si="38"/>
        <v>0</v>
      </c>
      <c r="M54" s="382">
        <f t="shared" si="38"/>
        <v>0</v>
      </c>
      <c r="N54" s="382">
        <f t="shared" si="38"/>
        <v>0</v>
      </c>
      <c r="O54" s="383">
        <f t="shared" si="38"/>
        <v>0</v>
      </c>
      <c r="P54" s="399">
        <f t="shared" si="23"/>
        <v>0</v>
      </c>
      <c r="Q54" s="384" t="str">
        <f t="shared" si="24"/>
        <v>-</v>
      </c>
      <c r="S54" s="460"/>
      <c r="T54" s="460"/>
      <c r="U54" s="460"/>
      <c r="V54" s="460"/>
    </row>
    <row r="55" spans="1:22" ht="16.5" customHeight="1">
      <c r="A55" s="400" t="s">
        <v>83</v>
      </c>
      <c r="B55" s="408"/>
      <c r="C55" s="370"/>
      <c r="D55" s="402">
        <f t="shared" ref="D55:F55" si="39">+$S$55*D32</f>
        <v>0</v>
      </c>
      <c r="E55" s="403">
        <f t="shared" si="39"/>
        <v>0</v>
      </c>
      <c r="F55" s="403">
        <f t="shared" si="39"/>
        <v>0</v>
      </c>
      <c r="G55" s="403">
        <f>+$T$55*G32</f>
        <v>0</v>
      </c>
      <c r="H55" s="403">
        <f t="shared" ref="H55" si="40">+$T$55*H32</f>
        <v>0</v>
      </c>
      <c r="I55" s="403">
        <f>+$T$55*I32</f>
        <v>0</v>
      </c>
      <c r="J55" s="403">
        <f>+$U$55*J32</f>
        <v>0</v>
      </c>
      <c r="K55" s="403">
        <f t="shared" ref="K55" si="41">+$U$55*K32</f>
        <v>0</v>
      </c>
      <c r="L55" s="403">
        <f>+$U$55*L32</f>
        <v>0</v>
      </c>
      <c r="M55" s="403">
        <f>+$V$55*M32</f>
        <v>0</v>
      </c>
      <c r="N55" s="403">
        <f t="shared" ref="N55" si="42">+$V$55*N32</f>
        <v>0</v>
      </c>
      <c r="O55" s="404">
        <f>+$V$55*O32</f>
        <v>0</v>
      </c>
      <c r="P55" s="386">
        <f t="shared" si="23"/>
        <v>0</v>
      </c>
      <c r="Q55" s="405" t="str">
        <f t="shared" si="24"/>
        <v>-</v>
      </c>
      <c r="S55" s="461"/>
      <c r="T55" s="461"/>
      <c r="U55" s="461"/>
      <c r="V55" s="461"/>
    </row>
    <row r="56" spans="1:22" ht="16.5" hidden="1" customHeight="1">
      <c r="A56" s="406" t="s">
        <v>84</v>
      </c>
      <c r="B56" s="378"/>
      <c r="C56" s="379"/>
      <c r="D56" s="407">
        <f t="shared" ref="D56:O56" si="43">+$S$56*D33</f>
        <v>0</v>
      </c>
      <c r="E56" s="382">
        <f t="shared" si="43"/>
        <v>0</v>
      </c>
      <c r="F56" s="382">
        <f t="shared" si="43"/>
        <v>0</v>
      </c>
      <c r="G56" s="382">
        <f t="shared" si="43"/>
        <v>0</v>
      </c>
      <c r="H56" s="382">
        <f t="shared" si="43"/>
        <v>0</v>
      </c>
      <c r="I56" s="382">
        <f t="shared" si="43"/>
        <v>0</v>
      </c>
      <c r="J56" s="382">
        <f t="shared" si="43"/>
        <v>0</v>
      </c>
      <c r="K56" s="382">
        <f t="shared" si="43"/>
        <v>0</v>
      </c>
      <c r="L56" s="382">
        <f t="shared" si="43"/>
        <v>0</v>
      </c>
      <c r="M56" s="382">
        <f t="shared" si="43"/>
        <v>0</v>
      </c>
      <c r="N56" s="382">
        <f t="shared" si="43"/>
        <v>0</v>
      </c>
      <c r="O56" s="383">
        <f t="shared" si="43"/>
        <v>0</v>
      </c>
      <c r="P56" s="399">
        <f t="shared" si="23"/>
        <v>0</v>
      </c>
      <c r="Q56" s="384" t="str">
        <f t="shared" si="24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F57" si="44">SUM(B53:B56)</f>
        <v>0</v>
      </c>
      <c r="C57" s="412">
        <f t="shared" si="44"/>
        <v>0</v>
      </c>
      <c r="D57" s="413">
        <f t="shared" si="44"/>
        <v>0</v>
      </c>
      <c r="E57" s="414">
        <f t="shared" si="44"/>
        <v>0</v>
      </c>
      <c r="F57" s="414">
        <f t="shared" si="44"/>
        <v>0</v>
      </c>
      <c r="G57" s="414">
        <f>SUM(G53:G56)</f>
        <v>0</v>
      </c>
      <c r="H57" s="414">
        <f t="shared" ref="H57" si="45">SUM(H53:H56)</f>
        <v>0</v>
      </c>
      <c r="I57" s="414">
        <f>SUM(I53:I56)</f>
        <v>0</v>
      </c>
      <c r="J57" s="414">
        <f>SUM(J53:J56)</f>
        <v>0</v>
      </c>
      <c r="K57" s="414">
        <f t="shared" ref="K57" si="46">SUM(K53:K56)</f>
        <v>0</v>
      </c>
      <c r="L57" s="414">
        <f>SUM(L53:L56)</f>
        <v>0</v>
      </c>
      <c r="M57" s="414">
        <f>SUM(M53:M56)</f>
        <v>0</v>
      </c>
      <c r="N57" s="414">
        <f t="shared" ref="N57" si="47">SUM(N53:N56)</f>
        <v>0</v>
      </c>
      <c r="O57" s="412">
        <f>SUM(O53:O56)</f>
        <v>0</v>
      </c>
      <c r="P57" s="411">
        <f t="shared" si="23"/>
        <v>0</v>
      </c>
      <c r="Q57" s="415" t="str">
        <f t="shared" si="24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:F58" si="48">SUM(C59:C60)</f>
        <v>0</v>
      </c>
      <c r="D58" s="417">
        <f t="shared" si="48"/>
        <v>0</v>
      </c>
      <c r="E58" s="418">
        <f t="shared" si="48"/>
        <v>0</v>
      </c>
      <c r="F58" s="418">
        <f t="shared" si="48"/>
        <v>0</v>
      </c>
      <c r="G58" s="418">
        <f>SUM(G59:G60)</f>
        <v>0</v>
      </c>
      <c r="H58" s="418">
        <f t="shared" ref="H58" si="49">SUM(H59:H60)</f>
        <v>0</v>
      </c>
      <c r="I58" s="418">
        <f>SUM(I59:I60)</f>
        <v>0</v>
      </c>
      <c r="J58" s="418">
        <f>SUM(J59:J60)</f>
        <v>0</v>
      </c>
      <c r="K58" s="418">
        <f t="shared" ref="K58" si="50">SUM(K59:K60)</f>
        <v>0</v>
      </c>
      <c r="L58" s="418">
        <f>SUM(L59:L60)</f>
        <v>0</v>
      </c>
      <c r="M58" s="418">
        <f>SUM(M59:M60)</f>
        <v>0</v>
      </c>
      <c r="N58" s="418">
        <f t="shared" ref="N58" si="51">SUM(N59:N60)</f>
        <v>0</v>
      </c>
      <c r="O58" s="419">
        <f>SUM(O59:O60)</f>
        <v>0</v>
      </c>
      <c r="P58" s="420">
        <f t="shared" si="23"/>
        <v>0</v>
      </c>
      <c r="Q58" s="421" t="str">
        <f t="shared" si="24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2">+$S$59*E36</f>
        <v>0</v>
      </c>
      <c r="F59" s="426">
        <f t="shared" si="52"/>
        <v>0</v>
      </c>
      <c r="G59" s="426">
        <f>+$T$59*G36</f>
        <v>0</v>
      </c>
      <c r="H59" s="426">
        <f t="shared" ref="H59" si="53">+$T$59*H36</f>
        <v>0</v>
      </c>
      <c r="I59" s="426">
        <f>+$T$59*I36</f>
        <v>0</v>
      </c>
      <c r="J59" s="426">
        <f>+$U$59*J36</f>
        <v>0</v>
      </c>
      <c r="K59" s="426">
        <f t="shared" ref="K59" si="54">+$U$59*K36</f>
        <v>0</v>
      </c>
      <c r="L59" s="426">
        <f>+$U$59*L36</f>
        <v>0</v>
      </c>
      <c r="M59" s="426">
        <f>+$V$59*M36</f>
        <v>0</v>
      </c>
      <c r="N59" s="426">
        <f t="shared" ref="N59" si="55">+$V$59*N36</f>
        <v>0</v>
      </c>
      <c r="O59" s="427">
        <f>+$V$59*O36</f>
        <v>0</v>
      </c>
      <c r="P59" s="428">
        <f t="shared" si="23"/>
        <v>0</v>
      </c>
      <c r="Q59" s="429" t="str">
        <f t="shared" si="24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56">+$S$60*E37</f>
        <v>0</v>
      </c>
      <c r="F60" s="434">
        <f t="shared" si="56"/>
        <v>0</v>
      </c>
      <c r="G60" s="434">
        <f>+$T$60*G37</f>
        <v>0</v>
      </c>
      <c r="H60" s="434">
        <f t="shared" ref="H60" si="57">+$T$60*H37</f>
        <v>0</v>
      </c>
      <c r="I60" s="434">
        <f>+$T$60*I37</f>
        <v>0</v>
      </c>
      <c r="J60" s="434">
        <f>+$U$60*J37</f>
        <v>0</v>
      </c>
      <c r="K60" s="434">
        <f t="shared" ref="K60" si="58">+$U$60*K37</f>
        <v>0</v>
      </c>
      <c r="L60" s="434">
        <f>+$U$60*L37</f>
        <v>0</v>
      </c>
      <c r="M60" s="434">
        <f>+$V$60*M37</f>
        <v>0</v>
      </c>
      <c r="N60" s="434">
        <f t="shared" ref="N60" si="59">+$V$60*N37</f>
        <v>0</v>
      </c>
      <c r="O60" s="435">
        <f>+$V$60*O37</f>
        <v>0</v>
      </c>
      <c r="P60" s="436">
        <f t="shared" si="23"/>
        <v>0</v>
      </c>
      <c r="Q60" s="437" t="str">
        <f t="shared" si="24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F61" si="60">SUM(B62:B63)</f>
        <v>0</v>
      </c>
      <c r="C61" s="416">
        <f t="shared" si="60"/>
        <v>0</v>
      </c>
      <c r="D61" s="417">
        <f t="shared" si="60"/>
        <v>0</v>
      </c>
      <c r="E61" s="418">
        <f t="shared" si="60"/>
        <v>0</v>
      </c>
      <c r="F61" s="418">
        <f t="shared" si="60"/>
        <v>0</v>
      </c>
      <c r="G61" s="418">
        <f>SUM(G62:G63)</f>
        <v>0</v>
      </c>
      <c r="H61" s="418">
        <f t="shared" ref="H61" si="61">SUM(H62:H63)</f>
        <v>0</v>
      </c>
      <c r="I61" s="418">
        <f>SUM(I62:I63)</f>
        <v>0</v>
      </c>
      <c r="J61" s="418">
        <f>SUM(J62:J63)</f>
        <v>0</v>
      </c>
      <c r="K61" s="418">
        <f t="shared" ref="K61" si="62">SUM(K62:K63)</f>
        <v>0</v>
      </c>
      <c r="L61" s="418">
        <f>SUM(L62:L63)</f>
        <v>0</v>
      </c>
      <c r="M61" s="418">
        <f>SUM(M62:M63)</f>
        <v>0</v>
      </c>
      <c r="N61" s="418">
        <f t="shared" ref="N61" si="63">SUM(N62:N63)</f>
        <v>0</v>
      </c>
      <c r="O61" s="419">
        <f>SUM(O62:O63)</f>
        <v>0</v>
      </c>
      <c r="P61" s="420">
        <f t="shared" si="23"/>
        <v>0</v>
      </c>
      <c r="Q61" s="421" t="str">
        <f t="shared" si="24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4">+$S$62*E39</f>
        <v>0</v>
      </c>
      <c r="F62" s="426">
        <f t="shared" si="64"/>
        <v>0</v>
      </c>
      <c r="G62" s="426">
        <f>+$T$62*G39</f>
        <v>0</v>
      </c>
      <c r="H62" s="426">
        <f t="shared" ref="H62" si="65">+$T$62*H39</f>
        <v>0</v>
      </c>
      <c r="I62" s="426">
        <f>+$T$62*I39</f>
        <v>0</v>
      </c>
      <c r="J62" s="426">
        <f>+$U$62*J39</f>
        <v>0</v>
      </c>
      <c r="K62" s="426">
        <f t="shared" ref="K62" si="66">+$U$62*K39</f>
        <v>0</v>
      </c>
      <c r="L62" s="426">
        <f>+$U$62*L39</f>
        <v>0</v>
      </c>
      <c r="M62" s="426">
        <f>+$V$62*M39</f>
        <v>0</v>
      </c>
      <c r="N62" s="426">
        <f t="shared" ref="N62" si="67">+$V$62*N39</f>
        <v>0</v>
      </c>
      <c r="O62" s="427">
        <f>+$V$62*O39</f>
        <v>0</v>
      </c>
      <c r="P62" s="428">
        <f t="shared" si="23"/>
        <v>0</v>
      </c>
      <c r="Q62" s="429" t="str">
        <f t="shared" si="24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68">+$S$63*E40</f>
        <v>0</v>
      </c>
      <c r="F63" s="442">
        <f t="shared" si="68"/>
        <v>0</v>
      </c>
      <c r="G63" s="442">
        <f>+$T$63*G40</f>
        <v>0</v>
      </c>
      <c r="H63" s="442">
        <f t="shared" ref="H63" si="69">+$T$63*H40</f>
        <v>0</v>
      </c>
      <c r="I63" s="442">
        <f>+$T$63*I40</f>
        <v>0</v>
      </c>
      <c r="J63" s="442">
        <f>+$U$63*J40</f>
        <v>0</v>
      </c>
      <c r="K63" s="442">
        <f t="shared" ref="K63" si="70">+$U$63*K40</f>
        <v>0</v>
      </c>
      <c r="L63" s="442">
        <f>+$U$63*L40</f>
        <v>0</v>
      </c>
      <c r="M63" s="442">
        <f>+$V$63*M40</f>
        <v>0</v>
      </c>
      <c r="N63" s="442">
        <f t="shared" ref="N63" si="71">+$V$63*N40</f>
        <v>0</v>
      </c>
      <c r="O63" s="443">
        <f>+$V$63*O40</f>
        <v>0</v>
      </c>
      <c r="P63" s="444">
        <f t="shared" si="23"/>
        <v>0</v>
      </c>
      <c r="Q63" s="445" t="str">
        <f t="shared" si="24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/>
      <c r="D65" s="365">
        <f>+$S$65*D42</f>
        <v>0</v>
      </c>
      <c r="E65" s="366">
        <f t="shared" ref="E65:F65" si="72">+$S$65*E42</f>
        <v>0</v>
      </c>
      <c r="F65" s="366">
        <f t="shared" si="72"/>
        <v>0</v>
      </c>
      <c r="G65" s="366">
        <f>+$T$65*G42</f>
        <v>0</v>
      </c>
      <c r="H65" s="366">
        <f t="shared" ref="H65" si="73">+$T$65*H42</f>
        <v>0</v>
      </c>
      <c r="I65" s="366">
        <f>+$T$65*I42</f>
        <v>0</v>
      </c>
      <c r="J65" s="366">
        <f>+$T$65*J42</f>
        <v>0</v>
      </c>
      <c r="K65" s="366">
        <f t="shared" ref="K65" si="74">+$T$65*K42</f>
        <v>0</v>
      </c>
      <c r="L65" s="366">
        <f>+$U$65*L42</f>
        <v>0</v>
      </c>
      <c r="M65" s="366">
        <f>+$V$65*M42</f>
        <v>0</v>
      </c>
      <c r="N65" s="366">
        <f t="shared" ref="N65" si="75">+$V$65*N42</f>
        <v>0</v>
      </c>
      <c r="O65" s="448">
        <f>+$V$65*O42</f>
        <v>0</v>
      </c>
      <c r="P65" s="363">
        <f t="shared" si="23"/>
        <v>0</v>
      </c>
      <c r="Q65" s="367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3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76">+C48+C58+C61+C65</f>
        <v>0</v>
      </c>
      <c r="D67" s="365">
        <f>+D48+D58+D61+D65</f>
        <v>0</v>
      </c>
      <c r="E67" s="366">
        <f t="shared" ref="E67:F67" si="77">+E48+E58+E61+E65</f>
        <v>0</v>
      </c>
      <c r="F67" s="366">
        <f t="shared" si="77"/>
        <v>0</v>
      </c>
      <c r="G67" s="366">
        <f>+G48+G58+G61+G65</f>
        <v>0</v>
      </c>
      <c r="H67" s="366">
        <f t="shared" ref="H67:I67" si="78">+H48+H58+H61+H65</f>
        <v>0</v>
      </c>
      <c r="I67" s="366">
        <f t="shared" si="78"/>
        <v>0</v>
      </c>
      <c r="J67" s="366">
        <f>+J48+J58+J61+J65</f>
        <v>0</v>
      </c>
      <c r="K67" s="366">
        <f t="shared" ref="K67" si="79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80">+N48+N58+N61+N65</f>
        <v>0</v>
      </c>
      <c r="O67" s="364">
        <f>+O48+O58+O61+O65</f>
        <v>0</v>
      </c>
      <c r="P67" s="363">
        <f t="shared" si="23"/>
        <v>0</v>
      </c>
      <c r="Q67" s="367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937" t="s">
        <v>638</v>
      </c>
    </row>
    <row r="70" spans="1:22" ht="30.75" customHeight="1" thickBot="1">
      <c r="A70" s="356"/>
      <c r="B70" s="357" t="s">
        <v>657</v>
      </c>
      <c r="C70" s="357" t="s">
        <v>663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94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:O71" si="81">C74+C75+C80</f>
        <v>0</v>
      </c>
      <c r="D71" s="365">
        <f t="shared" si="81"/>
        <v>0</v>
      </c>
      <c r="E71" s="366">
        <f t="shared" si="81"/>
        <v>0</v>
      </c>
      <c r="F71" s="366">
        <f t="shared" si="81"/>
        <v>0</v>
      </c>
      <c r="G71" s="366">
        <f t="shared" si="81"/>
        <v>0</v>
      </c>
      <c r="H71" s="366">
        <f t="shared" si="81"/>
        <v>0</v>
      </c>
      <c r="I71" s="366">
        <f t="shared" si="81"/>
        <v>0</v>
      </c>
      <c r="J71" s="366">
        <f t="shared" si="81"/>
        <v>0</v>
      </c>
      <c r="K71" s="366">
        <f t="shared" si="81"/>
        <v>0</v>
      </c>
      <c r="L71" s="366">
        <f t="shared" si="81"/>
        <v>0</v>
      </c>
      <c r="M71" s="366">
        <f t="shared" si="81"/>
        <v>0</v>
      </c>
      <c r="N71" s="366">
        <f t="shared" si="81"/>
        <v>0</v>
      </c>
      <c r="O71" s="364">
        <f t="shared" si="81"/>
        <v>0</v>
      </c>
      <c r="P71" s="363">
        <f>SUM(D71:O71)</f>
        <v>0</v>
      </c>
      <c r="Q71" s="367" t="str">
        <f t="shared" ref="Q71:Q86" si="82">IF(P71=0,"-",P71/C71-1)</f>
        <v>-</v>
      </c>
    </row>
    <row r="72" spans="1:22" ht="16.5" customHeight="1">
      <c r="A72" s="368" t="s">
        <v>15</v>
      </c>
      <c r="B72" s="369">
        <f t="shared" ref="B72:O73" si="83">+B26-B49</f>
        <v>0</v>
      </c>
      <c r="C72" s="370">
        <f t="shared" si="83"/>
        <v>0</v>
      </c>
      <c r="D72" s="371">
        <f>+D26-D49</f>
        <v>0</v>
      </c>
      <c r="E72" s="372">
        <f t="shared" si="83"/>
        <v>0</v>
      </c>
      <c r="F72" s="372">
        <f t="shared" si="83"/>
        <v>0</v>
      </c>
      <c r="G72" s="372">
        <f t="shared" si="83"/>
        <v>0</v>
      </c>
      <c r="H72" s="373">
        <f t="shared" si="83"/>
        <v>0</v>
      </c>
      <c r="I72" s="373">
        <f t="shared" si="83"/>
        <v>0</v>
      </c>
      <c r="J72" s="373">
        <f t="shared" si="83"/>
        <v>0</v>
      </c>
      <c r="K72" s="373">
        <f t="shared" si="83"/>
        <v>0</v>
      </c>
      <c r="L72" s="373">
        <f t="shared" si="83"/>
        <v>0</v>
      </c>
      <c r="M72" s="373">
        <f t="shared" si="83"/>
        <v>0</v>
      </c>
      <c r="N72" s="373">
        <f t="shared" si="83"/>
        <v>0</v>
      </c>
      <c r="O72" s="374">
        <f t="shared" si="83"/>
        <v>0</v>
      </c>
      <c r="P72" s="369">
        <f t="shared" ref="P72:P90" si="84">SUM(D72:O72)</f>
        <v>0</v>
      </c>
      <c r="Q72" s="375" t="str">
        <f t="shared" si="82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3"/>
        <v>0</v>
      </c>
      <c r="C73" s="379">
        <f t="shared" si="83"/>
        <v>0</v>
      </c>
      <c r="D73" s="380">
        <f t="shared" si="83"/>
        <v>0</v>
      </c>
      <c r="E73" s="381">
        <f t="shared" si="83"/>
        <v>0</v>
      </c>
      <c r="F73" s="381">
        <f t="shared" si="83"/>
        <v>0</v>
      </c>
      <c r="G73" s="381">
        <f t="shared" si="83"/>
        <v>0</v>
      </c>
      <c r="H73" s="382">
        <f t="shared" si="83"/>
        <v>0</v>
      </c>
      <c r="I73" s="382">
        <f t="shared" si="83"/>
        <v>0</v>
      </c>
      <c r="J73" s="382">
        <f t="shared" si="83"/>
        <v>0</v>
      </c>
      <c r="K73" s="382">
        <f t="shared" si="83"/>
        <v>0</v>
      </c>
      <c r="L73" s="382">
        <f t="shared" si="83"/>
        <v>0</v>
      </c>
      <c r="M73" s="382">
        <f t="shared" si="83"/>
        <v>0</v>
      </c>
      <c r="N73" s="382">
        <f t="shared" si="83"/>
        <v>0</v>
      </c>
      <c r="O73" s="383">
        <f t="shared" si="83"/>
        <v>0</v>
      </c>
      <c r="P73" s="378">
        <f t="shared" si="84"/>
        <v>0</v>
      </c>
      <c r="Q73" s="384" t="str">
        <f t="shared" si="82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85">SUM(D72:D73)</f>
        <v>0</v>
      </c>
      <c r="E74" s="389">
        <f t="shared" si="85"/>
        <v>0</v>
      </c>
      <c r="F74" s="389">
        <f t="shared" si="85"/>
        <v>0</v>
      </c>
      <c r="G74" s="389">
        <f t="shared" si="85"/>
        <v>0</v>
      </c>
      <c r="H74" s="389">
        <f t="shared" si="85"/>
        <v>0</v>
      </c>
      <c r="I74" s="389">
        <f t="shared" si="85"/>
        <v>0</v>
      </c>
      <c r="J74" s="389">
        <f t="shared" si="85"/>
        <v>0</v>
      </c>
      <c r="K74" s="389">
        <f t="shared" si="85"/>
        <v>0</v>
      </c>
      <c r="L74" s="389">
        <f t="shared" si="85"/>
        <v>0</v>
      </c>
      <c r="M74" s="389">
        <f t="shared" si="85"/>
        <v>0</v>
      </c>
      <c r="N74" s="389">
        <f t="shared" si="85"/>
        <v>0</v>
      </c>
      <c r="O74" s="390">
        <f t="shared" si="85"/>
        <v>0</v>
      </c>
      <c r="P74" s="391">
        <f t="shared" si="84"/>
        <v>0</v>
      </c>
      <c r="Q74" s="449" t="str">
        <f t="shared" si="82"/>
        <v>-</v>
      </c>
    </row>
    <row r="75" spans="1:22" ht="16.5" customHeight="1">
      <c r="A75" s="393" t="s">
        <v>17</v>
      </c>
      <c r="B75" s="394">
        <f t="shared" ref="B75:O79" si="86">+B29-B52</f>
        <v>0</v>
      </c>
      <c r="C75" s="395">
        <f t="shared" si="86"/>
        <v>0</v>
      </c>
      <c r="D75" s="396">
        <f t="shared" si="86"/>
        <v>0</v>
      </c>
      <c r="E75" s="397">
        <f t="shared" si="86"/>
        <v>0</v>
      </c>
      <c r="F75" s="397">
        <f t="shared" si="86"/>
        <v>0</v>
      </c>
      <c r="G75" s="397">
        <f t="shared" si="86"/>
        <v>0</v>
      </c>
      <c r="H75" s="397">
        <f t="shared" si="86"/>
        <v>0</v>
      </c>
      <c r="I75" s="397">
        <f t="shared" si="86"/>
        <v>0</v>
      </c>
      <c r="J75" s="397">
        <f t="shared" si="86"/>
        <v>0</v>
      </c>
      <c r="K75" s="397">
        <f t="shared" si="86"/>
        <v>0</v>
      </c>
      <c r="L75" s="397">
        <f t="shared" si="86"/>
        <v>0</v>
      </c>
      <c r="M75" s="397">
        <f t="shared" si="86"/>
        <v>0</v>
      </c>
      <c r="N75" s="397">
        <f t="shared" si="86"/>
        <v>0</v>
      </c>
      <c r="O75" s="398">
        <f t="shared" si="86"/>
        <v>0</v>
      </c>
      <c r="P75" s="399">
        <f t="shared" si="84"/>
        <v>0</v>
      </c>
      <c r="Q75" s="384" t="str">
        <f t="shared" si="82"/>
        <v>-</v>
      </c>
    </row>
    <row r="76" spans="1:22" ht="16.5" customHeight="1">
      <c r="A76" s="400" t="s">
        <v>81</v>
      </c>
      <c r="B76" s="391">
        <f t="shared" si="86"/>
        <v>0</v>
      </c>
      <c r="C76" s="401">
        <f t="shared" si="86"/>
        <v>0</v>
      </c>
      <c r="D76" s="388">
        <f t="shared" si="86"/>
        <v>0</v>
      </c>
      <c r="E76" s="389">
        <f t="shared" si="86"/>
        <v>0</v>
      </c>
      <c r="F76" s="389">
        <f t="shared" si="86"/>
        <v>0</v>
      </c>
      <c r="G76" s="389">
        <f t="shared" si="86"/>
        <v>0</v>
      </c>
      <c r="H76" s="389">
        <f t="shared" si="86"/>
        <v>0</v>
      </c>
      <c r="I76" s="389">
        <f t="shared" si="86"/>
        <v>0</v>
      </c>
      <c r="J76" s="389">
        <f t="shared" si="86"/>
        <v>0</v>
      </c>
      <c r="K76" s="389">
        <f t="shared" si="86"/>
        <v>0</v>
      </c>
      <c r="L76" s="389">
        <f t="shared" si="86"/>
        <v>0</v>
      </c>
      <c r="M76" s="389">
        <f t="shared" si="86"/>
        <v>0</v>
      </c>
      <c r="N76" s="389">
        <f t="shared" si="86"/>
        <v>0</v>
      </c>
      <c r="O76" s="390">
        <f t="shared" si="86"/>
        <v>0</v>
      </c>
      <c r="P76" s="386">
        <f t="shared" si="84"/>
        <v>0</v>
      </c>
      <c r="Q76" s="405" t="str">
        <f t="shared" si="82"/>
        <v>-</v>
      </c>
    </row>
    <row r="77" spans="1:22" ht="16.5" hidden="1" customHeight="1">
      <c r="A77" s="406" t="s">
        <v>82</v>
      </c>
      <c r="B77" s="394">
        <f t="shared" si="86"/>
        <v>0</v>
      </c>
      <c r="C77" s="395">
        <f t="shared" si="86"/>
        <v>0</v>
      </c>
      <c r="D77" s="396">
        <f t="shared" si="86"/>
        <v>0</v>
      </c>
      <c r="E77" s="397">
        <f t="shared" si="86"/>
        <v>0</v>
      </c>
      <c r="F77" s="397">
        <f t="shared" si="86"/>
        <v>0</v>
      </c>
      <c r="G77" s="397">
        <f t="shared" si="86"/>
        <v>0</v>
      </c>
      <c r="H77" s="397">
        <f t="shared" si="86"/>
        <v>0</v>
      </c>
      <c r="I77" s="397">
        <f t="shared" si="86"/>
        <v>0</v>
      </c>
      <c r="J77" s="397">
        <f t="shared" si="86"/>
        <v>0</v>
      </c>
      <c r="K77" s="397">
        <f t="shared" si="86"/>
        <v>0</v>
      </c>
      <c r="L77" s="397">
        <f t="shared" si="86"/>
        <v>0</v>
      </c>
      <c r="M77" s="397">
        <f t="shared" si="86"/>
        <v>0</v>
      </c>
      <c r="N77" s="397">
        <f t="shared" si="86"/>
        <v>0</v>
      </c>
      <c r="O77" s="398">
        <f t="shared" si="86"/>
        <v>0</v>
      </c>
      <c r="P77" s="399">
        <f>SUM(D77:O77)</f>
        <v>0</v>
      </c>
      <c r="Q77" s="384" t="str">
        <f t="shared" si="82"/>
        <v>-</v>
      </c>
    </row>
    <row r="78" spans="1:22" ht="16.5" customHeight="1">
      <c r="A78" s="400" t="s">
        <v>83</v>
      </c>
      <c r="B78" s="408">
        <f t="shared" si="86"/>
        <v>0</v>
      </c>
      <c r="C78" s="370">
        <f>B78/10*12</f>
        <v>0</v>
      </c>
      <c r="D78" s="402">
        <f t="shared" si="86"/>
        <v>0</v>
      </c>
      <c r="E78" s="403">
        <f t="shared" si="86"/>
        <v>0</v>
      </c>
      <c r="F78" s="403">
        <f t="shared" si="86"/>
        <v>0</v>
      </c>
      <c r="G78" s="403">
        <f t="shared" si="86"/>
        <v>0</v>
      </c>
      <c r="H78" s="403">
        <f t="shared" si="86"/>
        <v>0</v>
      </c>
      <c r="I78" s="403">
        <f t="shared" si="86"/>
        <v>0</v>
      </c>
      <c r="J78" s="403">
        <f t="shared" si="86"/>
        <v>0</v>
      </c>
      <c r="K78" s="403">
        <f t="shared" si="86"/>
        <v>0</v>
      </c>
      <c r="L78" s="403">
        <f t="shared" si="86"/>
        <v>0</v>
      </c>
      <c r="M78" s="403">
        <f t="shared" si="86"/>
        <v>0</v>
      </c>
      <c r="N78" s="403">
        <f t="shared" si="86"/>
        <v>0</v>
      </c>
      <c r="O78" s="404">
        <f t="shared" si="86"/>
        <v>0</v>
      </c>
      <c r="P78" s="386">
        <f t="shared" si="84"/>
        <v>0</v>
      </c>
      <c r="Q78" s="405" t="str">
        <f t="shared" si="82"/>
        <v>-</v>
      </c>
    </row>
    <row r="79" spans="1:22" ht="16.5" hidden="1" customHeight="1">
      <c r="A79" s="406" t="s">
        <v>84</v>
      </c>
      <c r="B79" s="378">
        <f t="shared" si="86"/>
        <v>0</v>
      </c>
      <c r="C79" s="379">
        <f t="shared" si="86"/>
        <v>0</v>
      </c>
      <c r="D79" s="407">
        <f t="shared" si="86"/>
        <v>0</v>
      </c>
      <c r="E79" s="382">
        <f t="shared" si="86"/>
        <v>0</v>
      </c>
      <c r="F79" s="382">
        <f t="shared" si="86"/>
        <v>0</v>
      </c>
      <c r="G79" s="382">
        <f t="shared" si="86"/>
        <v>0</v>
      </c>
      <c r="H79" s="382">
        <f t="shared" si="86"/>
        <v>0</v>
      </c>
      <c r="I79" s="381">
        <f t="shared" si="86"/>
        <v>0</v>
      </c>
      <c r="J79" s="381">
        <f t="shared" si="86"/>
        <v>0</v>
      </c>
      <c r="K79" s="382">
        <f t="shared" si="86"/>
        <v>0</v>
      </c>
      <c r="L79" s="382">
        <f t="shared" si="86"/>
        <v>0</v>
      </c>
      <c r="M79" s="382">
        <f t="shared" si="86"/>
        <v>0</v>
      </c>
      <c r="N79" s="382">
        <f t="shared" si="86"/>
        <v>0</v>
      </c>
      <c r="O79" s="383">
        <f t="shared" si="86"/>
        <v>0</v>
      </c>
      <c r="P79" s="399">
        <f t="shared" si="84"/>
        <v>0</v>
      </c>
      <c r="Q79" s="384" t="str">
        <f t="shared" si="82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O80" si="87">SUM(B76:B79)</f>
        <v>0</v>
      </c>
      <c r="C80" s="412">
        <f t="shared" si="87"/>
        <v>0</v>
      </c>
      <c r="D80" s="413">
        <f t="shared" si="87"/>
        <v>0</v>
      </c>
      <c r="E80" s="414">
        <f t="shared" si="87"/>
        <v>0</v>
      </c>
      <c r="F80" s="414">
        <f t="shared" si="87"/>
        <v>0</v>
      </c>
      <c r="G80" s="414">
        <f t="shared" si="87"/>
        <v>0</v>
      </c>
      <c r="H80" s="414">
        <f t="shared" si="87"/>
        <v>0</v>
      </c>
      <c r="I80" s="414">
        <f t="shared" si="87"/>
        <v>0</v>
      </c>
      <c r="J80" s="414">
        <f t="shared" si="87"/>
        <v>0</v>
      </c>
      <c r="K80" s="414">
        <f t="shared" si="87"/>
        <v>0</v>
      </c>
      <c r="L80" s="414">
        <f t="shared" si="87"/>
        <v>0</v>
      </c>
      <c r="M80" s="414">
        <f t="shared" si="87"/>
        <v>0</v>
      </c>
      <c r="N80" s="414">
        <f t="shared" si="87"/>
        <v>0</v>
      </c>
      <c r="O80" s="412">
        <f t="shared" si="87"/>
        <v>0</v>
      </c>
      <c r="P80" s="411">
        <f t="shared" si="84"/>
        <v>0</v>
      </c>
      <c r="Q80" s="415" t="str">
        <f t="shared" si="82"/>
        <v>-</v>
      </c>
    </row>
    <row r="81" spans="1:22" ht="22.5" customHeight="1" thickBot="1">
      <c r="A81" s="362" t="s">
        <v>29</v>
      </c>
      <c r="B81" s="420">
        <f t="shared" ref="B81:O86" si="88">+B35-B58</f>
        <v>0</v>
      </c>
      <c r="C81" s="416">
        <f t="shared" si="88"/>
        <v>0</v>
      </c>
      <c r="D81" s="417">
        <f t="shared" si="88"/>
        <v>0</v>
      </c>
      <c r="E81" s="418">
        <f t="shared" si="88"/>
        <v>0</v>
      </c>
      <c r="F81" s="418">
        <f t="shared" si="88"/>
        <v>0</v>
      </c>
      <c r="G81" s="418">
        <f t="shared" si="88"/>
        <v>0</v>
      </c>
      <c r="H81" s="418">
        <f t="shared" si="88"/>
        <v>0</v>
      </c>
      <c r="I81" s="418">
        <f t="shared" si="88"/>
        <v>0</v>
      </c>
      <c r="J81" s="418">
        <f t="shared" si="88"/>
        <v>0</v>
      </c>
      <c r="K81" s="418">
        <f t="shared" si="88"/>
        <v>0</v>
      </c>
      <c r="L81" s="418">
        <f t="shared" si="88"/>
        <v>0</v>
      </c>
      <c r="M81" s="418">
        <f t="shared" si="88"/>
        <v>0</v>
      </c>
      <c r="N81" s="418">
        <f t="shared" si="88"/>
        <v>0</v>
      </c>
      <c r="O81" s="419">
        <f t="shared" si="88"/>
        <v>0</v>
      </c>
      <c r="P81" s="420">
        <f t="shared" si="84"/>
        <v>0</v>
      </c>
      <c r="Q81" s="421" t="str">
        <f t="shared" si="82"/>
        <v>-</v>
      </c>
    </row>
    <row r="82" spans="1:22" ht="16.5" customHeight="1">
      <c r="A82" s="422" t="s">
        <v>19</v>
      </c>
      <c r="B82" s="423">
        <f t="shared" si="88"/>
        <v>0</v>
      </c>
      <c r="C82" s="424">
        <f t="shared" si="88"/>
        <v>0</v>
      </c>
      <c r="D82" s="425">
        <f t="shared" si="88"/>
        <v>0</v>
      </c>
      <c r="E82" s="426">
        <f t="shared" si="88"/>
        <v>0</v>
      </c>
      <c r="F82" s="426">
        <f t="shared" si="88"/>
        <v>0</v>
      </c>
      <c r="G82" s="426">
        <f t="shared" si="88"/>
        <v>0</v>
      </c>
      <c r="H82" s="426">
        <f t="shared" si="88"/>
        <v>0</v>
      </c>
      <c r="I82" s="426">
        <f t="shared" si="88"/>
        <v>0</v>
      </c>
      <c r="J82" s="426">
        <f t="shared" si="88"/>
        <v>0</v>
      </c>
      <c r="K82" s="426">
        <f t="shared" si="88"/>
        <v>0</v>
      </c>
      <c r="L82" s="426">
        <f t="shared" si="88"/>
        <v>0</v>
      </c>
      <c r="M82" s="426">
        <f t="shared" si="88"/>
        <v>0</v>
      </c>
      <c r="N82" s="426">
        <f t="shared" si="88"/>
        <v>0</v>
      </c>
      <c r="O82" s="427">
        <f t="shared" si="88"/>
        <v>0</v>
      </c>
      <c r="P82" s="428">
        <f t="shared" si="84"/>
        <v>0</v>
      </c>
      <c r="Q82" s="429" t="str">
        <f t="shared" si="82"/>
        <v>-</v>
      </c>
    </row>
    <row r="83" spans="1:22" ht="16.5" customHeight="1" thickBot="1">
      <c r="A83" s="430" t="s">
        <v>20</v>
      </c>
      <c r="B83" s="431">
        <f t="shared" si="88"/>
        <v>0</v>
      </c>
      <c r="C83" s="432">
        <f t="shared" si="88"/>
        <v>0</v>
      </c>
      <c r="D83" s="433">
        <f t="shared" si="88"/>
        <v>0</v>
      </c>
      <c r="E83" s="434">
        <f t="shared" si="88"/>
        <v>0</v>
      </c>
      <c r="F83" s="434">
        <f t="shared" si="88"/>
        <v>0</v>
      </c>
      <c r="G83" s="434">
        <f t="shared" si="88"/>
        <v>0</v>
      </c>
      <c r="H83" s="434">
        <f t="shared" si="88"/>
        <v>0</v>
      </c>
      <c r="I83" s="434">
        <f t="shared" si="88"/>
        <v>0</v>
      </c>
      <c r="J83" s="434">
        <f t="shared" si="88"/>
        <v>0</v>
      </c>
      <c r="K83" s="434">
        <f t="shared" si="88"/>
        <v>0</v>
      </c>
      <c r="L83" s="434">
        <f t="shared" si="88"/>
        <v>0</v>
      </c>
      <c r="M83" s="434">
        <f t="shared" si="88"/>
        <v>0</v>
      </c>
      <c r="N83" s="434">
        <f t="shared" si="88"/>
        <v>0</v>
      </c>
      <c r="O83" s="435">
        <f t="shared" si="88"/>
        <v>0</v>
      </c>
      <c r="P83" s="436">
        <f t="shared" si="84"/>
        <v>0</v>
      </c>
      <c r="Q83" s="437" t="str">
        <f t="shared" si="82"/>
        <v>-</v>
      </c>
    </row>
    <row r="84" spans="1:22" ht="22.5" customHeight="1" thickBot="1">
      <c r="A84" s="362" t="s">
        <v>30</v>
      </c>
      <c r="B84" s="363">
        <f t="shared" si="88"/>
        <v>0</v>
      </c>
      <c r="C84" s="364">
        <f t="shared" si="88"/>
        <v>0</v>
      </c>
      <c r="D84" s="365">
        <f t="shared" si="88"/>
        <v>0</v>
      </c>
      <c r="E84" s="366">
        <f t="shared" si="88"/>
        <v>0</v>
      </c>
      <c r="F84" s="366">
        <f t="shared" si="88"/>
        <v>0</v>
      </c>
      <c r="G84" s="366">
        <f t="shared" si="88"/>
        <v>0</v>
      </c>
      <c r="H84" s="366">
        <f t="shared" si="88"/>
        <v>0</v>
      </c>
      <c r="I84" s="366">
        <f t="shared" si="88"/>
        <v>0</v>
      </c>
      <c r="J84" s="366">
        <f t="shared" si="88"/>
        <v>0</v>
      </c>
      <c r="K84" s="366">
        <f t="shared" si="88"/>
        <v>0</v>
      </c>
      <c r="L84" s="366">
        <f t="shared" si="88"/>
        <v>0</v>
      </c>
      <c r="M84" s="366">
        <f t="shared" si="88"/>
        <v>0</v>
      </c>
      <c r="N84" s="366">
        <f t="shared" si="88"/>
        <v>0</v>
      </c>
      <c r="O84" s="448">
        <f t="shared" si="88"/>
        <v>0</v>
      </c>
      <c r="P84" s="363">
        <f t="shared" si="84"/>
        <v>0</v>
      </c>
      <c r="Q84" s="367" t="str">
        <f t="shared" si="82"/>
        <v>-</v>
      </c>
    </row>
    <row r="85" spans="1:22" ht="16.5" customHeight="1">
      <c r="A85" s="422" t="s">
        <v>106</v>
      </c>
      <c r="B85" s="423">
        <f t="shared" si="88"/>
        <v>0</v>
      </c>
      <c r="C85" s="424">
        <f t="shared" si="88"/>
        <v>0</v>
      </c>
      <c r="D85" s="425">
        <f t="shared" si="88"/>
        <v>0</v>
      </c>
      <c r="E85" s="426">
        <f t="shared" si="88"/>
        <v>0</v>
      </c>
      <c r="F85" s="426">
        <f t="shared" si="88"/>
        <v>0</v>
      </c>
      <c r="G85" s="426">
        <f t="shared" si="88"/>
        <v>0</v>
      </c>
      <c r="H85" s="426">
        <f t="shared" si="88"/>
        <v>0</v>
      </c>
      <c r="I85" s="426">
        <f t="shared" si="88"/>
        <v>0</v>
      </c>
      <c r="J85" s="426">
        <f t="shared" si="88"/>
        <v>0</v>
      </c>
      <c r="K85" s="426">
        <f t="shared" si="88"/>
        <v>0</v>
      </c>
      <c r="L85" s="426">
        <f t="shared" si="88"/>
        <v>0</v>
      </c>
      <c r="M85" s="426">
        <f t="shared" si="88"/>
        <v>0</v>
      </c>
      <c r="N85" s="426">
        <f t="shared" si="88"/>
        <v>0</v>
      </c>
      <c r="O85" s="427">
        <f t="shared" si="88"/>
        <v>0</v>
      </c>
      <c r="P85" s="428">
        <f t="shared" si="84"/>
        <v>0</v>
      </c>
      <c r="Q85" s="429" t="str">
        <f t="shared" si="82"/>
        <v>-</v>
      </c>
    </row>
    <row r="86" spans="1:22" ht="16.5" customHeight="1" thickBot="1">
      <c r="A86" s="438" t="s">
        <v>105</v>
      </c>
      <c r="B86" s="439">
        <f t="shared" si="88"/>
        <v>0</v>
      </c>
      <c r="C86" s="440">
        <f t="shared" si="88"/>
        <v>0</v>
      </c>
      <c r="D86" s="441">
        <f t="shared" si="88"/>
        <v>0</v>
      </c>
      <c r="E86" s="442">
        <f t="shared" si="88"/>
        <v>0</v>
      </c>
      <c r="F86" s="442">
        <f t="shared" si="88"/>
        <v>0</v>
      </c>
      <c r="G86" s="442">
        <f t="shared" si="88"/>
        <v>0</v>
      </c>
      <c r="H86" s="442">
        <f t="shared" si="88"/>
        <v>0</v>
      </c>
      <c r="I86" s="442">
        <f t="shared" si="88"/>
        <v>0</v>
      </c>
      <c r="J86" s="442">
        <f t="shared" si="88"/>
        <v>0</v>
      </c>
      <c r="K86" s="442">
        <f t="shared" si="88"/>
        <v>0</v>
      </c>
      <c r="L86" s="442">
        <f t="shared" si="88"/>
        <v>0</v>
      </c>
      <c r="M86" s="442">
        <f t="shared" si="88"/>
        <v>0</v>
      </c>
      <c r="N86" s="442">
        <f t="shared" si="88"/>
        <v>0</v>
      </c>
      <c r="O86" s="443">
        <f t="shared" si="88"/>
        <v>0</v>
      </c>
      <c r="P86" s="444">
        <f t="shared" si="84"/>
        <v>0</v>
      </c>
      <c r="Q86" s="445" t="str">
        <f t="shared" si="82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O88" si="89">+B42-B65</f>
        <v>0</v>
      </c>
      <c r="C88" s="364">
        <f t="shared" si="89"/>
        <v>0</v>
      </c>
      <c r="D88" s="365">
        <f t="shared" si="89"/>
        <v>0</v>
      </c>
      <c r="E88" s="366">
        <f t="shared" si="89"/>
        <v>0</v>
      </c>
      <c r="F88" s="366">
        <f t="shared" si="89"/>
        <v>0</v>
      </c>
      <c r="G88" s="366">
        <f t="shared" si="89"/>
        <v>0</v>
      </c>
      <c r="H88" s="366">
        <f t="shared" si="89"/>
        <v>0</v>
      </c>
      <c r="I88" s="366">
        <f t="shared" si="89"/>
        <v>0</v>
      </c>
      <c r="J88" s="366">
        <f t="shared" si="89"/>
        <v>0</v>
      </c>
      <c r="K88" s="366">
        <f t="shared" si="89"/>
        <v>0</v>
      </c>
      <c r="L88" s="366">
        <f t="shared" si="89"/>
        <v>0</v>
      </c>
      <c r="M88" s="366">
        <f t="shared" si="89"/>
        <v>0</v>
      </c>
      <c r="N88" s="366">
        <f t="shared" si="89"/>
        <v>0</v>
      </c>
      <c r="O88" s="448">
        <f t="shared" si="89"/>
        <v>0</v>
      </c>
      <c r="P88" s="363">
        <f t="shared" si="84"/>
        <v>0</v>
      </c>
      <c r="Q88" s="367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4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:O90" si="90">+C71+C81+C84+C88</f>
        <v>0</v>
      </c>
      <c r="D90" s="365">
        <f t="shared" si="90"/>
        <v>0</v>
      </c>
      <c r="E90" s="366">
        <f t="shared" si="90"/>
        <v>0</v>
      </c>
      <c r="F90" s="366">
        <f t="shared" si="90"/>
        <v>0</v>
      </c>
      <c r="G90" s="366">
        <f t="shared" si="90"/>
        <v>0</v>
      </c>
      <c r="H90" s="366">
        <f t="shared" si="90"/>
        <v>0</v>
      </c>
      <c r="I90" s="366">
        <f t="shared" si="90"/>
        <v>0</v>
      </c>
      <c r="J90" s="366">
        <f t="shared" si="90"/>
        <v>0</v>
      </c>
      <c r="K90" s="366">
        <f t="shared" si="90"/>
        <v>0</v>
      </c>
      <c r="L90" s="366">
        <f t="shared" si="90"/>
        <v>0</v>
      </c>
      <c r="M90" s="366">
        <f t="shared" si="90"/>
        <v>0</v>
      </c>
      <c r="N90" s="366">
        <f t="shared" si="90"/>
        <v>0</v>
      </c>
      <c r="O90" s="448">
        <f t="shared" si="90"/>
        <v>0</v>
      </c>
      <c r="P90" s="363">
        <f t="shared" si="84"/>
        <v>0</v>
      </c>
      <c r="Q90" s="367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937" t="s">
        <v>638</v>
      </c>
    </row>
    <row r="93" spans="1:22" ht="30.75" customHeight="1" thickBot="1">
      <c r="A93" s="356"/>
      <c r="B93" s="357" t="s">
        <v>657</v>
      </c>
      <c r="C93" s="357" t="s">
        <v>663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94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:P94" si="91">C97+C98+C103</f>
        <v>0</v>
      </c>
      <c r="D94" s="365">
        <f t="shared" si="91"/>
        <v>0</v>
      </c>
      <c r="E94" s="366">
        <f t="shared" si="91"/>
        <v>0</v>
      </c>
      <c r="F94" s="366">
        <f t="shared" si="91"/>
        <v>0</v>
      </c>
      <c r="G94" s="366">
        <f t="shared" si="91"/>
        <v>0</v>
      </c>
      <c r="H94" s="366">
        <f t="shared" si="91"/>
        <v>0</v>
      </c>
      <c r="I94" s="366">
        <f t="shared" si="91"/>
        <v>0</v>
      </c>
      <c r="J94" s="366">
        <f t="shared" si="91"/>
        <v>0</v>
      </c>
      <c r="K94" s="366">
        <f t="shared" si="91"/>
        <v>0</v>
      </c>
      <c r="L94" s="366">
        <f t="shared" si="91"/>
        <v>0</v>
      </c>
      <c r="M94" s="366">
        <f t="shared" si="91"/>
        <v>0</v>
      </c>
      <c r="N94" s="366">
        <f t="shared" si="91"/>
        <v>0</v>
      </c>
      <c r="O94" s="364">
        <f t="shared" si="91"/>
        <v>0</v>
      </c>
      <c r="P94" s="363">
        <f t="shared" si="91"/>
        <v>0</v>
      </c>
      <c r="Q94" s="367" t="str">
        <f t="shared" ref="Q94:Q109" si="92">IF(P94=0,"-",P94/C94-1)</f>
        <v>-</v>
      </c>
    </row>
    <row r="95" spans="1:22" ht="16.5" customHeight="1">
      <c r="A95" s="368" t="s">
        <v>15</v>
      </c>
      <c r="B95" s="2178"/>
      <c r="C95" s="370">
        <f>B95/10*12</f>
        <v>0</v>
      </c>
      <c r="D95" s="371">
        <f>D5*'Alış Fiyat'!D5</f>
        <v>0</v>
      </c>
      <c r="E95" s="372">
        <f>E5*'Alış Fiyat'!E5</f>
        <v>0</v>
      </c>
      <c r="F95" s="372">
        <f>F5*'Alış Fiyat'!F5</f>
        <v>0</v>
      </c>
      <c r="G95" s="372">
        <f>G5*'Alış Fiyat'!G5</f>
        <v>0</v>
      </c>
      <c r="H95" s="373">
        <f>H5*'Alış Fiyat'!H5</f>
        <v>0</v>
      </c>
      <c r="I95" s="373">
        <f>I5*'Alış Fiyat'!I5</f>
        <v>0</v>
      </c>
      <c r="J95" s="373">
        <f>J5*'Alış Fiyat'!J5</f>
        <v>0</v>
      </c>
      <c r="K95" s="373">
        <f>K5*'Alış Fiyat'!K5</f>
        <v>0</v>
      </c>
      <c r="L95" s="373">
        <f>L5*'Alış Fiyat'!L5</f>
        <v>0</v>
      </c>
      <c r="M95" s="373">
        <f>M5*'Alış Fiyat'!M5</f>
        <v>0</v>
      </c>
      <c r="N95" s="373">
        <f>N5*'Alış Fiyat'!N5</f>
        <v>0</v>
      </c>
      <c r="O95" s="374">
        <f>O5*'Alış Fiyat'!O5</f>
        <v>0</v>
      </c>
      <c r="P95" s="369">
        <f t="shared" ref="P95:P102" si="93">SUM(D95:O95)</f>
        <v>0</v>
      </c>
      <c r="Q95" s="375" t="str">
        <f t="shared" si="9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Fiyat'!B6</f>
        <v>0</v>
      </c>
      <c r="C96" s="379">
        <f>C6*'Alış Fiyat'!C6</f>
        <v>0</v>
      </c>
      <c r="D96" s="380">
        <f>D6*'Alış Fiyat'!D6</f>
        <v>0</v>
      </c>
      <c r="E96" s="381">
        <f>E6*'Alış Fiyat'!E6</f>
        <v>0</v>
      </c>
      <c r="F96" s="381">
        <f>F6*'Alış Fiyat'!F6</f>
        <v>0</v>
      </c>
      <c r="G96" s="381">
        <f>G6*'Alış Fiyat'!G6</f>
        <v>0</v>
      </c>
      <c r="H96" s="382">
        <f>H6*'Alış Fiyat'!H6</f>
        <v>0</v>
      </c>
      <c r="I96" s="382">
        <f>I6*'Alış Fiyat'!I6</f>
        <v>0</v>
      </c>
      <c r="J96" s="382">
        <f>J6*'Alış Fiyat'!J6</f>
        <v>0</v>
      </c>
      <c r="K96" s="382">
        <f>K6*'Alış Fiyat'!K6</f>
        <v>0</v>
      </c>
      <c r="L96" s="382">
        <f>L6*'Alış Fiyat'!L6</f>
        <v>0</v>
      </c>
      <c r="M96" s="382">
        <f>M6*'Alış Fiyat'!M6</f>
        <v>0</v>
      </c>
      <c r="N96" s="382">
        <f>N6*'Alış Fiyat'!N6</f>
        <v>0</v>
      </c>
      <c r="O96" s="383">
        <f>O6*'Alış Fiyat'!O6</f>
        <v>0</v>
      </c>
      <c r="P96" s="378">
        <f t="shared" si="93"/>
        <v>0</v>
      </c>
      <c r="Q96" s="384" t="str">
        <f t="shared" si="9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94">SUM(D95:D96)</f>
        <v>0</v>
      </c>
      <c r="E97" s="389">
        <f t="shared" si="94"/>
        <v>0</v>
      </c>
      <c r="F97" s="389">
        <f t="shared" si="94"/>
        <v>0</v>
      </c>
      <c r="G97" s="389">
        <f t="shared" si="94"/>
        <v>0</v>
      </c>
      <c r="H97" s="389">
        <f t="shared" si="94"/>
        <v>0</v>
      </c>
      <c r="I97" s="389">
        <f t="shared" si="94"/>
        <v>0</v>
      </c>
      <c r="J97" s="389">
        <f t="shared" si="94"/>
        <v>0</v>
      </c>
      <c r="K97" s="389">
        <f t="shared" si="94"/>
        <v>0</v>
      </c>
      <c r="L97" s="389">
        <f t="shared" si="94"/>
        <v>0</v>
      </c>
      <c r="M97" s="389">
        <f t="shared" si="94"/>
        <v>0</v>
      </c>
      <c r="N97" s="389">
        <f t="shared" si="94"/>
        <v>0</v>
      </c>
      <c r="O97" s="390">
        <f t="shared" si="94"/>
        <v>0</v>
      </c>
      <c r="P97" s="391">
        <f t="shared" si="93"/>
        <v>0</v>
      </c>
      <c r="Q97" s="449" t="str">
        <f t="shared" si="92"/>
        <v>-</v>
      </c>
    </row>
    <row r="98" spans="1:22" ht="16.5" customHeight="1">
      <c r="A98" s="393" t="s">
        <v>17</v>
      </c>
      <c r="B98" s="394">
        <f>B8*'Alış Fiyat'!B8</f>
        <v>0</v>
      </c>
      <c r="C98" s="395">
        <f>C8*'Alış Fiyat'!C8</f>
        <v>0</v>
      </c>
      <c r="D98" s="396">
        <f>D8*'Alış Fiyat'!D8</f>
        <v>0</v>
      </c>
      <c r="E98" s="397">
        <f>E8*'Alış Fiyat'!E8</f>
        <v>0</v>
      </c>
      <c r="F98" s="397">
        <f>F8*'Alış Fiyat'!F8</f>
        <v>0</v>
      </c>
      <c r="G98" s="397">
        <f>G8*'Alış Fiyat'!G8</f>
        <v>0</v>
      </c>
      <c r="H98" s="397">
        <f>H8*'Alış Fiyat'!H8</f>
        <v>0</v>
      </c>
      <c r="I98" s="397">
        <f>I8*'Alış Fiyat'!I8</f>
        <v>0</v>
      </c>
      <c r="J98" s="397">
        <f>J8*'Alış Fiyat'!J8</f>
        <v>0</v>
      </c>
      <c r="K98" s="397">
        <f>K8*'Alış Fiyat'!K8</f>
        <v>0</v>
      </c>
      <c r="L98" s="397">
        <f>L8*'Alış Fiyat'!L8</f>
        <v>0</v>
      </c>
      <c r="M98" s="397">
        <f>M8*'Alış Fiyat'!M8</f>
        <v>0</v>
      </c>
      <c r="N98" s="397">
        <f>N8*'Alış Fiyat'!N8</f>
        <v>0</v>
      </c>
      <c r="O98" s="398">
        <f>O8*'Alış Fiyat'!O8</f>
        <v>0</v>
      </c>
      <c r="P98" s="399">
        <f t="shared" si="93"/>
        <v>0</v>
      </c>
      <c r="Q98" s="384" t="str">
        <f t="shared" si="92"/>
        <v>-</v>
      </c>
    </row>
    <row r="99" spans="1:22" ht="16.5" customHeight="1">
      <c r="A99" s="400" t="s">
        <v>81</v>
      </c>
      <c r="B99" s="2177"/>
      <c r="C99" s="370">
        <f>B99/10*12</f>
        <v>0</v>
      </c>
      <c r="D99" s="1563">
        <f>D9*'DAĞITICI-ÖTV''SİZ-İHALE HEDEF'!C36</f>
        <v>0</v>
      </c>
      <c r="E99" s="1560">
        <f>E9*'DAĞITICI-ÖTV''SİZ-İHALE HEDEF'!D36</f>
        <v>0</v>
      </c>
      <c r="F99" s="1560">
        <f>F9*'DAĞITICI-ÖTV''SİZ-İHALE HEDEF'!E36</f>
        <v>0</v>
      </c>
      <c r="G99" s="1560">
        <f>G9*'DAĞITICI-ÖTV''SİZ-İHALE HEDEF'!F36</f>
        <v>0</v>
      </c>
      <c r="H99" s="1560">
        <f>H9*'DAĞITICI-ÖTV''SİZ-İHALE HEDEF'!G36</f>
        <v>0</v>
      </c>
      <c r="I99" s="1560">
        <f>I9*'DAĞITICI-ÖTV''SİZ-İHALE HEDEF'!H36</f>
        <v>0</v>
      </c>
      <c r="J99" s="1560">
        <f>J9*'DAĞITICI-ÖTV''SİZ-İHALE HEDEF'!I36</f>
        <v>0</v>
      </c>
      <c r="K99" s="1560">
        <f>K9*'DAĞITICI-ÖTV''SİZ-İHALE HEDEF'!J36</f>
        <v>0</v>
      </c>
      <c r="L99" s="1560">
        <f>L9*'DAĞITICI-ÖTV''SİZ-İHALE HEDEF'!K36</f>
        <v>0</v>
      </c>
      <c r="M99" s="1560">
        <f>M9*'DAĞITICI-ÖTV''SİZ-İHALE HEDEF'!L36</f>
        <v>0</v>
      </c>
      <c r="N99" s="1560">
        <f>N9*'DAĞITICI-ÖTV''SİZ-İHALE HEDEF'!M36</f>
        <v>0</v>
      </c>
      <c r="O99" s="387">
        <f>O9*'DAĞITICI-ÖTV''SİZ-İHALE HEDEF'!N36</f>
        <v>0</v>
      </c>
      <c r="P99" s="386">
        <f t="shared" si="93"/>
        <v>0</v>
      </c>
      <c r="Q99" s="405" t="str">
        <f t="shared" si="9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Fiyat'!D10</f>
        <v>0</v>
      </c>
      <c r="E100" s="397">
        <f>E10*'Alış Fiyat'!E10</f>
        <v>0</v>
      </c>
      <c r="F100" s="397">
        <f>F10*'Alış Fiyat'!F10</f>
        <v>0</v>
      </c>
      <c r="G100" s="397">
        <f>G10*'Alış Fiyat'!G10</f>
        <v>0</v>
      </c>
      <c r="H100" s="397">
        <f>H10*'Alış Fiyat'!H10</f>
        <v>0</v>
      </c>
      <c r="I100" s="397">
        <f>I10*'Alış Fiyat'!I10</f>
        <v>0</v>
      </c>
      <c r="J100" s="397">
        <f>J10*'Alış Fiyat'!J10</f>
        <v>0</v>
      </c>
      <c r="K100" s="397">
        <f>K10*'Alış Fiyat'!K10</f>
        <v>0</v>
      </c>
      <c r="L100" s="397">
        <f>L10*'Alış Fiyat'!L10</f>
        <v>0</v>
      </c>
      <c r="M100" s="397">
        <f>M10*'Alış Fiyat'!M10</f>
        <v>0</v>
      </c>
      <c r="N100" s="397">
        <f>N10*'Alış Fiyat'!N10</f>
        <v>0</v>
      </c>
      <c r="O100" s="398">
        <f>O10*'Alış Fiyat'!O10</f>
        <v>0</v>
      </c>
      <c r="P100" s="399">
        <f t="shared" si="93"/>
        <v>0</v>
      </c>
      <c r="Q100" s="384" t="str">
        <f t="shared" si="92"/>
        <v>-</v>
      </c>
    </row>
    <row r="101" spans="1:22" ht="16.5" customHeight="1">
      <c r="A101" s="400" t="s">
        <v>83</v>
      </c>
      <c r="B101" s="408"/>
      <c r="C101" s="370"/>
      <c r="D101" s="402">
        <f>D11*'DAĞITICI-ÖTV''SİZ-İHALE HEDEF'!C37</f>
        <v>0</v>
      </c>
      <c r="E101" s="403">
        <f>E11*'DAĞITICI-ÖTV''SİZ-İHALE HEDEF'!D37</f>
        <v>0</v>
      </c>
      <c r="F101" s="403">
        <f>F11*'DAĞITICI-ÖTV''SİZ-İHALE HEDEF'!E37</f>
        <v>0</v>
      </c>
      <c r="G101" s="403">
        <f>G11*'DAĞITICI-ÖTV''SİZ-İHALE HEDEF'!F37</f>
        <v>0</v>
      </c>
      <c r="H101" s="403">
        <f>H11*'DAĞITICI-ÖTV''SİZ-İHALE HEDEF'!G37</f>
        <v>0</v>
      </c>
      <c r="I101" s="403">
        <f>I11*'DAĞITICI-ÖTV''SİZ-İHALE HEDEF'!H37</f>
        <v>0</v>
      </c>
      <c r="J101" s="403">
        <f>J11*'DAĞITICI-ÖTV''SİZ-İHALE HEDEF'!I37</f>
        <v>0</v>
      </c>
      <c r="K101" s="403">
        <f>K11*'DAĞITICI-ÖTV''SİZ-İHALE HEDEF'!J37</f>
        <v>0</v>
      </c>
      <c r="L101" s="403">
        <f>L11*'DAĞITICI-ÖTV''SİZ-İHALE HEDEF'!K37</f>
        <v>0</v>
      </c>
      <c r="M101" s="403">
        <f>M11*'DAĞITICI-ÖTV''SİZ-İHALE HEDEF'!L37</f>
        <v>0</v>
      </c>
      <c r="N101" s="403">
        <f>N11*'DAĞITICI-ÖTV''SİZ-İHALE HEDEF'!M37</f>
        <v>0</v>
      </c>
      <c r="O101" s="404">
        <f>O11*'DAĞITICI-ÖTV''SİZ-İHALE HEDEF'!N37</f>
        <v>0</v>
      </c>
      <c r="P101" s="386">
        <f t="shared" si="93"/>
        <v>0</v>
      </c>
      <c r="Q101" s="405" t="str">
        <f t="shared" si="92"/>
        <v>-</v>
      </c>
    </row>
    <row r="102" spans="1:22" ht="16.5" hidden="1" customHeight="1">
      <c r="A102" s="406" t="s">
        <v>84</v>
      </c>
      <c r="B102" s="378">
        <f>B12*'Alış Fiyat'!B12</f>
        <v>0</v>
      </c>
      <c r="C102" s="379">
        <f>C12*'Alış Fiyat'!C12</f>
        <v>0</v>
      </c>
      <c r="D102" s="407">
        <f>D12*'Alış Fiyat'!D12</f>
        <v>0</v>
      </c>
      <c r="E102" s="382">
        <f>E12*'Alış Fiyat'!E12</f>
        <v>0</v>
      </c>
      <c r="F102" s="382">
        <f>F12*'Alış Fiyat'!F12</f>
        <v>0</v>
      </c>
      <c r="G102" s="382">
        <f>G12*'Alış Fiyat'!G12</f>
        <v>0</v>
      </c>
      <c r="H102" s="382">
        <f>H12*'Alış Fiyat'!H12</f>
        <v>0</v>
      </c>
      <c r="I102" s="381">
        <f>I12*'Alış Fiyat'!I12</f>
        <v>0</v>
      </c>
      <c r="J102" s="381">
        <f>J12*'Alış Fiyat'!J12</f>
        <v>0</v>
      </c>
      <c r="K102" s="382">
        <f>K12*'Alış Fiyat'!K12</f>
        <v>0</v>
      </c>
      <c r="L102" s="382">
        <f>L12*'Alış Fiyat'!L12</f>
        <v>0</v>
      </c>
      <c r="M102" s="382">
        <f>M12*'Alış Fiyat'!M12</f>
        <v>0</v>
      </c>
      <c r="N102" s="382">
        <f>N12*'Alış Fiyat'!N12</f>
        <v>0</v>
      </c>
      <c r="O102" s="383">
        <f>O12*'Alış Fiyat'!O12</f>
        <v>0</v>
      </c>
      <c r="P102" s="399">
        <f t="shared" si="93"/>
        <v>0</v>
      </c>
      <c r="Q102" s="384" t="str">
        <f t="shared" si="92"/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95">SUM(E99:E102)</f>
        <v>0</v>
      </c>
      <c r="F103" s="414">
        <f t="shared" si="95"/>
        <v>0</v>
      </c>
      <c r="G103" s="414">
        <f t="shared" si="95"/>
        <v>0</v>
      </c>
      <c r="H103" s="414">
        <f t="shared" si="95"/>
        <v>0</v>
      </c>
      <c r="I103" s="414">
        <f t="shared" si="95"/>
        <v>0</v>
      </c>
      <c r="J103" s="414">
        <f t="shared" si="95"/>
        <v>0</v>
      </c>
      <c r="K103" s="414">
        <f t="shared" si="95"/>
        <v>0</v>
      </c>
      <c r="L103" s="414">
        <f t="shared" si="95"/>
        <v>0</v>
      </c>
      <c r="M103" s="414">
        <f t="shared" si="95"/>
        <v>0</v>
      </c>
      <c r="N103" s="414">
        <f t="shared" si="95"/>
        <v>0</v>
      </c>
      <c r="O103" s="412">
        <f t="shared" si="95"/>
        <v>0</v>
      </c>
      <c r="P103" s="411">
        <f t="shared" si="95"/>
        <v>0</v>
      </c>
      <c r="Q103" s="415" t="str">
        <f t="shared" si="9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:P104" si="96">SUM(C105:C106)</f>
        <v>0</v>
      </c>
      <c r="D104" s="417">
        <f t="shared" si="96"/>
        <v>0</v>
      </c>
      <c r="E104" s="418">
        <f t="shared" si="96"/>
        <v>0</v>
      </c>
      <c r="F104" s="418">
        <f t="shared" si="96"/>
        <v>0</v>
      </c>
      <c r="G104" s="418">
        <f t="shared" si="96"/>
        <v>0</v>
      </c>
      <c r="H104" s="418">
        <f t="shared" si="96"/>
        <v>0</v>
      </c>
      <c r="I104" s="418">
        <f t="shared" si="96"/>
        <v>0</v>
      </c>
      <c r="J104" s="418">
        <f t="shared" si="96"/>
        <v>0</v>
      </c>
      <c r="K104" s="418">
        <f t="shared" si="96"/>
        <v>0</v>
      </c>
      <c r="L104" s="418">
        <f t="shared" si="96"/>
        <v>0</v>
      </c>
      <c r="M104" s="418">
        <f t="shared" si="96"/>
        <v>0</v>
      </c>
      <c r="N104" s="418">
        <f t="shared" si="96"/>
        <v>0</v>
      </c>
      <c r="O104" s="419">
        <f t="shared" si="96"/>
        <v>0</v>
      </c>
      <c r="P104" s="420">
        <f t="shared" si="96"/>
        <v>0</v>
      </c>
      <c r="Q104" s="421" t="str">
        <f t="shared" si="92"/>
        <v>-</v>
      </c>
    </row>
    <row r="105" spans="1:22" ht="16.5" customHeight="1">
      <c r="A105" s="422" t="s">
        <v>19</v>
      </c>
      <c r="B105" s="423">
        <f>B15*'Alış Fiyat'!B15</f>
        <v>0</v>
      </c>
      <c r="C105" s="424">
        <f>C15*'Alış Fiyat'!C15</f>
        <v>0</v>
      </c>
      <c r="D105" s="425">
        <f>D15*'Alış Fiyat'!D15</f>
        <v>0</v>
      </c>
      <c r="E105" s="426">
        <f>E15*'Alış Fiyat'!E15</f>
        <v>0</v>
      </c>
      <c r="F105" s="426">
        <f>F15*'Alış Fiyat'!F15</f>
        <v>0</v>
      </c>
      <c r="G105" s="426">
        <f>G15*'Alış Fiyat'!G15</f>
        <v>0</v>
      </c>
      <c r="H105" s="426">
        <f>H15*'Alış Fiyat'!H15</f>
        <v>0</v>
      </c>
      <c r="I105" s="426">
        <f>I15*'Alış Fiyat'!I15</f>
        <v>0</v>
      </c>
      <c r="J105" s="426">
        <f>J15*'Alış Fiyat'!J15</f>
        <v>0</v>
      </c>
      <c r="K105" s="426">
        <f>K15*'Alış Fiyat'!K15</f>
        <v>0</v>
      </c>
      <c r="L105" s="426">
        <f>L15*'Alış Fiyat'!L15</f>
        <v>0</v>
      </c>
      <c r="M105" s="426">
        <f>M15*'Alış Fiyat'!M15</f>
        <v>0</v>
      </c>
      <c r="N105" s="426">
        <f>N15*'Alış Fiyat'!N15</f>
        <v>0</v>
      </c>
      <c r="O105" s="427">
        <f>O15*'Alış Fiyat'!O15</f>
        <v>0</v>
      </c>
      <c r="P105" s="428">
        <f>SUM(D105:O105)</f>
        <v>0</v>
      </c>
      <c r="Q105" s="429" t="str">
        <f t="shared" si="92"/>
        <v>-</v>
      </c>
    </row>
    <row r="106" spans="1:22" ht="16.5" customHeight="1" thickBot="1">
      <c r="A106" s="430" t="s">
        <v>20</v>
      </c>
      <c r="B106" s="431">
        <f>B16*'Alış Fiyat'!B16</f>
        <v>0</v>
      </c>
      <c r="C106" s="432">
        <f>C16*'Alış Fiyat'!C16</f>
        <v>0</v>
      </c>
      <c r="D106" s="433">
        <f>D16*'Alış Fiyat'!D16</f>
        <v>0</v>
      </c>
      <c r="E106" s="434">
        <f>E16*'Alış Fiyat'!E16</f>
        <v>0</v>
      </c>
      <c r="F106" s="434">
        <f>F16*'Alış Fiyat'!F16</f>
        <v>0</v>
      </c>
      <c r="G106" s="434">
        <f>G16*'Alış Fiyat'!G16</f>
        <v>0</v>
      </c>
      <c r="H106" s="434">
        <f>H16*'Alış Fiyat'!H16</f>
        <v>0</v>
      </c>
      <c r="I106" s="434">
        <f>I16*'Alış Fiyat'!I16</f>
        <v>0</v>
      </c>
      <c r="J106" s="434">
        <f>J16*'Alış Fiyat'!J16</f>
        <v>0</v>
      </c>
      <c r="K106" s="434">
        <f>K16*'Alış Fiyat'!K16</f>
        <v>0</v>
      </c>
      <c r="L106" s="434">
        <f>L16*'Alış Fiyat'!L16</f>
        <v>0</v>
      </c>
      <c r="M106" s="434">
        <f>M16*'Alış Fiyat'!M16</f>
        <v>0</v>
      </c>
      <c r="N106" s="434">
        <f>N16*'Alış Fiyat'!N16</f>
        <v>0</v>
      </c>
      <c r="O106" s="435">
        <f>O16*'Alış Fiyat'!O16</f>
        <v>0</v>
      </c>
      <c r="P106" s="436">
        <f>SUM(D106:O106)</f>
        <v>0</v>
      </c>
      <c r="Q106" s="437" t="str">
        <f t="shared" si="92"/>
        <v>-</v>
      </c>
    </row>
    <row r="107" spans="1:22" ht="22.5" customHeight="1" thickBot="1">
      <c r="A107" s="362" t="s">
        <v>30</v>
      </c>
      <c r="B107" s="363">
        <f t="shared" ref="B107:P107" si="97">SUM(B108:B109)</f>
        <v>0</v>
      </c>
      <c r="C107" s="416">
        <f t="shared" si="97"/>
        <v>0</v>
      </c>
      <c r="D107" s="417">
        <f t="shared" si="97"/>
        <v>0</v>
      </c>
      <c r="E107" s="418">
        <f t="shared" si="97"/>
        <v>0</v>
      </c>
      <c r="F107" s="418">
        <f t="shared" si="97"/>
        <v>0</v>
      </c>
      <c r="G107" s="418">
        <f t="shared" si="97"/>
        <v>0</v>
      </c>
      <c r="H107" s="418">
        <f t="shared" si="97"/>
        <v>0</v>
      </c>
      <c r="I107" s="418">
        <f t="shared" si="97"/>
        <v>0</v>
      </c>
      <c r="J107" s="418">
        <f t="shared" si="97"/>
        <v>0</v>
      </c>
      <c r="K107" s="418">
        <f t="shared" si="97"/>
        <v>0</v>
      </c>
      <c r="L107" s="418">
        <f t="shared" si="97"/>
        <v>0</v>
      </c>
      <c r="M107" s="418">
        <f t="shared" si="97"/>
        <v>0</v>
      </c>
      <c r="N107" s="418">
        <f t="shared" si="97"/>
        <v>0</v>
      </c>
      <c r="O107" s="419">
        <f t="shared" si="97"/>
        <v>0</v>
      </c>
      <c r="P107" s="420">
        <f t="shared" si="97"/>
        <v>0</v>
      </c>
      <c r="Q107" s="421" t="str">
        <f t="shared" si="92"/>
        <v>-</v>
      </c>
    </row>
    <row r="108" spans="1:22" ht="16.5" customHeight="1">
      <c r="A108" s="422" t="s">
        <v>106</v>
      </c>
      <c r="B108" s="423"/>
      <c r="C108" s="424"/>
      <c r="D108" s="425">
        <f>D18*'Alış Fiyat'!D18</f>
        <v>0</v>
      </c>
      <c r="E108" s="426">
        <f>E18*'Alış Fiyat'!E18</f>
        <v>0</v>
      </c>
      <c r="F108" s="426">
        <f>F18*'Alış Fiyat'!F18</f>
        <v>0</v>
      </c>
      <c r="G108" s="426">
        <f>G18*'Alış Fiyat'!G18</f>
        <v>0</v>
      </c>
      <c r="H108" s="426">
        <f>H18*'Alış Fiyat'!H18</f>
        <v>0</v>
      </c>
      <c r="I108" s="426">
        <f>I18*'Alış Fiyat'!I18</f>
        <v>0</v>
      </c>
      <c r="J108" s="426">
        <f>J18*'Alış Fiyat'!J18</f>
        <v>0</v>
      </c>
      <c r="K108" s="426">
        <f>K18*'Alış Fiyat'!K18</f>
        <v>0</v>
      </c>
      <c r="L108" s="426">
        <f>L18*'Alış Fiyat'!L18</f>
        <v>0</v>
      </c>
      <c r="M108" s="426">
        <f>M18*'Alış Fiyat'!M18</f>
        <v>0</v>
      </c>
      <c r="N108" s="426">
        <f>N18*'Alış Fiyat'!N18</f>
        <v>0</v>
      </c>
      <c r="O108" s="427">
        <f>O18*'Alış Fiyat'!O18</f>
        <v>0</v>
      </c>
      <c r="P108" s="428">
        <f>SUM(D108:O108)</f>
        <v>0</v>
      </c>
      <c r="Q108" s="429" t="str">
        <f t="shared" si="92"/>
        <v>-</v>
      </c>
    </row>
    <row r="109" spans="1:22" ht="16.5" customHeight="1" thickBot="1">
      <c r="A109" s="438" t="s">
        <v>105</v>
      </c>
      <c r="B109" s="439"/>
      <c r="C109" s="440"/>
      <c r="D109" s="441">
        <f>D19*'Alış Fiyat'!D19</f>
        <v>0</v>
      </c>
      <c r="E109" s="442">
        <f>E19*'Alış Fiyat'!E19</f>
        <v>0</v>
      </c>
      <c r="F109" s="442">
        <f>F19*'Alış Fiyat'!F19</f>
        <v>0</v>
      </c>
      <c r="G109" s="442">
        <f>G19*'Alış Fiyat'!G19</f>
        <v>0</v>
      </c>
      <c r="H109" s="442">
        <f>H19*'Alış Fiyat'!H19</f>
        <v>0</v>
      </c>
      <c r="I109" s="442">
        <f>I19*'Alış Fiyat'!I19</f>
        <v>0</v>
      </c>
      <c r="J109" s="442">
        <f>J19*'Alış Fiyat'!J19</f>
        <v>0</v>
      </c>
      <c r="K109" s="442">
        <f>K19*'Alış Fiyat'!K19</f>
        <v>0</v>
      </c>
      <c r="L109" s="442">
        <f>L19*'Alış Fiyat'!L19</f>
        <v>0</v>
      </c>
      <c r="M109" s="442">
        <f>M19*'Alış Fiyat'!M19</f>
        <v>0</v>
      </c>
      <c r="N109" s="442">
        <f>N19*'Alış Fiyat'!N19</f>
        <v>0</v>
      </c>
      <c r="O109" s="443">
        <f>O19*'Alış Fiyat'!O19</f>
        <v>0</v>
      </c>
      <c r="P109" s="444">
        <f>SUM(D109:O109)</f>
        <v>0</v>
      </c>
      <c r="Q109" s="445" t="str">
        <f t="shared" si="9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>
        <f>B21*'Alış Fiyat'!B21</f>
        <v>0</v>
      </c>
      <c r="C111" s="364">
        <f>C21*'Alış Fiyat'!C21</f>
        <v>0</v>
      </c>
      <c r="D111" s="365">
        <f>D21*'Alış Fiyat'!D21</f>
        <v>0</v>
      </c>
      <c r="E111" s="366">
        <f>E21*'Alış Fiyat'!E21</f>
        <v>0</v>
      </c>
      <c r="F111" s="366">
        <f>F21*'Alış Fiyat'!F21</f>
        <v>0</v>
      </c>
      <c r="G111" s="366">
        <f>G21*'Alış Fiyat'!G21</f>
        <v>0</v>
      </c>
      <c r="H111" s="366">
        <f>H21*'Alış Fiyat'!H21</f>
        <v>0</v>
      </c>
      <c r="I111" s="366">
        <f>I21*'Alış Fiyat'!I21</f>
        <v>0</v>
      </c>
      <c r="J111" s="366">
        <f>J21*'Alış Fiyat'!J21</f>
        <v>0</v>
      </c>
      <c r="K111" s="366">
        <f>K21*'Alış Fiyat'!K21</f>
        <v>0</v>
      </c>
      <c r="L111" s="366">
        <f>L21*'Alış Fiyat'!L21</f>
        <v>0</v>
      </c>
      <c r="M111" s="366">
        <f>M21*'Alış Fiyat'!M21</f>
        <v>0</v>
      </c>
      <c r="N111" s="366">
        <f>N21*'Alış Fiyat'!N21</f>
        <v>0</v>
      </c>
      <c r="O111" s="448">
        <f>O21*'Alış Fiyat'!O21</f>
        <v>0</v>
      </c>
      <c r="P111" s="363">
        <f>SUM(D111:O111)</f>
        <v>0</v>
      </c>
      <c r="Q111" s="367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:P113" si="98">+C94+C104+C107+C111</f>
        <v>0</v>
      </c>
      <c r="D113" s="365">
        <f t="shared" si="98"/>
        <v>0</v>
      </c>
      <c r="E113" s="366">
        <f t="shared" si="98"/>
        <v>0</v>
      </c>
      <c r="F113" s="366">
        <f t="shared" si="98"/>
        <v>0</v>
      </c>
      <c r="G113" s="366">
        <f t="shared" si="98"/>
        <v>0</v>
      </c>
      <c r="H113" s="366">
        <f t="shared" si="98"/>
        <v>0</v>
      </c>
      <c r="I113" s="366">
        <f t="shared" si="98"/>
        <v>0</v>
      </c>
      <c r="J113" s="366">
        <f t="shared" si="98"/>
        <v>0</v>
      </c>
      <c r="K113" s="366">
        <f t="shared" si="98"/>
        <v>0</v>
      </c>
      <c r="L113" s="366">
        <f t="shared" si="98"/>
        <v>0</v>
      </c>
      <c r="M113" s="366">
        <f t="shared" si="98"/>
        <v>0</v>
      </c>
      <c r="N113" s="366">
        <f t="shared" si="98"/>
        <v>0</v>
      </c>
      <c r="O113" s="448">
        <f t="shared" si="98"/>
        <v>0</v>
      </c>
      <c r="P113" s="363">
        <f t="shared" si="98"/>
        <v>0</v>
      </c>
      <c r="Q113" s="367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937" t="s">
        <v>638</v>
      </c>
    </row>
    <row r="116" spans="1:22" ht="30.75" customHeight="1" thickBot="1">
      <c r="A116" s="356"/>
      <c r="B116" s="357" t="s">
        <v>657</v>
      </c>
      <c r="C116" s="357" t="s">
        <v>663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94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:P117" si="99">C120+C121+C126</f>
        <v>0</v>
      </c>
      <c r="D117" s="365">
        <f t="shared" si="99"/>
        <v>0</v>
      </c>
      <c r="E117" s="366">
        <f t="shared" si="99"/>
        <v>0</v>
      </c>
      <c r="F117" s="366">
        <f t="shared" si="99"/>
        <v>0</v>
      </c>
      <c r="G117" s="366">
        <f t="shared" si="99"/>
        <v>0</v>
      </c>
      <c r="H117" s="366">
        <f t="shared" si="99"/>
        <v>0</v>
      </c>
      <c r="I117" s="366">
        <f t="shared" si="99"/>
        <v>0</v>
      </c>
      <c r="J117" s="366">
        <f t="shared" si="99"/>
        <v>0</v>
      </c>
      <c r="K117" s="366">
        <f t="shared" si="99"/>
        <v>0</v>
      </c>
      <c r="L117" s="366">
        <f t="shared" si="99"/>
        <v>0</v>
      </c>
      <c r="M117" s="366">
        <f t="shared" si="99"/>
        <v>0</v>
      </c>
      <c r="N117" s="366">
        <f t="shared" si="99"/>
        <v>0</v>
      </c>
      <c r="O117" s="364">
        <f t="shared" si="99"/>
        <v>0</v>
      </c>
      <c r="P117" s="363">
        <f t="shared" si="99"/>
        <v>0</v>
      </c>
      <c r="Q117" s="367" t="str">
        <f t="shared" ref="Q117:Q132" si="100">IF(P117=0,"-",P117/C117-1)</f>
        <v>-</v>
      </c>
    </row>
    <row r="118" spans="1:22" ht="16.5" customHeight="1">
      <c r="A118" s="368" t="s">
        <v>15</v>
      </c>
      <c r="B118" s="369">
        <f t="shared" ref="B118:O119" si="101">+B72-B95</f>
        <v>0</v>
      </c>
      <c r="C118" s="370">
        <f t="shared" si="101"/>
        <v>0</v>
      </c>
      <c r="D118" s="371">
        <f t="shared" si="101"/>
        <v>0</v>
      </c>
      <c r="E118" s="372">
        <f t="shared" si="101"/>
        <v>0</v>
      </c>
      <c r="F118" s="372">
        <f t="shared" si="101"/>
        <v>0</v>
      </c>
      <c r="G118" s="372">
        <f t="shared" si="101"/>
        <v>0</v>
      </c>
      <c r="H118" s="373">
        <f t="shared" si="101"/>
        <v>0</v>
      </c>
      <c r="I118" s="373">
        <f t="shared" si="101"/>
        <v>0</v>
      </c>
      <c r="J118" s="373">
        <f t="shared" si="101"/>
        <v>0</v>
      </c>
      <c r="K118" s="373">
        <f t="shared" si="101"/>
        <v>0</v>
      </c>
      <c r="L118" s="373">
        <f t="shared" si="101"/>
        <v>0</v>
      </c>
      <c r="M118" s="373">
        <f t="shared" si="101"/>
        <v>0</v>
      </c>
      <c r="N118" s="373">
        <f t="shared" si="101"/>
        <v>0</v>
      </c>
      <c r="O118" s="374">
        <f t="shared" si="101"/>
        <v>0</v>
      </c>
      <c r="P118" s="369">
        <f t="shared" ref="P118:P125" si="102">SUM(D118:O118)</f>
        <v>0</v>
      </c>
      <c r="Q118" s="375" t="str">
        <f t="shared" si="100"/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01"/>
        <v>0</v>
      </c>
      <c r="C119" s="379">
        <f t="shared" si="101"/>
        <v>0</v>
      </c>
      <c r="D119" s="380">
        <f t="shared" si="101"/>
        <v>0</v>
      </c>
      <c r="E119" s="381">
        <f t="shared" si="101"/>
        <v>0</v>
      </c>
      <c r="F119" s="381">
        <f t="shared" si="101"/>
        <v>0</v>
      </c>
      <c r="G119" s="381">
        <f t="shared" si="101"/>
        <v>0</v>
      </c>
      <c r="H119" s="382">
        <f t="shared" si="101"/>
        <v>0</v>
      </c>
      <c r="I119" s="382">
        <f t="shared" si="101"/>
        <v>0</v>
      </c>
      <c r="J119" s="382">
        <f t="shared" si="101"/>
        <v>0</v>
      </c>
      <c r="K119" s="382">
        <f t="shared" si="101"/>
        <v>0</v>
      </c>
      <c r="L119" s="382">
        <f t="shared" si="101"/>
        <v>0</v>
      </c>
      <c r="M119" s="382">
        <f t="shared" si="101"/>
        <v>0</v>
      </c>
      <c r="N119" s="382">
        <f t="shared" si="101"/>
        <v>0</v>
      </c>
      <c r="O119" s="383">
        <f t="shared" si="101"/>
        <v>0</v>
      </c>
      <c r="P119" s="378">
        <f t="shared" si="102"/>
        <v>0</v>
      </c>
      <c r="Q119" s="384" t="str">
        <f t="shared" si="100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03">SUM(D118:D119)</f>
        <v>0</v>
      </c>
      <c r="E120" s="389">
        <f t="shared" si="103"/>
        <v>0</v>
      </c>
      <c r="F120" s="389">
        <f t="shared" si="103"/>
        <v>0</v>
      </c>
      <c r="G120" s="389">
        <f t="shared" si="103"/>
        <v>0</v>
      </c>
      <c r="H120" s="389">
        <f t="shared" si="103"/>
        <v>0</v>
      </c>
      <c r="I120" s="389">
        <f t="shared" si="103"/>
        <v>0</v>
      </c>
      <c r="J120" s="389">
        <f t="shared" si="103"/>
        <v>0</v>
      </c>
      <c r="K120" s="389">
        <f t="shared" si="103"/>
        <v>0</v>
      </c>
      <c r="L120" s="389">
        <f t="shared" si="103"/>
        <v>0</v>
      </c>
      <c r="M120" s="389">
        <f t="shared" si="103"/>
        <v>0</v>
      </c>
      <c r="N120" s="389">
        <f t="shared" si="103"/>
        <v>0</v>
      </c>
      <c r="O120" s="390">
        <f t="shared" si="103"/>
        <v>0</v>
      </c>
      <c r="P120" s="391">
        <f>SUM(D120:O120)</f>
        <v>0</v>
      </c>
      <c r="Q120" s="449" t="str">
        <f t="shared" si="100"/>
        <v>-</v>
      </c>
    </row>
    <row r="121" spans="1:22" ht="16.5" customHeight="1">
      <c r="A121" s="393" t="s">
        <v>17</v>
      </c>
      <c r="B121" s="394">
        <f t="shared" ref="B121:O125" si="104">+B75-B98</f>
        <v>0</v>
      </c>
      <c r="C121" s="395">
        <f t="shared" si="104"/>
        <v>0</v>
      </c>
      <c r="D121" s="396">
        <f t="shared" si="104"/>
        <v>0</v>
      </c>
      <c r="E121" s="397">
        <f t="shared" si="104"/>
        <v>0</v>
      </c>
      <c r="F121" s="397">
        <f t="shared" si="104"/>
        <v>0</v>
      </c>
      <c r="G121" s="397">
        <f t="shared" si="104"/>
        <v>0</v>
      </c>
      <c r="H121" s="397">
        <f t="shared" si="104"/>
        <v>0</v>
      </c>
      <c r="I121" s="397">
        <f t="shared" si="104"/>
        <v>0</v>
      </c>
      <c r="J121" s="397">
        <f t="shared" si="104"/>
        <v>0</v>
      </c>
      <c r="K121" s="397">
        <f t="shared" si="104"/>
        <v>0</v>
      </c>
      <c r="L121" s="397">
        <f t="shared" si="104"/>
        <v>0</v>
      </c>
      <c r="M121" s="397">
        <f t="shared" si="104"/>
        <v>0</v>
      </c>
      <c r="N121" s="397">
        <f t="shared" si="104"/>
        <v>0</v>
      </c>
      <c r="O121" s="398">
        <f t="shared" si="104"/>
        <v>0</v>
      </c>
      <c r="P121" s="399">
        <f t="shared" si="102"/>
        <v>0</v>
      </c>
      <c r="Q121" s="384" t="str">
        <f t="shared" si="100"/>
        <v>-</v>
      </c>
    </row>
    <row r="122" spans="1:22" ht="16.5" customHeight="1">
      <c r="A122" s="400" t="s">
        <v>81</v>
      </c>
      <c r="B122" s="391">
        <f t="shared" si="104"/>
        <v>0</v>
      </c>
      <c r="C122" s="450">
        <f t="shared" si="104"/>
        <v>0</v>
      </c>
      <c r="D122" s="402">
        <f t="shared" si="104"/>
        <v>0</v>
      </c>
      <c r="E122" s="403">
        <f t="shared" si="104"/>
        <v>0</v>
      </c>
      <c r="F122" s="403">
        <f t="shared" si="104"/>
        <v>0</v>
      </c>
      <c r="G122" s="403">
        <f t="shared" si="104"/>
        <v>0</v>
      </c>
      <c r="H122" s="403">
        <f t="shared" si="104"/>
        <v>0</v>
      </c>
      <c r="I122" s="403">
        <f t="shared" si="104"/>
        <v>0</v>
      </c>
      <c r="J122" s="403">
        <f t="shared" si="104"/>
        <v>0</v>
      </c>
      <c r="K122" s="403">
        <f t="shared" si="104"/>
        <v>0</v>
      </c>
      <c r="L122" s="403">
        <f t="shared" si="104"/>
        <v>0</v>
      </c>
      <c r="M122" s="403">
        <f t="shared" si="104"/>
        <v>0</v>
      </c>
      <c r="N122" s="403">
        <f t="shared" si="104"/>
        <v>0</v>
      </c>
      <c r="O122" s="404">
        <f t="shared" si="104"/>
        <v>0</v>
      </c>
      <c r="P122" s="386">
        <f t="shared" si="102"/>
        <v>0</v>
      </c>
      <c r="Q122" s="405" t="str">
        <f t="shared" si="100"/>
        <v>-</v>
      </c>
    </row>
    <row r="123" spans="1:22" ht="16.5" hidden="1" customHeight="1">
      <c r="A123" s="406" t="s">
        <v>82</v>
      </c>
      <c r="B123" s="394">
        <f t="shared" si="104"/>
        <v>0</v>
      </c>
      <c r="C123" s="395">
        <f t="shared" si="104"/>
        <v>0</v>
      </c>
      <c r="D123" s="407">
        <f t="shared" si="104"/>
        <v>0</v>
      </c>
      <c r="E123" s="382">
        <f t="shared" si="104"/>
        <v>0</v>
      </c>
      <c r="F123" s="382">
        <f t="shared" si="104"/>
        <v>0</v>
      </c>
      <c r="G123" s="382">
        <f t="shared" si="104"/>
        <v>0</v>
      </c>
      <c r="H123" s="382">
        <f t="shared" si="104"/>
        <v>0</v>
      </c>
      <c r="I123" s="382">
        <f t="shared" si="104"/>
        <v>0</v>
      </c>
      <c r="J123" s="382">
        <f t="shared" si="104"/>
        <v>0</v>
      </c>
      <c r="K123" s="382">
        <f t="shared" si="104"/>
        <v>0</v>
      </c>
      <c r="L123" s="382">
        <f t="shared" si="104"/>
        <v>0</v>
      </c>
      <c r="M123" s="382">
        <f t="shared" si="104"/>
        <v>0</v>
      </c>
      <c r="N123" s="382">
        <f t="shared" si="104"/>
        <v>0</v>
      </c>
      <c r="O123" s="383">
        <f t="shared" si="104"/>
        <v>0</v>
      </c>
      <c r="P123" s="399">
        <f t="shared" si="102"/>
        <v>0</v>
      </c>
      <c r="Q123" s="384" t="str">
        <f t="shared" si="100"/>
        <v>-</v>
      </c>
    </row>
    <row r="124" spans="1:22" ht="16.5" customHeight="1">
      <c r="A124" s="400" t="s">
        <v>83</v>
      </c>
      <c r="B124" s="408">
        <f t="shared" si="104"/>
        <v>0</v>
      </c>
      <c r="C124" s="409">
        <f t="shared" si="104"/>
        <v>0</v>
      </c>
      <c r="D124" s="402">
        <f t="shared" si="104"/>
        <v>0</v>
      </c>
      <c r="E124" s="403">
        <f t="shared" si="104"/>
        <v>0</v>
      </c>
      <c r="F124" s="403">
        <f t="shared" si="104"/>
        <v>0</v>
      </c>
      <c r="G124" s="403">
        <f t="shared" si="104"/>
        <v>0</v>
      </c>
      <c r="H124" s="403">
        <f t="shared" si="104"/>
        <v>0</v>
      </c>
      <c r="I124" s="403">
        <f t="shared" si="104"/>
        <v>0</v>
      </c>
      <c r="J124" s="403">
        <f t="shared" si="104"/>
        <v>0</v>
      </c>
      <c r="K124" s="403">
        <f t="shared" si="104"/>
        <v>0</v>
      </c>
      <c r="L124" s="403">
        <f t="shared" si="104"/>
        <v>0</v>
      </c>
      <c r="M124" s="403">
        <f t="shared" si="104"/>
        <v>0</v>
      </c>
      <c r="N124" s="403">
        <f t="shared" si="104"/>
        <v>0</v>
      </c>
      <c r="O124" s="404">
        <f t="shared" si="104"/>
        <v>0</v>
      </c>
      <c r="P124" s="386">
        <f t="shared" si="102"/>
        <v>0</v>
      </c>
      <c r="Q124" s="405" t="str">
        <f t="shared" si="100"/>
        <v>-</v>
      </c>
    </row>
    <row r="125" spans="1:22" ht="16.5" hidden="1" customHeight="1">
      <c r="A125" s="406" t="s">
        <v>84</v>
      </c>
      <c r="B125" s="378">
        <f t="shared" si="104"/>
        <v>0</v>
      </c>
      <c r="C125" s="379">
        <f t="shared" si="104"/>
        <v>0</v>
      </c>
      <c r="D125" s="407">
        <f t="shared" si="104"/>
        <v>0</v>
      </c>
      <c r="E125" s="382">
        <f t="shared" si="104"/>
        <v>0</v>
      </c>
      <c r="F125" s="382">
        <f t="shared" si="104"/>
        <v>0</v>
      </c>
      <c r="G125" s="382">
        <f t="shared" si="104"/>
        <v>0</v>
      </c>
      <c r="H125" s="382">
        <f t="shared" si="104"/>
        <v>0</v>
      </c>
      <c r="I125" s="381">
        <f t="shared" si="104"/>
        <v>0</v>
      </c>
      <c r="J125" s="381">
        <f t="shared" si="104"/>
        <v>0</v>
      </c>
      <c r="K125" s="382">
        <f t="shared" si="104"/>
        <v>0</v>
      </c>
      <c r="L125" s="382">
        <f t="shared" si="104"/>
        <v>0</v>
      </c>
      <c r="M125" s="382">
        <f t="shared" si="104"/>
        <v>0</v>
      </c>
      <c r="N125" s="382">
        <f t="shared" si="104"/>
        <v>0</v>
      </c>
      <c r="O125" s="383">
        <f t="shared" si="104"/>
        <v>0</v>
      </c>
      <c r="P125" s="399">
        <f t="shared" si="102"/>
        <v>0</v>
      </c>
      <c r="Q125" s="384" t="str">
        <f t="shared" si="100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>SUM(B122:B125)</f>
        <v>0</v>
      </c>
      <c r="C126" s="412">
        <f>SUM(C122:C125)</f>
        <v>0</v>
      </c>
      <c r="D126" s="413">
        <f>SUM(D122:D125)</f>
        <v>0</v>
      </c>
      <c r="E126" s="414">
        <f t="shared" ref="E126:P126" si="105">SUM(E122:E125)</f>
        <v>0</v>
      </c>
      <c r="F126" s="414">
        <f t="shared" si="105"/>
        <v>0</v>
      </c>
      <c r="G126" s="414">
        <f t="shared" si="105"/>
        <v>0</v>
      </c>
      <c r="H126" s="414">
        <f t="shared" si="105"/>
        <v>0</v>
      </c>
      <c r="I126" s="414">
        <f t="shared" si="105"/>
        <v>0</v>
      </c>
      <c r="J126" s="414">
        <f t="shared" si="105"/>
        <v>0</v>
      </c>
      <c r="K126" s="414">
        <f t="shared" si="105"/>
        <v>0</v>
      </c>
      <c r="L126" s="414">
        <f t="shared" si="105"/>
        <v>0</v>
      </c>
      <c r="M126" s="414">
        <f t="shared" si="105"/>
        <v>0</v>
      </c>
      <c r="N126" s="414">
        <f t="shared" si="105"/>
        <v>0</v>
      </c>
      <c r="O126" s="412">
        <f t="shared" si="105"/>
        <v>0</v>
      </c>
      <c r="P126" s="411">
        <f t="shared" si="105"/>
        <v>0</v>
      </c>
      <c r="Q126" s="415" t="str">
        <f t="shared" si="100"/>
        <v>-</v>
      </c>
    </row>
    <row r="127" spans="1:22" ht="22.5" customHeight="1" thickBot="1">
      <c r="A127" s="362" t="s">
        <v>29</v>
      </c>
      <c r="B127" s="420">
        <f t="shared" ref="B127:O129" si="106">+B81-B104</f>
        <v>0</v>
      </c>
      <c r="C127" s="416">
        <f t="shared" si="106"/>
        <v>0</v>
      </c>
      <c r="D127" s="417">
        <f t="shared" si="106"/>
        <v>0</v>
      </c>
      <c r="E127" s="418">
        <f t="shared" si="106"/>
        <v>0</v>
      </c>
      <c r="F127" s="418">
        <f t="shared" si="106"/>
        <v>0</v>
      </c>
      <c r="G127" s="418">
        <f t="shared" si="106"/>
        <v>0</v>
      </c>
      <c r="H127" s="418">
        <f t="shared" si="106"/>
        <v>0</v>
      </c>
      <c r="I127" s="418">
        <f t="shared" si="106"/>
        <v>0</v>
      </c>
      <c r="J127" s="418">
        <f t="shared" si="106"/>
        <v>0</v>
      </c>
      <c r="K127" s="418">
        <f t="shared" si="106"/>
        <v>0</v>
      </c>
      <c r="L127" s="418">
        <f t="shared" si="106"/>
        <v>0</v>
      </c>
      <c r="M127" s="418">
        <f t="shared" si="106"/>
        <v>0</v>
      </c>
      <c r="N127" s="418">
        <f t="shared" si="106"/>
        <v>0</v>
      </c>
      <c r="O127" s="419">
        <f t="shared" si="106"/>
        <v>0</v>
      </c>
      <c r="P127" s="420">
        <f>SUM(P128:P129)</f>
        <v>0</v>
      </c>
      <c r="Q127" s="421" t="str">
        <f t="shared" si="100"/>
        <v>-</v>
      </c>
    </row>
    <row r="128" spans="1:22" ht="16.5" customHeight="1">
      <c r="A128" s="422" t="s">
        <v>19</v>
      </c>
      <c r="B128" s="423">
        <f t="shared" si="106"/>
        <v>0</v>
      </c>
      <c r="C128" s="424">
        <f t="shared" si="106"/>
        <v>0</v>
      </c>
      <c r="D128" s="425">
        <f t="shared" si="106"/>
        <v>0</v>
      </c>
      <c r="E128" s="426">
        <f t="shared" si="106"/>
        <v>0</v>
      </c>
      <c r="F128" s="426">
        <f t="shared" si="106"/>
        <v>0</v>
      </c>
      <c r="G128" s="426">
        <f t="shared" si="106"/>
        <v>0</v>
      </c>
      <c r="H128" s="426">
        <f t="shared" si="106"/>
        <v>0</v>
      </c>
      <c r="I128" s="426">
        <f t="shared" si="106"/>
        <v>0</v>
      </c>
      <c r="J128" s="426">
        <f t="shared" si="106"/>
        <v>0</v>
      </c>
      <c r="K128" s="426">
        <f t="shared" si="106"/>
        <v>0</v>
      </c>
      <c r="L128" s="426">
        <f t="shared" si="106"/>
        <v>0</v>
      </c>
      <c r="M128" s="426">
        <f t="shared" si="106"/>
        <v>0</v>
      </c>
      <c r="N128" s="426">
        <f t="shared" si="106"/>
        <v>0</v>
      </c>
      <c r="O128" s="427">
        <f t="shared" si="106"/>
        <v>0</v>
      </c>
      <c r="P128" s="428">
        <f>SUM(D128:O128)</f>
        <v>0</v>
      </c>
      <c r="Q128" s="429" t="str">
        <f t="shared" si="100"/>
        <v>-</v>
      </c>
    </row>
    <row r="129" spans="1:17" ht="16.5" customHeight="1" thickBot="1">
      <c r="A129" s="430" t="s">
        <v>20</v>
      </c>
      <c r="B129" s="431">
        <f t="shared" si="106"/>
        <v>0</v>
      </c>
      <c r="C129" s="432">
        <f t="shared" si="106"/>
        <v>0</v>
      </c>
      <c r="D129" s="433">
        <f t="shared" si="106"/>
        <v>0</v>
      </c>
      <c r="E129" s="434">
        <f t="shared" si="106"/>
        <v>0</v>
      </c>
      <c r="F129" s="434">
        <f t="shared" si="106"/>
        <v>0</v>
      </c>
      <c r="G129" s="434">
        <f t="shared" si="106"/>
        <v>0</v>
      </c>
      <c r="H129" s="434">
        <f t="shared" si="106"/>
        <v>0</v>
      </c>
      <c r="I129" s="434">
        <f t="shared" si="106"/>
        <v>0</v>
      </c>
      <c r="J129" s="434">
        <f t="shared" si="106"/>
        <v>0</v>
      </c>
      <c r="K129" s="434">
        <f t="shared" si="106"/>
        <v>0</v>
      </c>
      <c r="L129" s="434">
        <f t="shared" si="106"/>
        <v>0</v>
      </c>
      <c r="M129" s="434">
        <f t="shared" si="106"/>
        <v>0</v>
      </c>
      <c r="N129" s="434">
        <f t="shared" si="106"/>
        <v>0</v>
      </c>
      <c r="O129" s="435">
        <f t="shared" si="106"/>
        <v>0</v>
      </c>
      <c r="P129" s="436">
        <f>SUM(D129:O129)</f>
        <v>0</v>
      </c>
      <c r="Q129" s="437" t="str">
        <f t="shared" si="100"/>
        <v>-</v>
      </c>
    </row>
    <row r="130" spans="1:17" ht="22.5" customHeight="1" thickBot="1">
      <c r="A130" s="362" t="s">
        <v>30</v>
      </c>
      <c r="B130" s="363">
        <f t="shared" ref="B130:P130" si="107">SUM(B131:B132)</f>
        <v>0</v>
      </c>
      <c r="C130" s="416">
        <f t="shared" si="107"/>
        <v>0</v>
      </c>
      <c r="D130" s="417">
        <f t="shared" si="107"/>
        <v>0</v>
      </c>
      <c r="E130" s="418">
        <f t="shared" si="107"/>
        <v>0</v>
      </c>
      <c r="F130" s="418">
        <f t="shared" si="107"/>
        <v>0</v>
      </c>
      <c r="G130" s="418">
        <f t="shared" si="107"/>
        <v>0</v>
      </c>
      <c r="H130" s="418">
        <f t="shared" si="107"/>
        <v>0</v>
      </c>
      <c r="I130" s="418">
        <f t="shared" si="107"/>
        <v>0</v>
      </c>
      <c r="J130" s="418">
        <f t="shared" si="107"/>
        <v>0</v>
      </c>
      <c r="K130" s="418">
        <f t="shared" si="107"/>
        <v>0</v>
      </c>
      <c r="L130" s="418">
        <f t="shared" si="107"/>
        <v>0</v>
      </c>
      <c r="M130" s="418">
        <f t="shared" si="107"/>
        <v>0</v>
      </c>
      <c r="N130" s="418">
        <f t="shared" si="107"/>
        <v>0</v>
      </c>
      <c r="O130" s="419">
        <f t="shared" si="107"/>
        <v>0</v>
      </c>
      <c r="P130" s="420">
        <f t="shared" si="107"/>
        <v>0</v>
      </c>
      <c r="Q130" s="421" t="str">
        <f t="shared" si="100"/>
        <v>-</v>
      </c>
    </row>
    <row r="131" spans="1:17" ht="16.5" customHeight="1">
      <c r="A131" s="422" t="s">
        <v>106</v>
      </c>
      <c r="B131" s="423">
        <f t="shared" ref="B131:O132" si="108">+B85-B108</f>
        <v>0</v>
      </c>
      <c r="C131" s="424">
        <f t="shared" si="108"/>
        <v>0</v>
      </c>
      <c r="D131" s="425">
        <f t="shared" si="108"/>
        <v>0</v>
      </c>
      <c r="E131" s="426">
        <f t="shared" si="108"/>
        <v>0</v>
      </c>
      <c r="F131" s="426">
        <f t="shared" si="108"/>
        <v>0</v>
      </c>
      <c r="G131" s="426">
        <f t="shared" si="108"/>
        <v>0</v>
      </c>
      <c r="H131" s="426">
        <f t="shared" si="108"/>
        <v>0</v>
      </c>
      <c r="I131" s="426">
        <f t="shared" si="108"/>
        <v>0</v>
      </c>
      <c r="J131" s="426">
        <f t="shared" si="108"/>
        <v>0</v>
      </c>
      <c r="K131" s="426">
        <f t="shared" si="108"/>
        <v>0</v>
      </c>
      <c r="L131" s="426">
        <f t="shared" si="108"/>
        <v>0</v>
      </c>
      <c r="M131" s="426">
        <f t="shared" si="108"/>
        <v>0</v>
      </c>
      <c r="N131" s="426">
        <f t="shared" si="108"/>
        <v>0</v>
      </c>
      <c r="O131" s="427">
        <f t="shared" si="108"/>
        <v>0</v>
      </c>
      <c r="P131" s="428">
        <f>SUM(D131:O131)</f>
        <v>0</v>
      </c>
      <c r="Q131" s="429" t="str">
        <f t="shared" si="100"/>
        <v>-</v>
      </c>
    </row>
    <row r="132" spans="1:17" ht="16.5" customHeight="1" thickBot="1">
      <c r="A132" s="438" t="s">
        <v>105</v>
      </c>
      <c r="B132" s="439">
        <f t="shared" si="108"/>
        <v>0</v>
      </c>
      <c r="C132" s="440">
        <f t="shared" si="108"/>
        <v>0</v>
      </c>
      <c r="D132" s="441">
        <f t="shared" si="108"/>
        <v>0</v>
      </c>
      <c r="E132" s="442">
        <f t="shared" si="108"/>
        <v>0</v>
      </c>
      <c r="F132" s="442">
        <f t="shared" si="108"/>
        <v>0</v>
      </c>
      <c r="G132" s="442">
        <f t="shared" si="108"/>
        <v>0</v>
      </c>
      <c r="H132" s="442">
        <f t="shared" si="108"/>
        <v>0</v>
      </c>
      <c r="I132" s="442">
        <f t="shared" si="108"/>
        <v>0</v>
      </c>
      <c r="J132" s="442">
        <f t="shared" si="108"/>
        <v>0</v>
      </c>
      <c r="K132" s="442">
        <f t="shared" si="108"/>
        <v>0</v>
      </c>
      <c r="L132" s="442">
        <f t="shared" si="108"/>
        <v>0</v>
      </c>
      <c r="M132" s="442">
        <f t="shared" si="108"/>
        <v>0</v>
      </c>
      <c r="N132" s="442">
        <f t="shared" si="108"/>
        <v>0</v>
      </c>
      <c r="O132" s="443">
        <f t="shared" si="108"/>
        <v>0</v>
      </c>
      <c r="P132" s="444">
        <f>SUM(D132:O132)</f>
        <v>0</v>
      </c>
      <c r="Q132" s="445" t="str">
        <f t="shared" si="100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O134" si="109">+B88-B111</f>
        <v>0</v>
      </c>
      <c r="C134" s="364">
        <f t="shared" si="109"/>
        <v>0</v>
      </c>
      <c r="D134" s="365">
        <f t="shared" si="109"/>
        <v>0</v>
      </c>
      <c r="E134" s="366">
        <f t="shared" si="109"/>
        <v>0</v>
      </c>
      <c r="F134" s="366">
        <f t="shared" si="109"/>
        <v>0</v>
      </c>
      <c r="G134" s="366">
        <f t="shared" si="109"/>
        <v>0</v>
      </c>
      <c r="H134" s="366">
        <f t="shared" si="109"/>
        <v>0</v>
      </c>
      <c r="I134" s="366">
        <f t="shared" si="109"/>
        <v>0</v>
      </c>
      <c r="J134" s="366">
        <f t="shared" si="109"/>
        <v>0</v>
      </c>
      <c r="K134" s="366">
        <f t="shared" si="109"/>
        <v>0</v>
      </c>
      <c r="L134" s="366">
        <f t="shared" si="109"/>
        <v>0</v>
      </c>
      <c r="M134" s="366">
        <f t="shared" si="109"/>
        <v>0</v>
      </c>
      <c r="N134" s="366">
        <f t="shared" si="109"/>
        <v>0</v>
      </c>
      <c r="O134" s="448">
        <f t="shared" si="109"/>
        <v>0</v>
      </c>
      <c r="P134" s="363">
        <f>SUM(D134:O134)</f>
        <v>0</v>
      </c>
      <c r="Q134" s="367" t="str">
        <f>IF(P134=0,"-",P134/C134-1)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:P136" si="110">+C117+C127+C130+C134</f>
        <v>0</v>
      </c>
      <c r="D136" s="365">
        <f t="shared" si="110"/>
        <v>0</v>
      </c>
      <c r="E136" s="366">
        <f t="shared" si="110"/>
        <v>0</v>
      </c>
      <c r="F136" s="366">
        <f t="shared" si="110"/>
        <v>0</v>
      </c>
      <c r="G136" s="366">
        <f t="shared" si="110"/>
        <v>0</v>
      </c>
      <c r="H136" s="366">
        <f t="shared" si="110"/>
        <v>0</v>
      </c>
      <c r="I136" s="366">
        <f t="shared" si="110"/>
        <v>0</v>
      </c>
      <c r="J136" s="366">
        <f t="shared" si="110"/>
        <v>0</v>
      </c>
      <c r="K136" s="366">
        <f t="shared" si="110"/>
        <v>0</v>
      </c>
      <c r="L136" s="366">
        <f t="shared" si="110"/>
        <v>0</v>
      </c>
      <c r="M136" s="366">
        <f t="shared" si="110"/>
        <v>0</v>
      </c>
      <c r="N136" s="366">
        <f t="shared" si="110"/>
        <v>0</v>
      </c>
      <c r="O136" s="364">
        <f t="shared" si="110"/>
        <v>0</v>
      </c>
      <c r="P136" s="363">
        <f t="shared" si="11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937" t="s">
        <v>638</v>
      </c>
    </row>
    <row r="139" spans="1:17" ht="30.75" customHeight="1" thickBot="1">
      <c r="A139" s="356"/>
      <c r="B139" s="357" t="s">
        <v>657</v>
      </c>
      <c r="C139" s="357" t="s">
        <v>663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941" t="s">
        <v>619</v>
      </c>
    </row>
    <row r="140" spans="1:17" ht="22.5" customHeight="1" thickBot="1">
      <c r="A140" s="362" t="s">
        <v>37</v>
      </c>
      <c r="B140" s="363">
        <f t="shared" ref="B140:P140" si="111">SUM(B141:B173)</f>
        <v>0</v>
      </c>
      <c r="C140" s="364">
        <f t="shared" si="111"/>
        <v>0</v>
      </c>
      <c r="D140" s="417">
        <f t="shared" si="111"/>
        <v>0</v>
      </c>
      <c r="E140" s="418">
        <f t="shared" si="111"/>
        <v>0</v>
      </c>
      <c r="F140" s="418">
        <f t="shared" si="111"/>
        <v>0</v>
      </c>
      <c r="G140" s="418">
        <f t="shared" si="111"/>
        <v>0</v>
      </c>
      <c r="H140" s="418">
        <f t="shared" si="111"/>
        <v>0</v>
      </c>
      <c r="I140" s="418">
        <f t="shared" si="111"/>
        <v>0</v>
      </c>
      <c r="J140" s="418">
        <f t="shared" si="111"/>
        <v>0</v>
      </c>
      <c r="K140" s="418">
        <f t="shared" si="111"/>
        <v>0</v>
      </c>
      <c r="L140" s="418">
        <f t="shared" si="111"/>
        <v>0</v>
      </c>
      <c r="M140" s="418">
        <f t="shared" si="111"/>
        <v>0</v>
      </c>
      <c r="N140" s="418">
        <f t="shared" si="111"/>
        <v>0</v>
      </c>
      <c r="O140" s="416">
        <f t="shared" si="111"/>
        <v>0</v>
      </c>
      <c r="P140" s="420">
        <f t="shared" si="111"/>
        <v>0</v>
      </c>
      <c r="Q140" s="421"/>
    </row>
    <row r="141" spans="1:17">
      <c r="A141" s="468" t="s">
        <v>38</v>
      </c>
      <c r="B141" s="469"/>
      <c r="C141" s="470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474">
        <f t="shared" ref="P141:P173" si="112">SUM(D141:O141)</f>
        <v>0</v>
      </c>
      <c r="Q141" s="475" t="str">
        <f>IF(P141=0,"-",P141/C141-1)</f>
        <v>-</v>
      </c>
    </row>
    <row r="142" spans="1:17">
      <c r="A142" s="476" t="s">
        <v>39</v>
      </c>
      <c r="B142" s="477"/>
      <c r="C142" s="478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394">
        <f t="shared" si="112"/>
        <v>0</v>
      </c>
      <c r="Q142" s="482" t="str">
        <f t="shared" ref="Q142:Q173" si="113">IF(P142=0,"-",P142/C142-1)</f>
        <v>-</v>
      </c>
    </row>
    <row r="143" spans="1:17">
      <c r="A143" s="483" t="s">
        <v>67</v>
      </c>
      <c r="B143" s="484"/>
      <c r="C143" s="485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391">
        <f t="shared" si="112"/>
        <v>0</v>
      </c>
      <c r="Q143" s="489" t="str">
        <f t="shared" si="113"/>
        <v>-</v>
      </c>
    </row>
    <row r="144" spans="1:17">
      <c r="A144" s="476" t="s">
        <v>40</v>
      </c>
      <c r="B144" s="477"/>
      <c r="C144" s="478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394">
        <f t="shared" si="112"/>
        <v>0</v>
      </c>
      <c r="Q144" s="482" t="str">
        <f t="shared" si="113"/>
        <v>-</v>
      </c>
    </row>
    <row r="145" spans="1:17">
      <c r="A145" s="483" t="s">
        <v>41</v>
      </c>
      <c r="B145" s="484"/>
      <c r="C145" s="485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391">
        <f t="shared" si="112"/>
        <v>0</v>
      </c>
      <c r="Q145" s="489" t="str">
        <f t="shared" si="113"/>
        <v>-</v>
      </c>
    </row>
    <row r="146" spans="1:17">
      <c r="A146" s="476" t="s">
        <v>42</v>
      </c>
      <c r="B146" s="477"/>
      <c r="C146" s="478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394">
        <f t="shared" si="112"/>
        <v>0</v>
      </c>
      <c r="Q146" s="482" t="str">
        <f t="shared" si="113"/>
        <v>-</v>
      </c>
    </row>
    <row r="147" spans="1:17">
      <c r="A147" s="483" t="s">
        <v>43</v>
      </c>
      <c r="B147" s="484"/>
      <c r="C147" s="485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391">
        <f t="shared" si="112"/>
        <v>0</v>
      </c>
      <c r="Q147" s="489" t="str">
        <f t="shared" si="113"/>
        <v>-</v>
      </c>
    </row>
    <row r="148" spans="1:17">
      <c r="A148" s="476" t="s">
        <v>44</v>
      </c>
      <c r="B148" s="477"/>
      <c r="C148" s="478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394">
        <f t="shared" si="112"/>
        <v>0</v>
      </c>
      <c r="Q148" s="482" t="str">
        <f t="shared" si="113"/>
        <v>-</v>
      </c>
    </row>
    <row r="149" spans="1:17">
      <c r="A149" s="483" t="s">
        <v>45</v>
      </c>
      <c r="B149" s="484"/>
      <c r="C149" s="485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391">
        <f t="shared" si="112"/>
        <v>0</v>
      </c>
      <c r="Q149" s="489" t="str">
        <f t="shared" si="113"/>
        <v>-</v>
      </c>
    </row>
    <row r="150" spans="1:17">
      <c r="A150" s="476" t="s">
        <v>46</v>
      </c>
      <c r="B150" s="477"/>
      <c r="C150" s="478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394">
        <f t="shared" si="112"/>
        <v>0</v>
      </c>
      <c r="Q150" s="482" t="str">
        <f t="shared" si="113"/>
        <v>-</v>
      </c>
    </row>
    <row r="151" spans="1:17" ht="14.25" customHeight="1">
      <c r="A151" s="483" t="s">
        <v>65</v>
      </c>
      <c r="B151" s="484"/>
      <c r="C151" s="485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391">
        <f t="shared" si="112"/>
        <v>0</v>
      </c>
      <c r="Q151" s="489" t="str">
        <f t="shared" si="113"/>
        <v>-</v>
      </c>
    </row>
    <row r="152" spans="1:17" ht="28.8">
      <c r="A152" s="476" t="s">
        <v>78</v>
      </c>
      <c r="B152" s="477"/>
      <c r="C152" s="478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394">
        <f t="shared" si="112"/>
        <v>0</v>
      </c>
      <c r="Q152" s="482" t="str">
        <f t="shared" si="113"/>
        <v>-</v>
      </c>
    </row>
    <row r="153" spans="1:17">
      <c r="A153" s="483" t="s">
        <v>47</v>
      </c>
      <c r="B153" s="484"/>
      <c r="C153" s="485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391">
        <f t="shared" si="112"/>
        <v>0</v>
      </c>
      <c r="Q153" s="489" t="str">
        <f t="shared" si="113"/>
        <v>-</v>
      </c>
    </row>
    <row r="154" spans="1:17">
      <c r="A154" s="476" t="s">
        <v>48</v>
      </c>
      <c r="B154" s="477"/>
      <c r="C154" s="478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394">
        <f t="shared" si="112"/>
        <v>0</v>
      </c>
      <c r="Q154" s="482" t="str">
        <f t="shared" si="113"/>
        <v>-</v>
      </c>
    </row>
    <row r="155" spans="1:17">
      <c r="A155" s="483" t="s">
        <v>77</v>
      </c>
      <c r="B155" s="484"/>
      <c r="C155" s="485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391">
        <f t="shared" si="112"/>
        <v>0</v>
      </c>
      <c r="Q155" s="489" t="str">
        <f t="shared" si="113"/>
        <v>-</v>
      </c>
    </row>
    <row r="156" spans="1:17">
      <c r="A156" s="476" t="s">
        <v>49</v>
      </c>
      <c r="B156" s="477"/>
      <c r="C156" s="478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394">
        <f t="shared" si="112"/>
        <v>0</v>
      </c>
      <c r="Q156" s="482" t="str">
        <f t="shared" si="113"/>
        <v>-</v>
      </c>
    </row>
    <row r="157" spans="1:17">
      <c r="A157" s="483" t="s">
        <v>50</v>
      </c>
      <c r="B157" s="484"/>
      <c r="C157" s="485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391">
        <f t="shared" si="112"/>
        <v>0</v>
      </c>
      <c r="Q157" s="489" t="str">
        <f t="shared" si="113"/>
        <v>-</v>
      </c>
    </row>
    <row r="158" spans="1:17" ht="15" customHeight="1">
      <c r="A158" s="476" t="s">
        <v>76</v>
      </c>
      <c r="B158" s="477"/>
      <c r="C158" s="478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394">
        <f t="shared" si="112"/>
        <v>0</v>
      </c>
      <c r="Q158" s="482" t="str">
        <f t="shared" si="113"/>
        <v>-</v>
      </c>
    </row>
    <row r="159" spans="1:17">
      <c r="A159" s="483" t="s">
        <v>51</v>
      </c>
      <c r="B159" s="484"/>
      <c r="C159" s="485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391">
        <f t="shared" si="112"/>
        <v>0</v>
      </c>
      <c r="Q159" s="489" t="str">
        <f t="shared" si="113"/>
        <v>-</v>
      </c>
    </row>
    <row r="160" spans="1:17">
      <c r="A160" s="476" t="s">
        <v>52</v>
      </c>
      <c r="B160" s="477"/>
      <c r="C160" s="478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394">
        <f t="shared" si="112"/>
        <v>0</v>
      </c>
      <c r="Q160" s="482" t="str">
        <f t="shared" si="113"/>
        <v>-</v>
      </c>
    </row>
    <row r="161" spans="1:17">
      <c r="A161" s="483" t="s">
        <v>53</v>
      </c>
      <c r="B161" s="484"/>
      <c r="C161" s="485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391">
        <f t="shared" si="112"/>
        <v>0</v>
      </c>
      <c r="Q161" s="489" t="str">
        <f t="shared" si="113"/>
        <v>-</v>
      </c>
    </row>
    <row r="162" spans="1:17">
      <c r="A162" s="476" t="s">
        <v>54</v>
      </c>
      <c r="B162" s="477"/>
      <c r="C162" s="478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394">
        <f t="shared" si="112"/>
        <v>0</v>
      </c>
      <c r="Q162" s="482" t="str">
        <f t="shared" si="113"/>
        <v>-</v>
      </c>
    </row>
    <row r="163" spans="1:17">
      <c r="A163" s="483" t="s">
        <v>55</v>
      </c>
      <c r="B163" s="484"/>
      <c r="C163" s="485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391">
        <f t="shared" si="112"/>
        <v>0</v>
      </c>
      <c r="Q163" s="489" t="str">
        <f t="shared" si="113"/>
        <v>-</v>
      </c>
    </row>
    <row r="164" spans="1:17" ht="21" customHeight="1">
      <c r="A164" s="476" t="s">
        <v>56</v>
      </c>
      <c r="B164" s="477"/>
      <c r="C164" s="478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394">
        <f t="shared" si="112"/>
        <v>0</v>
      </c>
      <c r="Q164" s="482" t="str">
        <f t="shared" si="113"/>
        <v>-</v>
      </c>
    </row>
    <row r="165" spans="1:17">
      <c r="A165" s="483" t="s">
        <v>57</v>
      </c>
      <c r="B165" s="484"/>
      <c r="C165" s="485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391">
        <f t="shared" si="112"/>
        <v>0</v>
      </c>
      <c r="Q165" s="489" t="str">
        <f t="shared" si="113"/>
        <v>-</v>
      </c>
    </row>
    <row r="166" spans="1:17">
      <c r="A166" s="476" t="s">
        <v>58</v>
      </c>
      <c r="B166" s="477"/>
      <c r="C166" s="478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394">
        <f t="shared" si="112"/>
        <v>0</v>
      </c>
      <c r="Q166" s="482" t="str">
        <f t="shared" si="113"/>
        <v>-</v>
      </c>
    </row>
    <row r="167" spans="1:17">
      <c r="A167" s="483" t="s">
        <v>59</v>
      </c>
      <c r="B167" s="484"/>
      <c r="C167" s="485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391">
        <f t="shared" si="112"/>
        <v>0</v>
      </c>
      <c r="Q167" s="489" t="str">
        <f t="shared" si="113"/>
        <v>-</v>
      </c>
    </row>
    <row r="168" spans="1:17">
      <c r="A168" s="476" t="s">
        <v>60</v>
      </c>
      <c r="B168" s="477"/>
      <c r="C168" s="478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394">
        <f t="shared" si="112"/>
        <v>0</v>
      </c>
      <c r="Q168" s="482" t="str">
        <f t="shared" si="113"/>
        <v>-</v>
      </c>
    </row>
    <row r="169" spans="1:17">
      <c r="A169" s="483" t="s">
        <v>61</v>
      </c>
      <c r="B169" s="484"/>
      <c r="C169" s="485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391">
        <f t="shared" si="112"/>
        <v>0</v>
      </c>
      <c r="Q169" s="489" t="str">
        <f t="shared" si="113"/>
        <v>-</v>
      </c>
    </row>
    <row r="170" spans="1:17">
      <c r="A170" s="476" t="s">
        <v>62</v>
      </c>
      <c r="B170" s="477"/>
      <c r="C170" s="478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394">
        <f t="shared" si="112"/>
        <v>0</v>
      </c>
      <c r="Q170" s="482" t="str">
        <f t="shared" si="113"/>
        <v>-</v>
      </c>
    </row>
    <row r="171" spans="1:17">
      <c r="A171" s="483" t="s">
        <v>63</v>
      </c>
      <c r="B171" s="484"/>
      <c r="C171" s="485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391">
        <f t="shared" si="112"/>
        <v>0</v>
      </c>
      <c r="Q171" s="489" t="str">
        <f t="shared" si="113"/>
        <v>-</v>
      </c>
    </row>
    <row r="172" spans="1:17">
      <c r="A172" s="476" t="s">
        <v>66</v>
      </c>
      <c r="B172" s="477"/>
      <c r="C172" s="478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394">
        <f>SUM(D172:O172)</f>
        <v>0</v>
      </c>
      <c r="Q172" s="482" t="str">
        <f t="shared" si="113"/>
        <v>-</v>
      </c>
    </row>
    <row r="173" spans="1:17" ht="15" thickBot="1">
      <c r="A173" s="490" t="s">
        <v>64</v>
      </c>
      <c r="B173" s="491"/>
      <c r="C173" s="492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496">
        <f t="shared" si="112"/>
        <v>0</v>
      </c>
      <c r="Q173" s="497" t="str">
        <f t="shared" si="11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937" t="s">
        <v>638</v>
      </c>
    </row>
    <row r="176" spans="1:17" ht="30.75" customHeight="1" thickBot="1">
      <c r="A176" s="498"/>
      <c r="B176" s="357" t="s">
        <v>657</v>
      </c>
      <c r="C176" s="357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941" t="s">
        <v>619</v>
      </c>
    </row>
    <row r="177" spans="1:17" ht="21" customHeight="1">
      <c r="A177" s="502" t="s">
        <v>68</v>
      </c>
      <c r="B177" s="2082">
        <f>B44</f>
        <v>0</v>
      </c>
      <c r="C177" s="2090">
        <f t="shared" ref="C177:P177" si="114">C44</f>
        <v>0</v>
      </c>
      <c r="D177" s="505">
        <f t="shared" si="114"/>
        <v>0</v>
      </c>
      <c r="E177" s="472">
        <f t="shared" si="114"/>
        <v>0</v>
      </c>
      <c r="F177" s="472">
        <f t="shared" si="114"/>
        <v>0</v>
      </c>
      <c r="G177" s="472">
        <f t="shared" si="114"/>
        <v>0</v>
      </c>
      <c r="H177" s="472">
        <f t="shared" si="114"/>
        <v>0</v>
      </c>
      <c r="I177" s="472">
        <f t="shared" si="114"/>
        <v>0</v>
      </c>
      <c r="J177" s="472">
        <f t="shared" si="114"/>
        <v>0</v>
      </c>
      <c r="K177" s="472">
        <f t="shared" si="114"/>
        <v>0</v>
      </c>
      <c r="L177" s="472">
        <f t="shared" si="114"/>
        <v>0</v>
      </c>
      <c r="M177" s="472">
        <f t="shared" si="114"/>
        <v>0</v>
      </c>
      <c r="N177" s="472">
        <f t="shared" si="114"/>
        <v>0</v>
      </c>
      <c r="O177" s="473">
        <f t="shared" si="114"/>
        <v>0</v>
      </c>
      <c r="P177" s="474">
        <f t="shared" si="114"/>
        <v>0</v>
      </c>
      <c r="Q177" s="506" t="str">
        <f t="shared" ref="Q177:Q187" si="115">IF(P177=0,"-",P177/C177-1)</f>
        <v>-</v>
      </c>
    </row>
    <row r="178" spans="1:17" ht="21" customHeight="1">
      <c r="A178" s="476" t="s">
        <v>69</v>
      </c>
      <c r="B178" s="2083">
        <f>B67</f>
        <v>0</v>
      </c>
      <c r="C178" s="2091">
        <f t="shared" ref="C178:P178" si="116">C67</f>
        <v>0</v>
      </c>
      <c r="D178" s="509">
        <f t="shared" si="116"/>
        <v>0</v>
      </c>
      <c r="E178" s="480">
        <f t="shared" si="116"/>
        <v>0</v>
      </c>
      <c r="F178" s="480">
        <f t="shared" si="116"/>
        <v>0</v>
      </c>
      <c r="G178" s="480">
        <f t="shared" si="116"/>
        <v>0</v>
      </c>
      <c r="H178" s="480">
        <f t="shared" si="116"/>
        <v>0</v>
      </c>
      <c r="I178" s="480">
        <f t="shared" si="116"/>
        <v>0</v>
      </c>
      <c r="J178" s="480">
        <f t="shared" si="116"/>
        <v>0</v>
      </c>
      <c r="K178" s="480">
        <f t="shared" si="116"/>
        <v>0</v>
      </c>
      <c r="L178" s="480">
        <f t="shared" si="116"/>
        <v>0</v>
      </c>
      <c r="M178" s="480">
        <f t="shared" si="116"/>
        <v>0</v>
      </c>
      <c r="N178" s="480">
        <f t="shared" si="116"/>
        <v>0</v>
      </c>
      <c r="O178" s="481">
        <f t="shared" si="116"/>
        <v>0</v>
      </c>
      <c r="P178" s="394">
        <f t="shared" si="116"/>
        <v>0</v>
      </c>
      <c r="Q178" s="510" t="str">
        <f t="shared" si="115"/>
        <v>-</v>
      </c>
    </row>
    <row r="179" spans="1:17" ht="21" customHeight="1">
      <c r="A179" s="483" t="s">
        <v>512</v>
      </c>
      <c r="B179" s="2038"/>
      <c r="C179" s="2039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15"/>
        <v>-</v>
      </c>
    </row>
    <row r="180" spans="1:17" ht="21" customHeight="1">
      <c r="A180" s="483" t="s">
        <v>70</v>
      </c>
      <c r="B180" s="2042">
        <f>B90-B179</f>
        <v>0</v>
      </c>
      <c r="C180" s="2043">
        <f t="shared" ref="C180:O180" si="117">C90</f>
        <v>0</v>
      </c>
      <c r="D180" s="513">
        <f t="shared" si="117"/>
        <v>0</v>
      </c>
      <c r="E180" s="487">
        <f t="shared" si="117"/>
        <v>0</v>
      </c>
      <c r="F180" s="487">
        <f t="shared" si="117"/>
        <v>0</v>
      </c>
      <c r="G180" s="487">
        <f t="shared" si="117"/>
        <v>0</v>
      </c>
      <c r="H180" s="487">
        <f t="shared" si="117"/>
        <v>0</v>
      </c>
      <c r="I180" s="487">
        <f t="shared" si="117"/>
        <v>0</v>
      </c>
      <c r="J180" s="487">
        <f t="shared" si="117"/>
        <v>0</v>
      </c>
      <c r="K180" s="487">
        <f t="shared" si="117"/>
        <v>0</v>
      </c>
      <c r="L180" s="487">
        <f t="shared" si="117"/>
        <v>0</v>
      </c>
      <c r="M180" s="487">
        <f t="shared" si="117"/>
        <v>0</v>
      </c>
      <c r="N180" s="487">
        <f t="shared" si="117"/>
        <v>0</v>
      </c>
      <c r="O180" s="488">
        <f t="shared" si="117"/>
        <v>0</v>
      </c>
      <c r="P180" s="391">
        <f>P90</f>
        <v>0</v>
      </c>
      <c r="Q180" s="514" t="str">
        <f t="shared" si="115"/>
        <v>-</v>
      </c>
    </row>
    <row r="181" spans="1:17" ht="21" customHeight="1">
      <c r="A181" s="476" t="s">
        <v>71</v>
      </c>
      <c r="B181" s="2083">
        <f>B113</f>
        <v>0</v>
      </c>
      <c r="C181" s="2091">
        <f t="shared" ref="C181:P181" si="118">C113</f>
        <v>0</v>
      </c>
      <c r="D181" s="509">
        <f t="shared" si="118"/>
        <v>0</v>
      </c>
      <c r="E181" s="480">
        <f t="shared" si="118"/>
        <v>0</v>
      </c>
      <c r="F181" s="480">
        <f t="shared" si="118"/>
        <v>0</v>
      </c>
      <c r="G181" s="480">
        <f t="shared" si="118"/>
        <v>0</v>
      </c>
      <c r="H181" s="480">
        <f t="shared" si="118"/>
        <v>0</v>
      </c>
      <c r="I181" s="480">
        <f t="shared" si="118"/>
        <v>0</v>
      </c>
      <c r="J181" s="480">
        <f t="shared" si="118"/>
        <v>0</v>
      </c>
      <c r="K181" s="480">
        <f t="shared" si="118"/>
        <v>0</v>
      </c>
      <c r="L181" s="480">
        <f t="shared" si="118"/>
        <v>0</v>
      </c>
      <c r="M181" s="480">
        <f t="shared" si="118"/>
        <v>0</v>
      </c>
      <c r="N181" s="480">
        <f t="shared" si="118"/>
        <v>0</v>
      </c>
      <c r="O181" s="481">
        <f t="shared" si="118"/>
        <v>0</v>
      </c>
      <c r="P181" s="394">
        <f t="shared" si="118"/>
        <v>0</v>
      </c>
      <c r="Q181" s="510" t="str">
        <f t="shared" si="115"/>
        <v>-</v>
      </c>
    </row>
    <row r="182" spans="1:17" ht="21" customHeight="1">
      <c r="A182" s="483" t="s">
        <v>36</v>
      </c>
      <c r="B182" s="2042">
        <f>B136</f>
        <v>0</v>
      </c>
      <c r="C182" s="2043">
        <f t="shared" ref="C182:P182" si="119">C136</f>
        <v>0</v>
      </c>
      <c r="D182" s="513">
        <f t="shared" si="119"/>
        <v>0</v>
      </c>
      <c r="E182" s="487">
        <f t="shared" si="119"/>
        <v>0</v>
      </c>
      <c r="F182" s="487">
        <f t="shared" si="119"/>
        <v>0</v>
      </c>
      <c r="G182" s="487">
        <f t="shared" si="119"/>
        <v>0</v>
      </c>
      <c r="H182" s="487">
        <f t="shared" si="119"/>
        <v>0</v>
      </c>
      <c r="I182" s="487">
        <f t="shared" si="119"/>
        <v>0</v>
      </c>
      <c r="J182" s="487">
        <f t="shared" si="119"/>
        <v>0</v>
      </c>
      <c r="K182" s="487">
        <f t="shared" si="119"/>
        <v>0</v>
      </c>
      <c r="L182" s="487">
        <f t="shared" si="119"/>
        <v>0</v>
      </c>
      <c r="M182" s="487">
        <f t="shared" si="119"/>
        <v>0</v>
      </c>
      <c r="N182" s="487">
        <f t="shared" si="119"/>
        <v>0</v>
      </c>
      <c r="O182" s="488">
        <f t="shared" si="119"/>
        <v>0</v>
      </c>
      <c r="P182" s="391">
        <f t="shared" si="119"/>
        <v>0</v>
      </c>
      <c r="Q182" s="514" t="str">
        <f t="shared" si="115"/>
        <v>-</v>
      </c>
    </row>
    <row r="183" spans="1:17" ht="21" customHeight="1">
      <c r="A183" s="515" t="s">
        <v>73</v>
      </c>
      <c r="B183" s="2092" t="e">
        <f>B182/B180</f>
        <v>#DIV/0!</v>
      </c>
      <c r="C183" s="2093" t="e">
        <f t="shared" ref="C183:P183" si="120">C182/C180</f>
        <v>#DIV/0!</v>
      </c>
      <c r="D183" s="2104" t="e">
        <f t="shared" si="120"/>
        <v>#DIV/0!</v>
      </c>
      <c r="E183" s="2106" t="e">
        <f t="shared" si="120"/>
        <v>#DIV/0!</v>
      </c>
      <c r="F183" s="2106" t="e">
        <f t="shared" si="120"/>
        <v>#DIV/0!</v>
      </c>
      <c r="G183" s="2106" t="e">
        <f t="shared" si="120"/>
        <v>#DIV/0!</v>
      </c>
      <c r="H183" s="2106" t="e">
        <f t="shared" si="120"/>
        <v>#DIV/0!</v>
      </c>
      <c r="I183" s="2106" t="e">
        <f t="shared" si="120"/>
        <v>#DIV/0!</v>
      </c>
      <c r="J183" s="2106" t="e">
        <f t="shared" si="120"/>
        <v>#DIV/0!</v>
      </c>
      <c r="K183" s="2106" t="e">
        <f t="shared" si="120"/>
        <v>#DIV/0!</v>
      </c>
      <c r="L183" s="2106" t="e">
        <f t="shared" si="120"/>
        <v>#DIV/0!</v>
      </c>
      <c r="M183" s="2106" t="e">
        <f t="shared" si="120"/>
        <v>#DIV/0!</v>
      </c>
      <c r="N183" s="2106" t="e">
        <f t="shared" si="120"/>
        <v>#DIV/0!</v>
      </c>
      <c r="O183" s="2107" t="e">
        <f t="shared" si="120"/>
        <v>#DIV/0!</v>
      </c>
      <c r="P183" s="521" t="e">
        <f t="shared" si="120"/>
        <v>#DIV/0!</v>
      </c>
      <c r="Q183" s="522" t="e">
        <f t="shared" si="115"/>
        <v>#DIV/0!</v>
      </c>
    </row>
    <row r="184" spans="1:17" ht="21" customHeight="1">
      <c r="A184" s="483" t="s">
        <v>75</v>
      </c>
      <c r="B184" s="2042">
        <f>B140</f>
        <v>0</v>
      </c>
      <c r="C184" s="2043">
        <f t="shared" ref="C184:P184" si="121">C140</f>
        <v>0</v>
      </c>
      <c r="D184" s="513">
        <f t="shared" si="121"/>
        <v>0</v>
      </c>
      <c r="E184" s="487">
        <f t="shared" si="121"/>
        <v>0</v>
      </c>
      <c r="F184" s="487">
        <f t="shared" si="121"/>
        <v>0</v>
      </c>
      <c r="G184" s="487">
        <f t="shared" si="121"/>
        <v>0</v>
      </c>
      <c r="H184" s="487">
        <f t="shared" si="121"/>
        <v>0</v>
      </c>
      <c r="I184" s="487">
        <f t="shared" si="121"/>
        <v>0</v>
      </c>
      <c r="J184" s="487">
        <f t="shared" si="121"/>
        <v>0</v>
      </c>
      <c r="K184" s="487">
        <f t="shared" si="121"/>
        <v>0</v>
      </c>
      <c r="L184" s="487">
        <f t="shared" si="121"/>
        <v>0</v>
      </c>
      <c r="M184" s="487">
        <f t="shared" si="121"/>
        <v>0</v>
      </c>
      <c r="N184" s="487">
        <f t="shared" si="121"/>
        <v>0</v>
      </c>
      <c r="O184" s="487">
        <f t="shared" si="121"/>
        <v>0</v>
      </c>
      <c r="P184" s="391">
        <f t="shared" si="121"/>
        <v>0</v>
      </c>
      <c r="Q184" s="514" t="str">
        <f t="shared" si="115"/>
        <v>-</v>
      </c>
    </row>
    <row r="185" spans="1:17" s="531" customFormat="1" ht="21" customHeight="1">
      <c r="A185" s="523" t="s">
        <v>74</v>
      </c>
      <c r="B185" s="2044" t="e">
        <f>B184/B180</f>
        <v>#DIV/0!</v>
      </c>
      <c r="C185" s="2045" t="e">
        <f t="shared" ref="C185:P185" si="122">C184/C180</f>
        <v>#DIV/0!</v>
      </c>
      <c r="D185" s="526" t="e">
        <f t="shared" si="122"/>
        <v>#DIV/0!</v>
      </c>
      <c r="E185" s="527" t="e">
        <f t="shared" si="122"/>
        <v>#DIV/0!</v>
      </c>
      <c r="F185" s="527" t="e">
        <f t="shared" si="122"/>
        <v>#DIV/0!</v>
      </c>
      <c r="G185" s="527" t="e">
        <f t="shared" si="122"/>
        <v>#DIV/0!</v>
      </c>
      <c r="H185" s="527" t="e">
        <f t="shared" si="122"/>
        <v>#DIV/0!</v>
      </c>
      <c r="I185" s="527" t="e">
        <f t="shared" si="122"/>
        <v>#DIV/0!</v>
      </c>
      <c r="J185" s="527" t="e">
        <f t="shared" si="122"/>
        <v>#DIV/0!</v>
      </c>
      <c r="K185" s="527" t="e">
        <f t="shared" si="122"/>
        <v>#DIV/0!</v>
      </c>
      <c r="L185" s="527" t="e">
        <f t="shared" si="122"/>
        <v>#DIV/0!</v>
      </c>
      <c r="M185" s="527" t="e">
        <f t="shared" si="122"/>
        <v>#DIV/0!</v>
      </c>
      <c r="N185" s="527" t="e">
        <f t="shared" si="122"/>
        <v>#DIV/0!</v>
      </c>
      <c r="O185" s="528" t="e">
        <f t="shared" si="122"/>
        <v>#DIV/0!</v>
      </c>
      <c r="P185" s="529" t="e">
        <f t="shared" si="122"/>
        <v>#DIV/0!</v>
      </c>
      <c r="Q185" s="530" t="e">
        <f t="shared" si="115"/>
        <v>#DIV/0!</v>
      </c>
    </row>
    <row r="186" spans="1:17" s="281" customFormat="1" ht="21" customHeight="1" thickBot="1">
      <c r="A186" s="532" t="s">
        <v>79</v>
      </c>
      <c r="B186" s="2046">
        <f>B182-B184</f>
        <v>0</v>
      </c>
      <c r="C186" s="2047">
        <f t="shared" ref="C186:P186" si="123">C182-C184</f>
        <v>0</v>
      </c>
      <c r="D186" s="535">
        <f t="shared" si="123"/>
        <v>0</v>
      </c>
      <c r="E186" s="536">
        <f t="shared" si="123"/>
        <v>0</v>
      </c>
      <c r="F186" s="536">
        <f t="shared" si="123"/>
        <v>0</v>
      </c>
      <c r="G186" s="536">
        <f t="shared" si="123"/>
        <v>0</v>
      </c>
      <c r="H186" s="536">
        <f t="shared" si="123"/>
        <v>0</v>
      </c>
      <c r="I186" s="536">
        <f t="shared" si="123"/>
        <v>0</v>
      </c>
      <c r="J186" s="536">
        <f t="shared" si="123"/>
        <v>0</v>
      </c>
      <c r="K186" s="536">
        <f t="shared" si="123"/>
        <v>0</v>
      </c>
      <c r="L186" s="536">
        <f t="shared" si="123"/>
        <v>0</v>
      </c>
      <c r="M186" s="536">
        <f t="shared" si="123"/>
        <v>0</v>
      </c>
      <c r="N186" s="536">
        <f t="shared" si="123"/>
        <v>0</v>
      </c>
      <c r="O186" s="537">
        <f t="shared" si="123"/>
        <v>0</v>
      </c>
      <c r="P186" s="496">
        <f t="shared" si="123"/>
        <v>0</v>
      </c>
      <c r="Q186" s="538" t="str">
        <f t="shared" si="115"/>
        <v>-</v>
      </c>
    </row>
    <row r="187" spans="1:17" s="281" customFormat="1" ht="21" customHeight="1" thickBot="1">
      <c r="A187" s="539" t="s">
        <v>80</v>
      </c>
      <c r="B187" s="2094" t="e">
        <f>B186/B180</f>
        <v>#DIV/0!</v>
      </c>
      <c r="C187" s="2095" t="e">
        <f t="shared" ref="C187:P187" si="124">C186/C180</f>
        <v>#DIV/0!</v>
      </c>
      <c r="D187" s="542" t="e">
        <f t="shared" si="124"/>
        <v>#DIV/0!</v>
      </c>
      <c r="E187" s="543" t="e">
        <f t="shared" si="124"/>
        <v>#DIV/0!</v>
      </c>
      <c r="F187" s="543" t="e">
        <f t="shared" si="124"/>
        <v>#DIV/0!</v>
      </c>
      <c r="G187" s="543" t="e">
        <f t="shared" si="124"/>
        <v>#DIV/0!</v>
      </c>
      <c r="H187" s="543" t="e">
        <f t="shared" si="124"/>
        <v>#DIV/0!</v>
      </c>
      <c r="I187" s="543" t="e">
        <f t="shared" si="124"/>
        <v>#DIV/0!</v>
      </c>
      <c r="J187" s="543" t="e">
        <f t="shared" si="124"/>
        <v>#DIV/0!</v>
      </c>
      <c r="K187" s="543" t="e">
        <f t="shared" si="124"/>
        <v>#DIV/0!</v>
      </c>
      <c r="L187" s="543" t="e">
        <f t="shared" si="124"/>
        <v>#DIV/0!</v>
      </c>
      <c r="M187" s="543" t="e">
        <f t="shared" si="124"/>
        <v>#DIV/0!</v>
      </c>
      <c r="N187" s="543" t="e">
        <f t="shared" si="124"/>
        <v>#DIV/0!</v>
      </c>
      <c r="O187" s="544" t="e">
        <f t="shared" si="124"/>
        <v>#DIV/0!</v>
      </c>
      <c r="P187" s="545" t="e">
        <f t="shared" si="124"/>
        <v>#DIV/0!</v>
      </c>
      <c r="Q187" s="546" t="e">
        <f t="shared" si="115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67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V187"/>
  <sheetViews>
    <sheetView zoomScale="85" zoomScaleNormal="85" workbookViewId="0">
      <selection activeCell="B30" sqref="B30"/>
    </sheetView>
  </sheetViews>
  <sheetFormatPr defaultColWidth="9.109375" defaultRowHeight="14.4"/>
  <cols>
    <col min="1" max="1" width="32.5546875" style="352" customWidth="1"/>
    <col min="2" max="2" width="11.33203125" style="352" customWidth="1"/>
    <col min="3" max="3" width="11.88671875" style="281" customWidth="1"/>
    <col min="4" max="4" width="10.88671875" style="352" bestFit="1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7" width="10.109375" style="352" bestFit="1" customWidth="1"/>
    <col min="18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7" t="s">
        <v>671</v>
      </c>
      <c r="E2" s="2378">
        <v>0</v>
      </c>
      <c r="F2" s="2378">
        <v>0</v>
      </c>
      <c r="G2" s="2378">
        <v>0</v>
      </c>
      <c r="H2" s="2378">
        <v>0</v>
      </c>
      <c r="I2" s="2378">
        <v>0</v>
      </c>
      <c r="J2" s="2378">
        <v>0</v>
      </c>
      <c r="K2" s="2378">
        <v>0</v>
      </c>
      <c r="L2" s="2378">
        <v>0</v>
      </c>
      <c r="M2" s="2378">
        <v>0</v>
      </c>
      <c r="N2" s="2378">
        <v>0</v>
      </c>
      <c r="O2" s="2378">
        <v>0</v>
      </c>
      <c r="P2" s="2379">
        <v>0</v>
      </c>
      <c r="Q2" s="937" t="s">
        <v>638</v>
      </c>
    </row>
    <row r="3" spans="1:22" ht="42" customHeight="1" thickBot="1">
      <c r="A3" s="356"/>
      <c r="B3" s="357" t="s">
        <v>657</v>
      </c>
      <c r="C3" s="357" t="s">
        <v>663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94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:O4" si="0">C7+C8+C13</f>
        <v>0</v>
      </c>
      <c r="D4" s="365">
        <f>D7+D8+D13</f>
        <v>0</v>
      </c>
      <c r="E4" s="366">
        <f t="shared" si="0"/>
        <v>0</v>
      </c>
      <c r="F4" s="366">
        <f t="shared" si="0"/>
        <v>0</v>
      </c>
      <c r="G4" s="366">
        <f t="shared" si="0"/>
        <v>0</v>
      </c>
      <c r="H4" s="366">
        <f t="shared" si="0"/>
        <v>0</v>
      </c>
      <c r="I4" s="366">
        <f t="shared" si="0"/>
        <v>0</v>
      </c>
      <c r="J4" s="366">
        <f t="shared" si="0"/>
        <v>0</v>
      </c>
      <c r="K4" s="366">
        <f t="shared" si="0"/>
        <v>0</v>
      </c>
      <c r="L4" s="366">
        <f t="shared" si="0"/>
        <v>0</v>
      </c>
      <c r="M4" s="366">
        <f t="shared" si="0"/>
        <v>0</v>
      </c>
      <c r="N4" s="366">
        <f t="shared" si="0"/>
        <v>0</v>
      </c>
      <c r="O4" s="364">
        <f t="shared" si="0"/>
        <v>0</v>
      </c>
      <c r="P4" s="363">
        <f t="shared" ref="P4:P21" si="1">SUM(D4:O4)</f>
        <v>0</v>
      </c>
      <c r="Q4" s="367" t="str">
        <f t="shared" ref="Q4:Q19" si="2">IF(P4=0,"-",P4/C4-1)</f>
        <v>-</v>
      </c>
    </row>
    <row r="5" spans="1:22" ht="16.5" customHeight="1">
      <c r="A5" s="368" t="s">
        <v>15</v>
      </c>
      <c r="B5" s="369">
        <f>+'Ötv''siz Deniz'!B5+'Ötv''li Deniz'!B5</f>
        <v>0</v>
      </c>
      <c r="C5" s="1273">
        <f>+'Ötv''siz Deniz'!C5+'Ötv''li Deniz'!C5</f>
        <v>0</v>
      </c>
      <c r="D5" s="371">
        <f>+'Ötv''siz Deniz'!D5+'Ötv''li Deniz'!D5</f>
        <v>0</v>
      </c>
      <c r="E5" s="372">
        <f>+'Ötv''siz Deniz'!E5+'Ötv''li Deniz'!E5</f>
        <v>0</v>
      </c>
      <c r="F5" s="372">
        <f>+'Ötv''siz Deniz'!F5+'Ötv''li Deniz'!F5</f>
        <v>0</v>
      </c>
      <c r="G5" s="372">
        <f>+'Ötv''siz Deniz'!G5+'Ötv''li Deniz'!G5</f>
        <v>0</v>
      </c>
      <c r="H5" s="373">
        <f>+'Ötv''siz Deniz'!H5+'Ötv''li Deniz'!H5</f>
        <v>0</v>
      </c>
      <c r="I5" s="373">
        <f>+'Ötv''siz Deniz'!I5+'Ötv''li Deniz'!I5</f>
        <v>0</v>
      </c>
      <c r="J5" s="373">
        <f>+'Ötv''siz Deniz'!J5+'Ötv''li Deniz'!J5</f>
        <v>0</v>
      </c>
      <c r="K5" s="373">
        <f>+'Ötv''siz Deniz'!K5+'Ötv''li Deniz'!K5</f>
        <v>0</v>
      </c>
      <c r="L5" s="373">
        <f>+'Ötv''siz Deniz'!L5+'Ötv''li Deniz'!L5</f>
        <v>0</v>
      </c>
      <c r="M5" s="373">
        <f>+'Ötv''siz Deniz'!M5+'Ötv''li Deniz'!M5</f>
        <v>0</v>
      </c>
      <c r="N5" s="373">
        <f>+'Ötv''siz Deniz'!N5+'Ötv''li Deniz'!N5</f>
        <v>0</v>
      </c>
      <c r="O5" s="374">
        <f>+'Ötv''siz Deniz'!O5+'Ötv''li Deniz'!O5</f>
        <v>0</v>
      </c>
      <c r="P5" s="369">
        <f>SUM(D5:O5)</f>
        <v>0</v>
      </c>
      <c r="Q5" s="375" t="str">
        <f t="shared" si="2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378">
        <f>+'Ötv''siz Deniz'!B6+'Ötv''li Deniz'!B6</f>
        <v>0</v>
      </c>
      <c r="C6" s="1274">
        <f>+'Ötv''siz Deniz'!C6+'Ötv''li Deniz'!C6</f>
        <v>0</v>
      </c>
      <c r="D6" s="380">
        <f>+'Ötv''siz Deniz'!D6+'Ötv''li Deniz'!D6</f>
        <v>0</v>
      </c>
      <c r="E6" s="381">
        <f>+'Ötv''siz Deniz'!E6+'Ötv''li Deniz'!E6</f>
        <v>0</v>
      </c>
      <c r="F6" s="381">
        <f>+'Ötv''siz Deniz'!F6+'Ötv''li Deniz'!F6</f>
        <v>0</v>
      </c>
      <c r="G6" s="381">
        <f>+'Ötv''siz Deniz'!G6+'Ötv''li Deniz'!G6</f>
        <v>0</v>
      </c>
      <c r="H6" s="382">
        <f>+'Ötv''siz Deniz'!H6+'Ötv''li Deniz'!H6</f>
        <v>0</v>
      </c>
      <c r="I6" s="382">
        <f>+'Ötv''siz Deniz'!I6+'Ötv''li Deniz'!I6</f>
        <v>0</v>
      </c>
      <c r="J6" s="382">
        <f>+'Ötv''siz Deniz'!J6+'Ötv''li Deniz'!J6</f>
        <v>0</v>
      </c>
      <c r="K6" s="382">
        <f>+'Ötv''siz Deniz'!K6+'Ötv''li Deniz'!K6</f>
        <v>0</v>
      </c>
      <c r="L6" s="382">
        <f>+'Ötv''siz Deniz'!L6+'Ötv''li Deniz'!L6</f>
        <v>0</v>
      </c>
      <c r="M6" s="382">
        <f>+'Ötv''siz Deniz'!M6+'Ötv''li Deniz'!M6</f>
        <v>0</v>
      </c>
      <c r="N6" s="382">
        <f>+'Ötv''siz Deniz'!N6+'Ötv''li Deniz'!N6</f>
        <v>0</v>
      </c>
      <c r="O6" s="383">
        <f>+'Ötv''siz Deniz'!O6+'Ötv''li Deniz'!O6</f>
        <v>0</v>
      </c>
      <c r="P6" s="378">
        <f>SUM(D6:O6)</f>
        <v>0</v>
      </c>
      <c r="Q6" s="384" t="str">
        <f t="shared" si="2"/>
        <v>-</v>
      </c>
    </row>
    <row r="7" spans="1:22" s="281" customFormat="1" ht="15" customHeight="1">
      <c r="A7" s="385" t="s">
        <v>27</v>
      </c>
      <c r="B7" s="386">
        <f>+B5+B6</f>
        <v>0</v>
      </c>
      <c r="C7" s="390">
        <f>+C6+C5</f>
        <v>0</v>
      </c>
      <c r="D7" s="388">
        <f>SUM(D5:D6)</f>
        <v>0</v>
      </c>
      <c r="E7" s="389">
        <f t="shared" ref="E7:O7" si="3">SUM(E5:E6)</f>
        <v>0</v>
      </c>
      <c r="F7" s="389">
        <f t="shared" si="3"/>
        <v>0</v>
      </c>
      <c r="G7" s="389">
        <f t="shared" si="3"/>
        <v>0</v>
      </c>
      <c r="H7" s="389">
        <f t="shared" si="3"/>
        <v>0</v>
      </c>
      <c r="I7" s="389">
        <f t="shared" si="3"/>
        <v>0</v>
      </c>
      <c r="J7" s="389">
        <f t="shared" si="3"/>
        <v>0</v>
      </c>
      <c r="K7" s="389">
        <f t="shared" si="3"/>
        <v>0</v>
      </c>
      <c r="L7" s="389">
        <f t="shared" si="3"/>
        <v>0</v>
      </c>
      <c r="M7" s="389">
        <f t="shared" si="3"/>
        <v>0</v>
      </c>
      <c r="N7" s="389">
        <f t="shared" si="3"/>
        <v>0</v>
      </c>
      <c r="O7" s="390">
        <f t="shared" si="3"/>
        <v>0</v>
      </c>
      <c r="P7" s="391">
        <f t="shared" si="1"/>
        <v>0</v>
      </c>
      <c r="Q7" s="392" t="str">
        <f t="shared" si="2"/>
        <v>-</v>
      </c>
    </row>
    <row r="8" spans="1:22" ht="16.5" customHeight="1">
      <c r="A8" s="393" t="s">
        <v>17</v>
      </c>
      <c r="B8" s="394">
        <f>+'Ötv''siz Deniz'!B8+'Ötv''li Deniz'!B8</f>
        <v>0</v>
      </c>
      <c r="C8" s="395">
        <f>+'Ötv''siz Deniz'!C8+'Ötv''li Deniz'!C8</f>
        <v>0</v>
      </c>
      <c r="D8" s="396">
        <f>+'Ötv''siz Deniz'!D8+'Ötv''li Deniz'!D8</f>
        <v>0</v>
      </c>
      <c r="E8" s="397">
        <f>+'Ötv''siz Deniz'!E8+'Ötv''li Deniz'!E8</f>
        <v>0</v>
      </c>
      <c r="F8" s="397">
        <f>+'Ötv''siz Deniz'!F8+'Ötv''li Deniz'!F8</f>
        <v>0</v>
      </c>
      <c r="G8" s="397">
        <f>+'Ötv''siz Deniz'!G8+'Ötv''li Deniz'!G8</f>
        <v>0</v>
      </c>
      <c r="H8" s="397">
        <f>+'Ötv''siz Deniz'!H8+'Ötv''li Deniz'!H8</f>
        <v>0</v>
      </c>
      <c r="I8" s="397">
        <f>+'Ötv''siz Deniz'!I8+'Ötv''li Deniz'!I8</f>
        <v>0</v>
      </c>
      <c r="J8" s="397">
        <f>+'Ötv''siz Deniz'!J8+'Ötv''li Deniz'!J8</f>
        <v>0</v>
      </c>
      <c r="K8" s="397">
        <f>+'Ötv''siz Deniz'!K8+'Ötv''li Deniz'!K8</f>
        <v>0</v>
      </c>
      <c r="L8" s="397">
        <f>+'Ötv''siz Deniz'!L8+'Ötv''li Deniz'!L8</f>
        <v>0</v>
      </c>
      <c r="M8" s="397">
        <f>+'Ötv''siz Deniz'!M8+'Ötv''li Deniz'!M8</f>
        <v>0</v>
      </c>
      <c r="N8" s="397">
        <f>+'Ötv''siz Deniz'!N8+'Ötv''li Deniz'!N8</f>
        <v>0</v>
      </c>
      <c r="O8" s="398">
        <f>+'Ötv''siz Deniz'!O8+'Ötv''li Deniz'!O8</f>
        <v>0</v>
      </c>
      <c r="P8" s="399">
        <f t="shared" si="1"/>
        <v>0</v>
      </c>
      <c r="Q8" s="384" t="str">
        <f t="shared" si="2"/>
        <v>-</v>
      </c>
    </row>
    <row r="9" spans="1:22" ht="16.5" customHeight="1">
      <c r="A9" s="400" t="s">
        <v>81</v>
      </c>
      <c r="B9" s="386">
        <f>+'Ötv''siz Deniz'!B9+'Ötv''li Deniz'!B9</f>
        <v>0</v>
      </c>
      <c r="C9" s="450">
        <f>+'Ötv''siz Deniz'!C9+'Ötv''li Deniz'!C9</f>
        <v>0</v>
      </c>
      <c r="D9" s="402">
        <f>+'Ötv''siz Deniz'!D9+'Ötv''li Deniz'!D9</f>
        <v>0</v>
      </c>
      <c r="E9" s="403">
        <f>+'Ötv''siz Deniz'!E9+'Ötv''li Deniz'!E9</f>
        <v>0</v>
      </c>
      <c r="F9" s="403">
        <f>+'Ötv''siz Deniz'!F9+'Ötv''li Deniz'!F9</f>
        <v>0</v>
      </c>
      <c r="G9" s="403">
        <f>+'Ötv''siz Deniz'!G9+'Ötv''li Deniz'!G9</f>
        <v>0</v>
      </c>
      <c r="H9" s="403">
        <f>+'Ötv''siz Deniz'!H9+'Ötv''li Deniz'!H9</f>
        <v>0</v>
      </c>
      <c r="I9" s="403">
        <f>+'Ötv''siz Deniz'!I9+'Ötv''li Deniz'!I9</f>
        <v>0</v>
      </c>
      <c r="J9" s="403">
        <f>+'Ötv''siz Deniz'!J9+'Ötv''li Deniz'!J9</f>
        <v>0</v>
      </c>
      <c r="K9" s="403">
        <f>+'Ötv''siz Deniz'!K9+'Ötv''li Deniz'!K9</f>
        <v>0</v>
      </c>
      <c r="L9" s="403">
        <f>+'Ötv''siz Deniz'!L9+'Ötv''li Deniz'!L9</f>
        <v>0</v>
      </c>
      <c r="M9" s="403">
        <f>+'Ötv''siz Deniz'!M9+'Ötv''li Deniz'!M9</f>
        <v>0</v>
      </c>
      <c r="N9" s="403">
        <f>+'Ötv''siz Deniz'!N9+'Ötv''li Deniz'!N9</f>
        <v>0</v>
      </c>
      <c r="O9" s="404">
        <f>+'Ötv''siz Deniz'!O9+'Ötv''li Deniz'!O9</f>
        <v>0</v>
      </c>
      <c r="P9" s="386">
        <f>SUM(D9:O9)</f>
        <v>0</v>
      </c>
      <c r="Q9" s="405" t="str">
        <f t="shared" si="2"/>
        <v>-</v>
      </c>
    </row>
    <row r="10" spans="1:22" ht="16.5" hidden="1" customHeight="1">
      <c r="A10" s="406" t="s">
        <v>82</v>
      </c>
      <c r="B10" s="394">
        <f>+'Ötv''siz Deniz'!B10+'Ötv''li Deniz'!B10</f>
        <v>0</v>
      </c>
      <c r="C10" s="395">
        <f>+'Ötv''siz Deniz'!C10+'Ötv''li Deniz'!C10</f>
        <v>0</v>
      </c>
      <c r="D10" s="407">
        <f>+'Ötv''siz Deniz'!D10+'Ötv''li Deniz'!D10</f>
        <v>0</v>
      </c>
      <c r="E10" s="382">
        <f>+'Ötv''siz Deniz'!E10+'Ötv''li Deniz'!E10</f>
        <v>0</v>
      </c>
      <c r="F10" s="382">
        <f>+'Ötv''siz Deniz'!F10+'Ötv''li Deniz'!F10</f>
        <v>0</v>
      </c>
      <c r="G10" s="382">
        <f>+'Ötv''siz Deniz'!G10+'Ötv''li Deniz'!G10</f>
        <v>0</v>
      </c>
      <c r="H10" s="382">
        <f>+'Ötv''siz Deniz'!H10+'Ötv''li Deniz'!H10</f>
        <v>0</v>
      </c>
      <c r="I10" s="382">
        <f>+'Ötv''siz Deniz'!I10+'Ötv''li Deniz'!I10</f>
        <v>0</v>
      </c>
      <c r="J10" s="382">
        <f>+'Ötv''siz Deniz'!J10+'Ötv''li Deniz'!J10</f>
        <v>0</v>
      </c>
      <c r="K10" s="382">
        <f>+'Ötv''siz Deniz'!K10+'Ötv''li Deniz'!K10</f>
        <v>0</v>
      </c>
      <c r="L10" s="382">
        <f>+'Ötv''siz Deniz'!L10+'Ötv''li Deniz'!L10</f>
        <v>0</v>
      </c>
      <c r="M10" s="382">
        <f>+'Ötv''siz Deniz'!M10+'Ötv''li Deniz'!M10</f>
        <v>0</v>
      </c>
      <c r="N10" s="382">
        <f>+'Ötv''siz Deniz'!N10+'Ötv''li Deniz'!N10</f>
        <v>0</v>
      </c>
      <c r="O10" s="383">
        <f>+'Ötv''siz Deniz'!O10+'Ötv''li Deniz'!O10</f>
        <v>0</v>
      </c>
      <c r="P10" s="399">
        <f t="shared" si="1"/>
        <v>0</v>
      </c>
      <c r="Q10" s="384" t="str">
        <f t="shared" si="2"/>
        <v>-</v>
      </c>
    </row>
    <row r="11" spans="1:22" ht="16.5" customHeight="1">
      <c r="A11" s="400" t="s">
        <v>83</v>
      </c>
      <c r="B11" s="408">
        <f>+'Ötv''siz Deniz'!B11+'Ötv''li Deniz'!B11</f>
        <v>0</v>
      </c>
      <c r="C11" s="1275">
        <f>+'Ötv''siz Deniz'!C11+'Ötv''li Deniz'!C11</f>
        <v>0</v>
      </c>
      <c r="D11" s="402">
        <f>+'Ötv''siz Deniz'!D11+'Ötv''li Deniz'!D11</f>
        <v>0</v>
      </c>
      <c r="E11" s="403">
        <f>+'Ötv''siz Deniz'!E11+'Ötv''li Deniz'!E11</f>
        <v>0</v>
      </c>
      <c r="F11" s="403">
        <f>+'Ötv''siz Deniz'!F11+'Ötv''li Deniz'!F11</f>
        <v>0</v>
      </c>
      <c r="G11" s="403">
        <f>+'Ötv''siz Deniz'!G11+'Ötv''li Deniz'!G11</f>
        <v>0</v>
      </c>
      <c r="H11" s="403">
        <f>+'Ötv''siz Deniz'!H11+'Ötv''li Deniz'!H11</f>
        <v>0</v>
      </c>
      <c r="I11" s="403">
        <f>+'Ötv''siz Deniz'!I11+'Ötv''li Deniz'!I11</f>
        <v>0</v>
      </c>
      <c r="J11" s="403">
        <f>+'Ötv''siz Deniz'!J11+'Ötv''li Deniz'!J11</f>
        <v>0</v>
      </c>
      <c r="K11" s="403">
        <f>+'Ötv''siz Deniz'!K11+'Ötv''li Deniz'!K11</f>
        <v>0</v>
      </c>
      <c r="L11" s="403">
        <f>+'Ötv''siz Deniz'!L11+'Ötv''li Deniz'!L11</f>
        <v>0</v>
      </c>
      <c r="M11" s="403">
        <f>+'Ötv''siz Deniz'!M11+'Ötv''li Deniz'!M11</f>
        <v>0</v>
      </c>
      <c r="N11" s="403">
        <f>+'Ötv''siz Deniz'!N11+'Ötv''li Deniz'!N11</f>
        <v>0</v>
      </c>
      <c r="O11" s="404">
        <f>+'Ötv''siz Deniz'!O11+'Ötv''li Deniz'!O11</f>
        <v>0</v>
      </c>
      <c r="P11" s="386">
        <f t="shared" si="1"/>
        <v>0</v>
      </c>
      <c r="Q11" s="405" t="str">
        <f t="shared" si="2"/>
        <v>-</v>
      </c>
    </row>
    <row r="12" spans="1:22" ht="16.5" hidden="1" customHeight="1">
      <c r="A12" s="406" t="s">
        <v>84</v>
      </c>
      <c r="B12" s="378">
        <f>+'Ötv''siz Deniz'!B12+'Ötv''li Deniz'!B12</f>
        <v>0</v>
      </c>
      <c r="C12" s="1274">
        <f>+'Ötv''siz Deniz'!C12+'Ötv''li Deniz'!C12</f>
        <v>0</v>
      </c>
      <c r="D12" s="407">
        <f>+'Ötv''siz Deniz'!D12+'Ötv''li Deniz'!D12</f>
        <v>0</v>
      </c>
      <c r="E12" s="382">
        <f>+'Ötv''siz Deniz'!E12+'Ötv''li Deniz'!E12</f>
        <v>0</v>
      </c>
      <c r="F12" s="382">
        <f>+'Ötv''siz Deniz'!F12+'Ötv''li Deniz'!F12</f>
        <v>0</v>
      </c>
      <c r="G12" s="382">
        <f>+'Ötv''siz Deniz'!G12+'Ötv''li Deniz'!G12</f>
        <v>0</v>
      </c>
      <c r="H12" s="382">
        <f>+'Ötv''siz Deniz'!H12+'Ötv''li Deniz'!H12</f>
        <v>0</v>
      </c>
      <c r="I12" s="381">
        <f>+'Ötv''siz Deniz'!I12+'Ötv''li Deniz'!I12</f>
        <v>0</v>
      </c>
      <c r="J12" s="381">
        <f>+'Ötv''siz Deniz'!J12+'Ötv''li Deniz'!J12</f>
        <v>0</v>
      </c>
      <c r="K12" s="382">
        <f>+'Ötv''siz Deniz'!K12+'Ötv''li Deniz'!K12</f>
        <v>0</v>
      </c>
      <c r="L12" s="382">
        <f>+'Ötv''siz Deniz'!L12+'Ötv''li Deniz'!L12</f>
        <v>0</v>
      </c>
      <c r="M12" s="382">
        <f>+'Ötv''siz Deniz'!M12+'Ötv''li Deniz'!M12</f>
        <v>0</v>
      </c>
      <c r="N12" s="382">
        <f>+'Ötv''siz Deniz'!N12+'Ötv''li Deniz'!N12</f>
        <v>0</v>
      </c>
      <c r="O12" s="383">
        <f>+'Ötv''siz Deniz'!O12+'Ötv''li Deniz'!O12</f>
        <v>0</v>
      </c>
      <c r="P12" s="399">
        <f t="shared" si="1"/>
        <v>0</v>
      </c>
      <c r="Q12" s="384" t="str">
        <f t="shared" si="2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11">
        <f>SUM(B9:B12)</f>
        <v>0</v>
      </c>
      <c r="C13" s="412">
        <f>SUM(C9:C12)</f>
        <v>0</v>
      </c>
      <c r="D13" s="413">
        <f>SUM(D9:D12)</f>
        <v>0</v>
      </c>
      <c r="E13" s="414">
        <f t="shared" ref="E13:O13" si="4">SUM(E9:E12)</f>
        <v>0</v>
      </c>
      <c r="F13" s="414">
        <f t="shared" si="4"/>
        <v>0</v>
      </c>
      <c r="G13" s="414">
        <f t="shared" si="4"/>
        <v>0</v>
      </c>
      <c r="H13" s="414">
        <f t="shared" si="4"/>
        <v>0</v>
      </c>
      <c r="I13" s="414">
        <f t="shared" si="4"/>
        <v>0</v>
      </c>
      <c r="J13" s="414">
        <f t="shared" si="4"/>
        <v>0</v>
      </c>
      <c r="K13" s="414">
        <f t="shared" si="4"/>
        <v>0</v>
      </c>
      <c r="L13" s="414">
        <f t="shared" si="4"/>
        <v>0</v>
      </c>
      <c r="M13" s="414">
        <f t="shared" si="4"/>
        <v>0</v>
      </c>
      <c r="N13" s="414">
        <f t="shared" si="4"/>
        <v>0</v>
      </c>
      <c r="O13" s="412">
        <f t="shared" si="4"/>
        <v>0</v>
      </c>
      <c r="P13" s="411">
        <f t="shared" si="1"/>
        <v>0</v>
      </c>
      <c r="Q13" s="415" t="str">
        <f t="shared" si="2"/>
        <v>-</v>
      </c>
    </row>
    <row r="14" spans="1:22" ht="22.5" customHeight="1" thickBot="1">
      <c r="A14" s="362" t="s">
        <v>25</v>
      </c>
      <c r="B14" s="363">
        <f t="shared" ref="B14:O14" si="5">SUM(B15:B16)</f>
        <v>0</v>
      </c>
      <c r="C14" s="416">
        <f t="shared" si="5"/>
        <v>0</v>
      </c>
      <c r="D14" s="417">
        <f t="shared" si="5"/>
        <v>0</v>
      </c>
      <c r="E14" s="418">
        <f t="shared" si="5"/>
        <v>0</v>
      </c>
      <c r="F14" s="418">
        <f t="shared" si="5"/>
        <v>0</v>
      </c>
      <c r="G14" s="418">
        <f t="shared" si="5"/>
        <v>0</v>
      </c>
      <c r="H14" s="418">
        <f t="shared" si="5"/>
        <v>0</v>
      </c>
      <c r="I14" s="418">
        <f t="shared" si="5"/>
        <v>0</v>
      </c>
      <c r="J14" s="418">
        <f t="shared" si="5"/>
        <v>0</v>
      </c>
      <c r="K14" s="418">
        <f t="shared" si="5"/>
        <v>0</v>
      </c>
      <c r="L14" s="418">
        <f t="shared" si="5"/>
        <v>0</v>
      </c>
      <c r="M14" s="418">
        <f t="shared" si="5"/>
        <v>0</v>
      </c>
      <c r="N14" s="418">
        <f t="shared" si="5"/>
        <v>0</v>
      </c>
      <c r="O14" s="419">
        <f t="shared" si="5"/>
        <v>0</v>
      </c>
      <c r="P14" s="420">
        <f t="shared" si="1"/>
        <v>0</v>
      </c>
      <c r="Q14" s="421" t="str">
        <f t="shared" si="2"/>
        <v>-</v>
      </c>
    </row>
    <row r="15" spans="1:22" ht="16.5" customHeight="1">
      <c r="A15" s="422" t="s">
        <v>19</v>
      </c>
      <c r="B15" s="423"/>
      <c r="C15" s="1276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1"/>
        <v>0</v>
      </c>
      <c r="Q15" s="429" t="str">
        <f t="shared" si="2"/>
        <v>-</v>
      </c>
    </row>
    <row r="16" spans="1:22" ht="16.5" customHeight="1" thickBot="1">
      <c r="A16" s="430" t="s">
        <v>20</v>
      </c>
      <c r="B16" s="431"/>
      <c r="C16" s="1277"/>
      <c r="D16" s="433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5"/>
      <c r="P16" s="436">
        <f t="shared" si="1"/>
        <v>0</v>
      </c>
      <c r="Q16" s="437" t="str">
        <f t="shared" si="2"/>
        <v>-</v>
      </c>
    </row>
    <row r="17" spans="1:22" ht="22.5" customHeight="1" thickBot="1">
      <c r="A17" s="362" t="s">
        <v>26</v>
      </c>
      <c r="B17" s="363">
        <f t="shared" ref="B17:O17" si="6">SUM(B18:B19)</f>
        <v>0</v>
      </c>
      <c r="C17" s="416">
        <f t="shared" si="6"/>
        <v>0</v>
      </c>
      <c r="D17" s="417">
        <f t="shared" si="6"/>
        <v>0</v>
      </c>
      <c r="E17" s="418">
        <f t="shared" si="6"/>
        <v>0</v>
      </c>
      <c r="F17" s="418">
        <f t="shared" si="6"/>
        <v>0</v>
      </c>
      <c r="G17" s="418">
        <f t="shared" si="6"/>
        <v>0</v>
      </c>
      <c r="H17" s="418">
        <f t="shared" si="6"/>
        <v>0</v>
      </c>
      <c r="I17" s="418">
        <f t="shared" si="6"/>
        <v>0</v>
      </c>
      <c r="J17" s="418">
        <f t="shared" si="6"/>
        <v>0</v>
      </c>
      <c r="K17" s="418">
        <f t="shared" si="6"/>
        <v>0</v>
      </c>
      <c r="L17" s="418">
        <f t="shared" si="6"/>
        <v>0</v>
      </c>
      <c r="M17" s="418">
        <f t="shared" si="6"/>
        <v>0</v>
      </c>
      <c r="N17" s="418">
        <f t="shared" si="6"/>
        <v>0</v>
      </c>
      <c r="O17" s="419">
        <f t="shared" si="6"/>
        <v>0</v>
      </c>
      <c r="P17" s="420">
        <f t="shared" si="1"/>
        <v>0</v>
      </c>
      <c r="Q17" s="421" t="str">
        <f t="shared" si="2"/>
        <v>-</v>
      </c>
    </row>
    <row r="18" spans="1:22" ht="16.5" customHeight="1">
      <c r="A18" s="422" t="s">
        <v>106</v>
      </c>
      <c r="B18" s="423"/>
      <c r="C18" s="1276"/>
      <c r="D18" s="425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7"/>
      <c r="P18" s="428">
        <f t="shared" si="1"/>
        <v>0</v>
      </c>
      <c r="Q18" s="429" t="str">
        <f t="shared" si="2"/>
        <v>-</v>
      </c>
    </row>
    <row r="19" spans="1:22" ht="16.5" customHeight="1" thickBot="1">
      <c r="A19" s="438" t="s">
        <v>105</v>
      </c>
      <c r="B19" s="439"/>
      <c r="C19" s="1278"/>
      <c r="D19" s="441"/>
      <c r="E19" s="442"/>
      <c r="F19" s="442"/>
      <c r="G19" s="442"/>
      <c r="H19" s="442"/>
      <c r="I19" s="442"/>
      <c r="J19" s="442"/>
      <c r="K19" s="442"/>
      <c r="L19" s="442"/>
      <c r="M19" s="442"/>
      <c r="N19" s="442"/>
      <c r="O19" s="443"/>
      <c r="P19" s="444">
        <f t="shared" si="1"/>
        <v>0</v>
      </c>
      <c r="Q19" s="445" t="str">
        <f t="shared" si="2"/>
        <v>-</v>
      </c>
    </row>
    <row r="20" spans="1:22" ht="16.5" customHeight="1" thickBot="1">
      <c r="C20" s="1279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1"/>
        <v>0</v>
      </c>
      <c r="Q20" s="447"/>
    </row>
    <row r="21" spans="1:22" ht="22.5" customHeight="1" thickBot="1">
      <c r="A21" s="362" t="s">
        <v>85</v>
      </c>
      <c r="B21" s="363"/>
      <c r="C21" s="364"/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1"/>
        <v>0</v>
      </c>
      <c r="Q21" s="367" t="str">
        <f>IF(P21=0,"-",P21/C21-1)</f>
        <v>-</v>
      </c>
    </row>
    <row r="22" spans="1:22" ht="16.5" customHeight="1" thickBot="1">
      <c r="C22" s="1279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7" t="s">
        <v>672</v>
      </c>
      <c r="E23" s="2378">
        <v>0</v>
      </c>
      <c r="F23" s="2378">
        <v>0</v>
      </c>
      <c r="G23" s="2378">
        <v>0</v>
      </c>
      <c r="H23" s="2378">
        <v>0</v>
      </c>
      <c r="I23" s="2378">
        <v>0</v>
      </c>
      <c r="J23" s="2378">
        <v>0</v>
      </c>
      <c r="K23" s="2378">
        <v>0</v>
      </c>
      <c r="L23" s="2378">
        <v>0</v>
      </c>
      <c r="M23" s="2378">
        <v>0</v>
      </c>
      <c r="N23" s="2378">
        <v>0</v>
      </c>
      <c r="O23" s="2378">
        <v>0</v>
      </c>
      <c r="P23" s="2379">
        <v>0</v>
      </c>
      <c r="Q23" s="937" t="s">
        <v>638</v>
      </c>
    </row>
    <row r="24" spans="1:22" ht="30.75" customHeight="1" thickBot="1">
      <c r="A24" s="356"/>
      <c r="B24" s="357" t="s">
        <v>657</v>
      </c>
      <c r="C24" s="357" t="s">
        <v>663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94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7">D28+D29+D34</f>
        <v>0</v>
      </c>
      <c r="E25" s="366">
        <f t="shared" si="7"/>
        <v>0</v>
      </c>
      <c r="F25" s="366">
        <f t="shared" si="7"/>
        <v>0</v>
      </c>
      <c r="G25" s="366">
        <f t="shared" si="7"/>
        <v>0</v>
      </c>
      <c r="H25" s="366">
        <f t="shared" si="7"/>
        <v>0</v>
      </c>
      <c r="I25" s="366">
        <f t="shared" si="7"/>
        <v>0</v>
      </c>
      <c r="J25" s="366">
        <f t="shared" si="7"/>
        <v>0</v>
      </c>
      <c r="K25" s="366">
        <f t="shared" si="7"/>
        <v>0</v>
      </c>
      <c r="L25" s="366">
        <f t="shared" si="7"/>
        <v>0</v>
      </c>
      <c r="M25" s="366">
        <f t="shared" si="7"/>
        <v>0</v>
      </c>
      <c r="N25" s="366">
        <f t="shared" si="7"/>
        <v>0</v>
      </c>
      <c r="O25" s="364">
        <f t="shared" si="7"/>
        <v>0</v>
      </c>
      <c r="P25" s="363">
        <f t="shared" ref="P25:P44" si="8">SUM(D25:O25)</f>
        <v>0</v>
      </c>
      <c r="Q25" s="367" t="str">
        <f t="shared" ref="Q25:Q40" si="9">IF(P25=0,"-",P25/C25-1)</f>
        <v>-</v>
      </c>
      <c r="R25" s="353">
        <f>+'Ötv''siz Deniz'!P25+'Ötv''li Deniz'!P25</f>
        <v>0</v>
      </c>
    </row>
    <row r="26" spans="1:22" ht="16.5" customHeight="1">
      <c r="A26" s="368" t="s">
        <v>15</v>
      </c>
      <c r="B26" s="369">
        <f>B5*'Satış Fiyat'!B5</f>
        <v>0</v>
      </c>
      <c r="C26" s="1273">
        <f>C5*'Satış Fiyat'!C5</f>
        <v>0</v>
      </c>
      <c r="D26" s="371">
        <f>+'Ötv''siz Deniz'!D26+'Ötv''li Deniz'!D26</f>
        <v>0</v>
      </c>
      <c r="E26" s="372">
        <f>+'Ötv''siz Deniz'!E26+'Ötv''li Deniz'!E26</f>
        <v>0</v>
      </c>
      <c r="F26" s="372">
        <f>+'Ötv''siz Deniz'!F26+'Ötv''li Deniz'!F26</f>
        <v>0</v>
      </c>
      <c r="G26" s="372">
        <f>+'Ötv''siz Deniz'!G26+'Ötv''li Deniz'!G26</f>
        <v>0</v>
      </c>
      <c r="H26" s="373">
        <f>+'Ötv''siz Deniz'!H26+'Ötv''li Deniz'!H26</f>
        <v>0</v>
      </c>
      <c r="I26" s="373">
        <f>+'Ötv''siz Deniz'!I26+'Ötv''li Deniz'!I26</f>
        <v>0</v>
      </c>
      <c r="J26" s="373">
        <f>+'Ötv''siz Deniz'!J26+'Ötv''li Deniz'!J26</f>
        <v>0</v>
      </c>
      <c r="K26" s="373">
        <f>+'Ötv''siz Deniz'!K26+'Ötv''li Deniz'!K26</f>
        <v>0</v>
      </c>
      <c r="L26" s="373">
        <f>+'Ötv''siz Deniz'!L26+'Ötv''li Deniz'!L26</f>
        <v>0</v>
      </c>
      <c r="M26" s="373">
        <f>+'Ötv''siz Deniz'!M26+'Ötv''li Deniz'!M26</f>
        <v>0</v>
      </c>
      <c r="N26" s="373">
        <f>+'Ötv''siz Deniz'!N26+'Ötv''li Deniz'!N26</f>
        <v>0</v>
      </c>
      <c r="O26" s="374">
        <f>+'Ötv''siz Deniz'!O26+'Ötv''li Deniz'!O26</f>
        <v>0</v>
      </c>
      <c r="P26" s="369">
        <f t="shared" si="8"/>
        <v>0</v>
      </c>
      <c r="Q26" s="375" t="str">
        <f t="shared" si="9"/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Fiyat'!B6</f>
        <v>0</v>
      </c>
      <c r="C27" s="1274">
        <f>C6*'Satış Fiyat'!C6</f>
        <v>0</v>
      </c>
      <c r="D27" s="380">
        <f>D6*'Satış Fiyat'!D6</f>
        <v>0</v>
      </c>
      <c r="E27" s="381">
        <f>E6*'Satış Fiyat'!E6</f>
        <v>0</v>
      </c>
      <c r="F27" s="381">
        <f>F6*'Satış Fiyat'!F6</f>
        <v>0</v>
      </c>
      <c r="G27" s="381">
        <f>G6*'Satış Fiyat'!G6</f>
        <v>0</v>
      </c>
      <c r="H27" s="382">
        <f>H6*'Satış Fiyat'!H6</f>
        <v>0</v>
      </c>
      <c r="I27" s="382">
        <f>I6*'Satış Fiyat'!I6</f>
        <v>0</v>
      </c>
      <c r="J27" s="382">
        <f>J6*'Satış Fiyat'!J6</f>
        <v>0</v>
      </c>
      <c r="K27" s="382">
        <f>K6*'Satış Fiyat'!K6</f>
        <v>0</v>
      </c>
      <c r="L27" s="382">
        <f>L6*'Satış Fiyat'!L6</f>
        <v>0</v>
      </c>
      <c r="M27" s="382">
        <f>M6*'Satış Fiyat'!M6</f>
        <v>0</v>
      </c>
      <c r="N27" s="382">
        <f>N6*'Satış Fiyat'!N6</f>
        <v>0</v>
      </c>
      <c r="O27" s="383">
        <f>O6*'Satış Fiyat'!O6</f>
        <v>0</v>
      </c>
      <c r="P27" s="378">
        <f t="shared" si="8"/>
        <v>0</v>
      </c>
      <c r="Q27" s="384" t="str">
        <f t="shared" si="9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0">SUM(D26:D27)</f>
        <v>0</v>
      </c>
      <c r="E28" s="389">
        <f t="shared" si="10"/>
        <v>0</v>
      </c>
      <c r="F28" s="389">
        <f t="shared" si="10"/>
        <v>0</v>
      </c>
      <c r="G28" s="389">
        <f t="shared" si="10"/>
        <v>0</v>
      </c>
      <c r="H28" s="389">
        <f t="shared" si="10"/>
        <v>0</v>
      </c>
      <c r="I28" s="389">
        <f t="shared" si="10"/>
        <v>0</v>
      </c>
      <c r="J28" s="389">
        <f t="shared" si="10"/>
        <v>0</v>
      </c>
      <c r="K28" s="389">
        <f t="shared" si="10"/>
        <v>0</v>
      </c>
      <c r="L28" s="389">
        <f t="shared" si="10"/>
        <v>0</v>
      </c>
      <c r="M28" s="389">
        <f t="shared" si="10"/>
        <v>0</v>
      </c>
      <c r="N28" s="389">
        <f t="shared" si="10"/>
        <v>0</v>
      </c>
      <c r="O28" s="390">
        <f t="shared" si="10"/>
        <v>0</v>
      </c>
      <c r="P28" s="391">
        <f t="shared" si="8"/>
        <v>0</v>
      </c>
      <c r="Q28" s="449" t="str">
        <f t="shared" si="9"/>
        <v>-</v>
      </c>
      <c r="R28" s="352" t="s">
        <v>587</v>
      </c>
    </row>
    <row r="29" spans="1:22" ht="16.5" customHeight="1">
      <c r="A29" s="393" t="s">
        <v>17</v>
      </c>
      <c r="B29" s="394">
        <f>B8*'Satış Fiyat'!B8</f>
        <v>0</v>
      </c>
      <c r="C29" s="395">
        <f>C8*'Satış Fiyat'!C8</f>
        <v>0</v>
      </c>
      <c r="D29" s="396">
        <f>+'Ötv''siz Deniz'!D29+'Ötv''li Deniz'!D29</f>
        <v>0</v>
      </c>
      <c r="E29" s="397">
        <f>+'Ötv''siz Deniz'!E29+'Ötv''li Deniz'!E29</f>
        <v>0</v>
      </c>
      <c r="F29" s="397">
        <f>+'Ötv''siz Deniz'!F29+'Ötv''li Deniz'!F29</f>
        <v>0</v>
      </c>
      <c r="G29" s="397">
        <f>+'Ötv''siz Deniz'!G29+'Ötv''li Deniz'!G29</f>
        <v>0</v>
      </c>
      <c r="H29" s="397">
        <f>+'Ötv''siz Deniz'!H29+'Ötv''li Deniz'!H29</f>
        <v>0</v>
      </c>
      <c r="I29" s="397">
        <f>+'Ötv''siz Deniz'!I29+'Ötv''li Deniz'!I29</f>
        <v>0</v>
      </c>
      <c r="J29" s="397">
        <f>+'Ötv''siz Deniz'!J29+'Ötv''li Deniz'!J29</f>
        <v>0</v>
      </c>
      <c r="K29" s="397">
        <f>+'Ötv''siz Deniz'!K29+'Ötv''li Deniz'!K29</f>
        <v>0</v>
      </c>
      <c r="L29" s="397">
        <f>+'Ötv''siz Deniz'!L29+'Ötv''li Deniz'!L29</f>
        <v>0</v>
      </c>
      <c r="M29" s="397">
        <f>+'Ötv''siz Deniz'!M29+'Ötv''li Deniz'!M29</f>
        <v>0</v>
      </c>
      <c r="N29" s="397">
        <f>+'Ötv''siz Deniz'!N29+'Ötv''li Deniz'!N29</f>
        <v>0</v>
      </c>
      <c r="O29" s="398">
        <f>+'Ötv''siz Deniz'!O29+'Ötv''li Deniz'!O29</f>
        <v>0</v>
      </c>
      <c r="P29" s="399">
        <f t="shared" si="8"/>
        <v>0</v>
      </c>
      <c r="Q29" s="384" t="str">
        <f t="shared" si="9"/>
        <v>-</v>
      </c>
    </row>
    <row r="30" spans="1:22" ht="16.5" customHeight="1">
      <c r="A30" s="400" t="s">
        <v>81</v>
      </c>
      <c r="B30" s="391"/>
      <c r="C30" s="450">
        <f>+'Ötv''siz Deniz'!C30+'Ötv''li Deniz'!C30</f>
        <v>0</v>
      </c>
      <c r="D30" s="388">
        <f>+'Ötv''siz Deniz'!D30+'Ötv''li Deniz'!D30</f>
        <v>0</v>
      </c>
      <c r="E30" s="389">
        <f>+'Ötv''siz Deniz'!E30+'Ötv''li Deniz'!E30</f>
        <v>0</v>
      </c>
      <c r="F30" s="389">
        <f>+'Ötv''siz Deniz'!F30+'Ötv''li Deniz'!F30</f>
        <v>0</v>
      </c>
      <c r="G30" s="389">
        <f>+'Ötv''siz Deniz'!G30+'Ötv''li Deniz'!G30</f>
        <v>0</v>
      </c>
      <c r="H30" s="389">
        <f>+'Ötv''siz Deniz'!H30+'Ötv''li Deniz'!H30</f>
        <v>0</v>
      </c>
      <c r="I30" s="389">
        <f>+'Ötv''siz Deniz'!I30+'Ötv''li Deniz'!I30</f>
        <v>0</v>
      </c>
      <c r="J30" s="389">
        <f>+'Ötv''siz Deniz'!J30+'Ötv''li Deniz'!J30</f>
        <v>0</v>
      </c>
      <c r="K30" s="389">
        <f>+'Ötv''siz Deniz'!K30+'Ötv''li Deniz'!K30</f>
        <v>0</v>
      </c>
      <c r="L30" s="389">
        <f>+'Ötv''siz Deniz'!L30+'Ötv''li Deniz'!L30</f>
        <v>0</v>
      </c>
      <c r="M30" s="389">
        <f>+'Ötv''siz Deniz'!M30+'Ötv''li Deniz'!M30</f>
        <v>0</v>
      </c>
      <c r="N30" s="389">
        <f>+'Ötv''siz Deniz'!N30+'Ötv''li Deniz'!N30</f>
        <v>0</v>
      </c>
      <c r="O30" s="390">
        <f>+'Ötv''siz Deniz'!O30+'Ötv''li Deniz'!O30</f>
        <v>0</v>
      </c>
      <c r="P30" s="386">
        <f t="shared" si="8"/>
        <v>0</v>
      </c>
      <c r="Q30" s="405" t="str">
        <f t="shared" si="9"/>
        <v>-</v>
      </c>
    </row>
    <row r="31" spans="1:22" ht="16.5" hidden="1" customHeight="1">
      <c r="A31" s="406" t="s">
        <v>82</v>
      </c>
      <c r="B31" s="394">
        <f>+'Ötv''siz Deniz'!B31+'Ötv''li Deniz'!B31</f>
        <v>0</v>
      </c>
      <c r="C31" s="395">
        <f>+'Ötv''siz Deniz'!C31+'Ötv''li Deniz'!C31</f>
        <v>0</v>
      </c>
      <c r="D31" s="396">
        <f>+'Ötv''siz Deniz'!D31+'Ötv''li Deniz'!D31</f>
        <v>0</v>
      </c>
      <c r="E31" s="397">
        <f>+'Ötv''siz Deniz'!E31+'Ötv''li Deniz'!E31</f>
        <v>0</v>
      </c>
      <c r="F31" s="397">
        <f>+'Ötv''siz Deniz'!F31+'Ötv''li Deniz'!F31</f>
        <v>0</v>
      </c>
      <c r="G31" s="397">
        <f>+'Ötv''siz Deniz'!G31+'Ötv''li Deniz'!G31</f>
        <v>0</v>
      </c>
      <c r="H31" s="397">
        <f>+'Ötv''siz Deniz'!H31+'Ötv''li Deniz'!H31</f>
        <v>0</v>
      </c>
      <c r="I31" s="397">
        <f>+'Ötv''siz Deniz'!I31+'Ötv''li Deniz'!I31</f>
        <v>0</v>
      </c>
      <c r="J31" s="397">
        <f>+'Ötv''siz Deniz'!J31+'Ötv''li Deniz'!J31</f>
        <v>0</v>
      </c>
      <c r="K31" s="397">
        <f>+'Ötv''siz Deniz'!K31+'Ötv''li Deniz'!K31</f>
        <v>0</v>
      </c>
      <c r="L31" s="397">
        <f>+'Ötv''siz Deniz'!L31+'Ötv''li Deniz'!L31</f>
        <v>0</v>
      </c>
      <c r="M31" s="397">
        <f>+'Ötv''siz Deniz'!M31+'Ötv''li Deniz'!M31</f>
        <v>0</v>
      </c>
      <c r="N31" s="397">
        <f>+'Ötv''siz Deniz'!N31+'Ötv''li Deniz'!N31</f>
        <v>0</v>
      </c>
      <c r="O31" s="398">
        <f>+'Ötv''siz Deniz'!O31+'Ötv''li Deniz'!O31</f>
        <v>0</v>
      </c>
      <c r="P31" s="399">
        <f t="shared" si="8"/>
        <v>0</v>
      </c>
      <c r="Q31" s="384" t="str">
        <f t="shared" si="9"/>
        <v>-</v>
      </c>
    </row>
    <row r="32" spans="1:22" ht="16.5" customHeight="1">
      <c r="A32" s="400" t="s">
        <v>83</v>
      </c>
      <c r="B32" s="408">
        <f>+'Ötv''siz Deniz'!B32+'Ötv''li Deniz'!B32</f>
        <v>0</v>
      </c>
      <c r="C32" s="1275">
        <f>+'Ötv''siz Deniz'!C32+'Ötv''li Deniz'!C32</f>
        <v>0</v>
      </c>
      <c r="D32" s="402">
        <f>+'Ötv''siz Deniz'!D32+'Ötv''li Deniz'!D32</f>
        <v>0</v>
      </c>
      <c r="E32" s="403">
        <f>+'Ötv''siz Deniz'!E32+'Ötv''li Deniz'!E32</f>
        <v>0</v>
      </c>
      <c r="F32" s="389">
        <f>+'Ötv''siz Deniz'!F32+'Ötv''li Deniz'!F32</f>
        <v>0</v>
      </c>
      <c r="G32" s="403">
        <f>+'Ötv''siz Deniz'!G32+'Ötv''li Deniz'!G32</f>
        <v>0</v>
      </c>
      <c r="H32" s="403">
        <f>+'Ötv''siz Deniz'!H32+'Ötv''li Deniz'!H32</f>
        <v>0</v>
      </c>
      <c r="I32" s="403">
        <f>+'Ötv''siz Deniz'!I32+'Ötv''li Deniz'!I32</f>
        <v>0</v>
      </c>
      <c r="J32" s="403">
        <f>+'Ötv''siz Deniz'!J32+'Ötv''li Deniz'!J32</f>
        <v>0</v>
      </c>
      <c r="K32" s="403">
        <f>+'Ötv''siz Deniz'!K32+'Ötv''li Deniz'!K32</f>
        <v>0</v>
      </c>
      <c r="L32" s="403">
        <f>+'Ötv''siz Deniz'!L32+'Ötv''li Deniz'!L32</f>
        <v>0</v>
      </c>
      <c r="M32" s="403">
        <f>+'Ötv''siz Deniz'!M32+'Ötv''li Deniz'!M32</f>
        <v>0</v>
      </c>
      <c r="N32" s="403">
        <f>+'Ötv''siz Deniz'!N32+'Ötv''li Deniz'!N32</f>
        <v>0</v>
      </c>
      <c r="O32" s="404">
        <f>+'Ötv''siz Deniz'!O32+'Ötv''li Deniz'!O32</f>
        <v>0</v>
      </c>
      <c r="P32" s="386">
        <f t="shared" si="8"/>
        <v>0</v>
      </c>
      <c r="Q32" s="405" t="str">
        <f t="shared" si="9"/>
        <v>-</v>
      </c>
    </row>
    <row r="33" spans="1:22" ht="16.5" hidden="1" customHeight="1">
      <c r="A33" s="406" t="s">
        <v>84</v>
      </c>
      <c r="B33" s="378">
        <f>B12*'Satış Fiyat'!B12</f>
        <v>0</v>
      </c>
      <c r="C33" s="1274">
        <f>C12*'Satış Fiyat'!C12</f>
        <v>0</v>
      </c>
      <c r="D33" s="407">
        <f>D12*'Satış Fiyat'!D12</f>
        <v>0</v>
      </c>
      <c r="E33" s="382">
        <f>E12*'Satış Fiyat'!E12</f>
        <v>0</v>
      </c>
      <c r="F33" s="382">
        <f>F12*'Satış Fiyat'!F12</f>
        <v>0</v>
      </c>
      <c r="G33" s="382">
        <f>G12*'Satış Fiyat'!G12</f>
        <v>0</v>
      </c>
      <c r="H33" s="382">
        <f>H12*'Satış Fiyat'!H12</f>
        <v>0</v>
      </c>
      <c r="I33" s="381">
        <f>I12*'Satış Fiyat'!I12</f>
        <v>0</v>
      </c>
      <c r="J33" s="381">
        <f>J12*'Satış Fiyat'!J12</f>
        <v>0</v>
      </c>
      <c r="K33" s="382">
        <f>K12*'Satış Fiyat'!K12</f>
        <v>0</v>
      </c>
      <c r="L33" s="382">
        <f>L12*'Satış Fiyat'!L12</f>
        <v>0</v>
      </c>
      <c r="M33" s="382">
        <f>M12*'Satış Fiyat'!M12</f>
        <v>0</v>
      </c>
      <c r="N33" s="382">
        <f>N12*'Satış Fiyat'!N12</f>
        <v>0</v>
      </c>
      <c r="O33" s="383">
        <f>O12*'Satış Fiyat'!O12</f>
        <v>0</v>
      </c>
      <c r="P33" s="399">
        <f t="shared" si="8"/>
        <v>0</v>
      </c>
      <c r="Q33" s="384" t="str">
        <f t="shared" si="9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1">SUM(E30:E33)</f>
        <v>0</v>
      </c>
      <c r="F34" s="414">
        <f t="shared" si="11"/>
        <v>0</v>
      </c>
      <c r="G34" s="414">
        <f t="shared" si="11"/>
        <v>0</v>
      </c>
      <c r="H34" s="414">
        <f t="shared" si="11"/>
        <v>0</v>
      </c>
      <c r="I34" s="414">
        <f t="shared" si="11"/>
        <v>0</v>
      </c>
      <c r="J34" s="414">
        <f t="shared" si="11"/>
        <v>0</v>
      </c>
      <c r="K34" s="414">
        <f t="shared" si="11"/>
        <v>0</v>
      </c>
      <c r="L34" s="414">
        <f t="shared" si="11"/>
        <v>0</v>
      </c>
      <c r="M34" s="414">
        <f t="shared" si="11"/>
        <v>0</v>
      </c>
      <c r="N34" s="414">
        <f t="shared" si="11"/>
        <v>0</v>
      </c>
      <c r="O34" s="412">
        <f t="shared" si="11"/>
        <v>0</v>
      </c>
      <c r="P34" s="411">
        <f t="shared" si="8"/>
        <v>0</v>
      </c>
      <c r="Q34" s="415" t="str">
        <f t="shared" si="9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:O35" si="12">SUM(C36:C37)</f>
        <v>0</v>
      </c>
      <c r="D35" s="417">
        <f t="shared" si="12"/>
        <v>0</v>
      </c>
      <c r="E35" s="418">
        <f t="shared" si="12"/>
        <v>0</v>
      </c>
      <c r="F35" s="418">
        <f t="shared" si="12"/>
        <v>0</v>
      </c>
      <c r="G35" s="418">
        <f t="shared" si="12"/>
        <v>0</v>
      </c>
      <c r="H35" s="418">
        <f t="shared" si="12"/>
        <v>0</v>
      </c>
      <c r="I35" s="418">
        <f t="shared" si="12"/>
        <v>0</v>
      </c>
      <c r="J35" s="418">
        <f t="shared" si="12"/>
        <v>0</v>
      </c>
      <c r="K35" s="418">
        <f t="shared" si="12"/>
        <v>0</v>
      </c>
      <c r="L35" s="418">
        <f t="shared" si="12"/>
        <v>0</v>
      </c>
      <c r="M35" s="418">
        <f t="shared" si="12"/>
        <v>0</v>
      </c>
      <c r="N35" s="418">
        <f t="shared" si="12"/>
        <v>0</v>
      </c>
      <c r="O35" s="419">
        <f t="shared" si="12"/>
        <v>0</v>
      </c>
      <c r="P35" s="420">
        <f t="shared" si="8"/>
        <v>0</v>
      </c>
      <c r="Q35" s="421" t="str">
        <f t="shared" si="9"/>
        <v>-</v>
      </c>
    </row>
    <row r="36" spans="1:22" ht="16.5" customHeight="1">
      <c r="A36" s="422" t="s">
        <v>19</v>
      </c>
      <c r="B36" s="423">
        <f>B15*'Satış Fiyat'!B15</f>
        <v>0</v>
      </c>
      <c r="C36" s="1276">
        <f>C15*'Satış Fiyat'!C15</f>
        <v>0</v>
      </c>
      <c r="D36" s="425">
        <f>D15*'Satış Fiyat'!D15</f>
        <v>0</v>
      </c>
      <c r="E36" s="426">
        <f>E15*'Satış Fiyat'!E15</f>
        <v>0</v>
      </c>
      <c r="F36" s="426">
        <f>F15*'Satış Fiyat'!F15</f>
        <v>0</v>
      </c>
      <c r="G36" s="426">
        <f>G15*'Satış Fiyat'!G15</f>
        <v>0</v>
      </c>
      <c r="H36" s="426">
        <f>H15*'Satış Fiyat'!H15</f>
        <v>0</v>
      </c>
      <c r="I36" s="426">
        <f>I15*'Satış Fiyat'!I15</f>
        <v>0</v>
      </c>
      <c r="J36" s="426">
        <f>J15*'Satış Fiyat'!J15</f>
        <v>0</v>
      </c>
      <c r="K36" s="426">
        <f>K15*'Satış Fiyat'!K15</f>
        <v>0</v>
      </c>
      <c r="L36" s="426">
        <f>L15*'Satış Fiyat'!L15</f>
        <v>0</v>
      </c>
      <c r="M36" s="426">
        <f>M15*'Satış Fiyat'!M15</f>
        <v>0</v>
      </c>
      <c r="N36" s="426">
        <f>N15*'Satış Fiyat'!N15</f>
        <v>0</v>
      </c>
      <c r="O36" s="427">
        <f>O15*'Satış Fiyat'!O15</f>
        <v>0</v>
      </c>
      <c r="P36" s="428">
        <f t="shared" si="8"/>
        <v>0</v>
      </c>
      <c r="Q36" s="429" t="str">
        <f t="shared" si="9"/>
        <v>-</v>
      </c>
    </row>
    <row r="37" spans="1:22" ht="16.5" customHeight="1" thickBot="1">
      <c r="A37" s="430" t="s">
        <v>20</v>
      </c>
      <c r="B37" s="431">
        <f>B16*'Satış Fiyat'!B16</f>
        <v>0</v>
      </c>
      <c r="C37" s="1277">
        <f>C16*'Satış Fiyat'!C16</f>
        <v>0</v>
      </c>
      <c r="D37" s="433">
        <f>D16*'Satış Fiyat'!D16</f>
        <v>0</v>
      </c>
      <c r="E37" s="434">
        <f>E16*'Satış Fiyat'!E16</f>
        <v>0</v>
      </c>
      <c r="F37" s="434">
        <f>F16*'Satış Fiyat'!F16</f>
        <v>0</v>
      </c>
      <c r="G37" s="434">
        <f>G16*'Satış Fiyat'!G16</f>
        <v>0</v>
      </c>
      <c r="H37" s="434">
        <f>H16*'Satış Fiyat'!H16</f>
        <v>0</v>
      </c>
      <c r="I37" s="434">
        <f>I16*'Satış Fiyat'!I16</f>
        <v>0</v>
      </c>
      <c r="J37" s="434">
        <f>J16*'Satış Fiyat'!J16</f>
        <v>0</v>
      </c>
      <c r="K37" s="434">
        <f>K16*'Satış Fiyat'!K16</f>
        <v>0</v>
      </c>
      <c r="L37" s="434">
        <f>L16*'Satış Fiyat'!L16</f>
        <v>0</v>
      </c>
      <c r="M37" s="434">
        <f>M16*'Satış Fiyat'!M16</f>
        <v>0</v>
      </c>
      <c r="N37" s="434">
        <f>N16*'Satış Fiyat'!N16</f>
        <v>0</v>
      </c>
      <c r="O37" s="435">
        <f>O16*'Satış Fiyat'!O16</f>
        <v>0</v>
      </c>
      <c r="P37" s="436">
        <f t="shared" si="8"/>
        <v>0</v>
      </c>
      <c r="Q37" s="437" t="str">
        <f t="shared" si="9"/>
        <v>-</v>
      </c>
    </row>
    <row r="38" spans="1:22" ht="22.5" customHeight="1" thickBot="1">
      <c r="A38" s="362" t="s">
        <v>30</v>
      </c>
      <c r="B38" s="363">
        <f t="shared" ref="B38:O38" si="13">SUM(B39:B40)</f>
        <v>0</v>
      </c>
      <c r="C38" s="416">
        <f t="shared" si="13"/>
        <v>0</v>
      </c>
      <c r="D38" s="417">
        <f t="shared" si="13"/>
        <v>0</v>
      </c>
      <c r="E38" s="418">
        <f t="shared" si="13"/>
        <v>0</v>
      </c>
      <c r="F38" s="418">
        <f t="shared" si="13"/>
        <v>0</v>
      </c>
      <c r="G38" s="418">
        <f t="shared" si="13"/>
        <v>0</v>
      </c>
      <c r="H38" s="418">
        <f t="shared" si="13"/>
        <v>0</v>
      </c>
      <c r="I38" s="418">
        <f t="shared" si="13"/>
        <v>0</v>
      </c>
      <c r="J38" s="418">
        <f t="shared" si="13"/>
        <v>0</v>
      </c>
      <c r="K38" s="418">
        <f t="shared" si="13"/>
        <v>0</v>
      </c>
      <c r="L38" s="418">
        <f t="shared" si="13"/>
        <v>0</v>
      </c>
      <c r="M38" s="418">
        <f t="shared" si="13"/>
        <v>0</v>
      </c>
      <c r="N38" s="418">
        <f t="shared" si="13"/>
        <v>0</v>
      </c>
      <c r="O38" s="419">
        <f t="shared" si="13"/>
        <v>0</v>
      </c>
      <c r="P38" s="420">
        <f t="shared" si="8"/>
        <v>0</v>
      </c>
      <c r="Q38" s="421" t="str">
        <f t="shared" si="9"/>
        <v>-</v>
      </c>
    </row>
    <row r="39" spans="1:22" ht="16.5" customHeight="1">
      <c r="A39" s="422" t="s">
        <v>106</v>
      </c>
      <c r="B39" s="423">
        <f>B18*'Satış Fiyat'!B18</f>
        <v>0</v>
      </c>
      <c r="C39" s="1276">
        <f>C18*'Satış Fiyat'!C18</f>
        <v>0</v>
      </c>
      <c r="D39" s="425">
        <f>D18*'Satış Fiyat'!D18</f>
        <v>0</v>
      </c>
      <c r="E39" s="426">
        <f>E18*'Satış Fiyat'!E18</f>
        <v>0</v>
      </c>
      <c r="F39" s="426">
        <f>F18*'Satış Fiyat'!F18</f>
        <v>0</v>
      </c>
      <c r="G39" s="426">
        <f>G18*'Satış Fiyat'!G18</f>
        <v>0</v>
      </c>
      <c r="H39" s="426">
        <f>H18*'Satış Fiyat'!H18</f>
        <v>0</v>
      </c>
      <c r="I39" s="426">
        <f>I18*'Satış Fiyat'!I18</f>
        <v>0</v>
      </c>
      <c r="J39" s="426">
        <f>J18*'Satış Fiyat'!J18</f>
        <v>0</v>
      </c>
      <c r="K39" s="426">
        <f>K18*'Satış Fiyat'!K18</f>
        <v>0</v>
      </c>
      <c r="L39" s="426">
        <f>L18*'Satış Fiyat'!L18</f>
        <v>0</v>
      </c>
      <c r="M39" s="426">
        <f>M18*'Satış Fiyat'!M18</f>
        <v>0</v>
      </c>
      <c r="N39" s="426">
        <f>N18*'Satış Fiyat'!N18</f>
        <v>0</v>
      </c>
      <c r="O39" s="427">
        <f>O18*'Satış Fiyat'!O18</f>
        <v>0</v>
      </c>
      <c r="P39" s="428">
        <f t="shared" si="8"/>
        <v>0</v>
      </c>
      <c r="Q39" s="429" t="str">
        <f t="shared" si="9"/>
        <v>-</v>
      </c>
    </row>
    <row r="40" spans="1:22" ht="16.5" customHeight="1" thickBot="1">
      <c r="A40" s="438" t="s">
        <v>105</v>
      </c>
      <c r="B40" s="439">
        <f>B19*'Satış Fiyat'!B19</f>
        <v>0</v>
      </c>
      <c r="C40" s="1278">
        <f>C19*'Satış Fiyat'!C19</f>
        <v>0</v>
      </c>
      <c r="D40" s="441">
        <f>D19*'Satış Fiyat'!D19</f>
        <v>0</v>
      </c>
      <c r="E40" s="442">
        <f>E19*'Satış Fiyat'!E19</f>
        <v>0</v>
      </c>
      <c r="F40" s="442">
        <f>F19*'Satış Fiyat'!F19</f>
        <v>0</v>
      </c>
      <c r="G40" s="442">
        <f>G19*'Satış Fiyat'!G19</f>
        <v>0</v>
      </c>
      <c r="H40" s="442">
        <f>H19*'Satış Fiyat'!H19</f>
        <v>0</v>
      </c>
      <c r="I40" s="442">
        <f>I19*'Satış Fiyat'!I19</f>
        <v>0</v>
      </c>
      <c r="J40" s="442">
        <f>J19*'Satış Fiyat'!J19</f>
        <v>0</v>
      </c>
      <c r="K40" s="442">
        <f>K19*'Satış Fiyat'!K19</f>
        <v>0</v>
      </c>
      <c r="L40" s="442">
        <f>L19*'Satış Fiyat'!L19</f>
        <v>0</v>
      </c>
      <c r="M40" s="442">
        <f>M19*'Satış Fiyat'!M19</f>
        <v>0</v>
      </c>
      <c r="N40" s="442">
        <f>N19*'Satış Fiyat'!N19</f>
        <v>0</v>
      </c>
      <c r="O40" s="443">
        <f>O19*'Satış Fiyat'!O19</f>
        <v>0</v>
      </c>
      <c r="P40" s="444">
        <f t="shared" si="8"/>
        <v>0</v>
      </c>
      <c r="Q40" s="445" t="str">
        <f t="shared" si="9"/>
        <v>-</v>
      </c>
    </row>
    <row r="41" spans="1:22" ht="16.5" customHeight="1" thickBot="1">
      <c r="C41" s="1279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>
        <f>B21*'Satış Fiyat'!B21</f>
        <v>0</v>
      </c>
      <c r="C42" s="364">
        <f>C21*'Satış Fiyat'!C21</f>
        <v>0</v>
      </c>
      <c r="D42" s="365">
        <f>D21*'Satış Fiyat'!D21</f>
        <v>0</v>
      </c>
      <c r="E42" s="366">
        <f>E21*'Satış Fiyat'!E21</f>
        <v>0</v>
      </c>
      <c r="F42" s="366">
        <f>F21*'Satış Fiyat'!F21</f>
        <v>0</v>
      </c>
      <c r="G42" s="366">
        <f>G21*'Satış Fiyat'!G21</f>
        <v>0</v>
      </c>
      <c r="H42" s="366">
        <f>H21*'Satış Fiyat'!H21</f>
        <v>0</v>
      </c>
      <c r="I42" s="366">
        <f>I21*'Satış Fiyat'!I21</f>
        <v>0</v>
      </c>
      <c r="J42" s="366">
        <f>J21*'Satış Fiyat'!J21</f>
        <v>0</v>
      </c>
      <c r="K42" s="366">
        <f>K21*'Satış Fiyat'!K21</f>
        <v>0</v>
      </c>
      <c r="L42" s="366">
        <f>L21*'Satış Fiyat'!L21</f>
        <v>0</v>
      </c>
      <c r="M42" s="366">
        <f>M21*'Satış Fiyat'!M21</f>
        <v>0</v>
      </c>
      <c r="N42" s="366">
        <f>N21*'Satış Fiyat'!N21</f>
        <v>0</v>
      </c>
      <c r="O42" s="448">
        <f>O21*'Satış Fiyat'!O21</f>
        <v>0</v>
      </c>
      <c r="P42" s="363">
        <f t="shared" si="8"/>
        <v>0</v>
      </c>
      <c r="Q42" s="367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8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>+C25+C35+C38+C42</f>
        <v>0</v>
      </c>
      <c r="D44" s="365">
        <f t="shared" ref="D44:O44" si="14">+D25+D35+D38+D42</f>
        <v>0</v>
      </c>
      <c r="E44" s="366">
        <f t="shared" si="14"/>
        <v>0</v>
      </c>
      <c r="F44" s="366">
        <f t="shared" si="14"/>
        <v>0</v>
      </c>
      <c r="G44" s="366">
        <f>+G25+G35+G38+G42</f>
        <v>0</v>
      </c>
      <c r="H44" s="366">
        <f t="shared" si="14"/>
        <v>0</v>
      </c>
      <c r="I44" s="366">
        <f t="shared" si="14"/>
        <v>0</v>
      </c>
      <c r="J44" s="366">
        <f t="shared" si="14"/>
        <v>0</v>
      </c>
      <c r="K44" s="366">
        <f t="shared" si="14"/>
        <v>0</v>
      </c>
      <c r="L44" s="366">
        <f t="shared" si="14"/>
        <v>0</v>
      </c>
      <c r="M44" s="366">
        <f t="shared" si="14"/>
        <v>0</v>
      </c>
      <c r="N44" s="366">
        <f t="shared" si="14"/>
        <v>0</v>
      </c>
      <c r="O44" s="364">
        <f t="shared" si="14"/>
        <v>0</v>
      </c>
      <c r="P44" s="363">
        <f t="shared" si="8"/>
        <v>0</v>
      </c>
      <c r="Q44" s="367" t="str">
        <f>IF(P44=0,"-",P44/C44-1)</f>
        <v>-</v>
      </c>
      <c r="R44" s="630"/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7" t="s">
        <v>673</v>
      </c>
      <c r="E46" s="2378">
        <v>0</v>
      </c>
      <c r="F46" s="2378">
        <v>0</v>
      </c>
      <c r="G46" s="2378">
        <v>0</v>
      </c>
      <c r="H46" s="2378">
        <v>0</v>
      </c>
      <c r="I46" s="2378">
        <v>0</v>
      </c>
      <c r="J46" s="2378">
        <v>0</v>
      </c>
      <c r="K46" s="2378">
        <v>0</v>
      </c>
      <c r="L46" s="2378">
        <v>0</v>
      </c>
      <c r="M46" s="2378">
        <v>0</v>
      </c>
      <c r="N46" s="2378">
        <v>0</v>
      </c>
      <c r="O46" s="2378">
        <v>0</v>
      </c>
      <c r="P46" s="2379">
        <v>0</v>
      </c>
      <c r="Q46" s="937" t="s">
        <v>638</v>
      </c>
    </row>
    <row r="47" spans="1:22" ht="30.75" customHeight="1" thickBot="1">
      <c r="A47" s="356"/>
      <c r="B47" s="357" t="s">
        <v>657</v>
      </c>
      <c r="C47" s="357" t="s">
        <v>663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94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:O48" si="15">C51+C52+C57</f>
        <v>0</v>
      </c>
      <c r="D48" s="365">
        <f t="shared" si="15"/>
        <v>0</v>
      </c>
      <c r="E48" s="366">
        <f t="shared" si="15"/>
        <v>0</v>
      </c>
      <c r="F48" s="366">
        <f t="shared" si="15"/>
        <v>0</v>
      </c>
      <c r="G48" s="366">
        <f t="shared" si="15"/>
        <v>0</v>
      </c>
      <c r="H48" s="366">
        <f t="shared" si="15"/>
        <v>0</v>
      </c>
      <c r="I48" s="366">
        <f t="shared" si="15"/>
        <v>0</v>
      </c>
      <c r="J48" s="366">
        <f t="shared" si="15"/>
        <v>0</v>
      </c>
      <c r="K48" s="366">
        <f t="shared" si="15"/>
        <v>0</v>
      </c>
      <c r="L48" s="366">
        <f t="shared" si="15"/>
        <v>0</v>
      </c>
      <c r="M48" s="366">
        <f t="shared" si="15"/>
        <v>0</v>
      </c>
      <c r="N48" s="366">
        <f t="shared" si="15"/>
        <v>0</v>
      </c>
      <c r="O48" s="364">
        <f t="shared" si="15"/>
        <v>0</v>
      </c>
      <c r="P48" s="363">
        <f t="shared" ref="P48:P67" si="16">SUM(D48:O48)</f>
        <v>0</v>
      </c>
      <c r="Q48" s="367" t="str">
        <f t="shared" ref="Q48:Q63" si="17">IF(P48=0,"-",P48/C48-1)</f>
        <v>-</v>
      </c>
      <c r="R48" s="353">
        <f>+P48-'Ötv''siz Deniz'!P48-'Ötv''li Deniz'!P48</f>
        <v>0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273"/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18">+$T$49*H26</f>
        <v>0</v>
      </c>
      <c r="I49" s="373">
        <f>+$T$49*I26</f>
        <v>0</v>
      </c>
      <c r="J49" s="373">
        <f>+$U$49*J26</f>
        <v>0</v>
      </c>
      <c r="K49" s="373">
        <f t="shared" ref="K49" si="19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16"/>
        <v>0</v>
      </c>
      <c r="Q49" s="375" t="str">
        <f t="shared" si="17"/>
        <v>-</v>
      </c>
      <c r="R49" s="353">
        <f>+P49-'Ötv''siz Deniz'!P49-'Ötv''li Deniz'!P49</f>
        <v>0</v>
      </c>
      <c r="S49" s="457"/>
      <c r="T49" s="457"/>
      <c r="U49" s="457"/>
      <c r="V49" s="457"/>
    </row>
    <row r="50" spans="1:22" ht="16.5" customHeight="1">
      <c r="A50" s="377" t="s">
        <v>16</v>
      </c>
      <c r="B50" s="378"/>
      <c r="C50" s="1274"/>
      <c r="D50" s="380">
        <f>+$S$50*D27</f>
        <v>0</v>
      </c>
      <c r="E50" s="382">
        <f t="shared" ref="E50:O50" si="20">+$S$50*E27</f>
        <v>0</v>
      </c>
      <c r="F50" s="382">
        <f t="shared" si="20"/>
        <v>0</v>
      </c>
      <c r="G50" s="382">
        <f t="shared" si="20"/>
        <v>0</v>
      </c>
      <c r="H50" s="382">
        <f t="shared" si="20"/>
        <v>0</v>
      </c>
      <c r="I50" s="382">
        <f t="shared" si="20"/>
        <v>0</v>
      </c>
      <c r="J50" s="382">
        <f t="shared" si="20"/>
        <v>0</v>
      </c>
      <c r="K50" s="382">
        <f t="shared" si="20"/>
        <v>0</v>
      </c>
      <c r="L50" s="382">
        <f t="shared" si="20"/>
        <v>0</v>
      </c>
      <c r="M50" s="382">
        <f t="shared" si="20"/>
        <v>0</v>
      </c>
      <c r="N50" s="382">
        <f t="shared" si="20"/>
        <v>0</v>
      </c>
      <c r="O50" s="383">
        <f t="shared" si="20"/>
        <v>0</v>
      </c>
      <c r="P50" s="378">
        <f t="shared" si="16"/>
        <v>0</v>
      </c>
      <c r="Q50" s="384" t="str">
        <f t="shared" si="17"/>
        <v>-</v>
      </c>
      <c r="R50" s="353">
        <f>+P50-'Ötv''siz Deniz'!P50-'Ötv''li Deniz'!P50</f>
        <v>0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21">SUM(E49:E50)</f>
        <v>0</v>
      </c>
      <c r="F51" s="389">
        <f t="shared" si="21"/>
        <v>0</v>
      </c>
      <c r="G51" s="389">
        <f>SUM(G49:G50)</f>
        <v>0</v>
      </c>
      <c r="H51" s="389">
        <f t="shared" ref="H51" si="22">SUM(H49:H50)</f>
        <v>0</v>
      </c>
      <c r="I51" s="389">
        <f>SUM(I49:I50)</f>
        <v>0</v>
      </c>
      <c r="J51" s="389">
        <f>SUM(J49:J50)</f>
        <v>0</v>
      </c>
      <c r="K51" s="389">
        <f t="shared" ref="K51" si="23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16"/>
        <v>0</v>
      </c>
      <c r="Q51" s="449" t="str">
        <f t="shared" si="17"/>
        <v>-</v>
      </c>
      <c r="R51" s="353">
        <f>+P51-'Ötv''siz Deniz'!P51-'Ötv''li Deniz'!P51</f>
        <v>0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24">+$S$52*E29</f>
        <v>0</v>
      </c>
      <c r="F52" s="397">
        <f>+$S$52*F29</f>
        <v>0</v>
      </c>
      <c r="G52" s="397">
        <f>+$T$52*G29</f>
        <v>0</v>
      </c>
      <c r="H52" s="397">
        <f t="shared" ref="H52" si="25">+$T$52*H29</f>
        <v>0</v>
      </c>
      <c r="I52" s="397">
        <f>+$T$52*I29</f>
        <v>0</v>
      </c>
      <c r="J52" s="397">
        <f>+$U$52*J29</f>
        <v>0</v>
      </c>
      <c r="K52" s="397">
        <f t="shared" ref="K52" si="26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16"/>
        <v>0</v>
      </c>
      <c r="Q52" s="384" t="str">
        <f t="shared" si="17"/>
        <v>-</v>
      </c>
      <c r="R52" s="353">
        <f>+P52-'Ötv''siz Deniz'!P52-'Ötv''li Deniz'!P52</f>
        <v>0</v>
      </c>
      <c r="S52" s="460"/>
      <c r="T52" s="460"/>
      <c r="U52" s="460"/>
      <c r="V52" s="460"/>
    </row>
    <row r="53" spans="1:22" ht="16.5" customHeight="1">
      <c r="A53" s="400" t="s">
        <v>81</v>
      </c>
      <c r="B53" s="391">
        <f>+'Ötv''siz Deniz'!B53+'Ötv''li Deniz'!B53</f>
        <v>0</v>
      </c>
      <c r="C53" s="450">
        <f>+'Ötv''siz Deniz'!C53+'Ötv''li Deniz'!C53</f>
        <v>0</v>
      </c>
      <c r="D53" s="402">
        <f t="shared" ref="D53:F53" si="27">+$S$53*D30</f>
        <v>0</v>
      </c>
      <c r="E53" s="403">
        <f t="shared" si="27"/>
        <v>0</v>
      </c>
      <c r="F53" s="403">
        <f t="shared" si="27"/>
        <v>0</v>
      </c>
      <c r="G53" s="403">
        <f>+$T$53*G30</f>
        <v>0</v>
      </c>
      <c r="H53" s="403">
        <f t="shared" ref="H53" si="28">+$T$53*H30</f>
        <v>0</v>
      </c>
      <c r="I53" s="403">
        <f>+$T$53*I30</f>
        <v>0</v>
      </c>
      <c r="J53" s="403">
        <f>+$U$53*J30</f>
        <v>0</v>
      </c>
      <c r="K53" s="403">
        <f t="shared" ref="K53" si="29">+$U$53*K30</f>
        <v>0</v>
      </c>
      <c r="L53" s="403">
        <f>+$U$53*L30</f>
        <v>0</v>
      </c>
      <c r="M53" s="403">
        <f>+$V$53*M30</f>
        <v>0</v>
      </c>
      <c r="N53" s="403">
        <f t="shared" ref="N53" si="30">+$V$53*N30</f>
        <v>0</v>
      </c>
      <c r="O53" s="404">
        <f>+$V$53*O30</f>
        <v>0</v>
      </c>
      <c r="P53" s="386">
        <f t="shared" si="16"/>
        <v>0</v>
      </c>
      <c r="Q53" s="405" t="str">
        <f t="shared" si="17"/>
        <v>-</v>
      </c>
      <c r="R53" s="353">
        <f>+P53-'Ötv''siz Deniz'!P53-'Ötv''li Deniz'!P53</f>
        <v>0</v>
      </c>
      <c r="S53" s="461"/>
      <c r="T53" s="461"/>
      <c r="U53" s="461"/>
      <c r="V53" s="461"/>
    </row>
    <row r="54" spans="1:22" ht="16.5" customHeight="1">
      <c r="A54" s="406" t="s">
        <v>82</v>
      </c>
      <c r="B54" s="394">
        <f>+'Ötv''siz Deniz'!B54+'Ötv''li Deniz'!B54</f>
        <v>0</v>
      </c>
      <c r="C54" s="395">
        <f>+'Ötv''siz Deniz'!C54+'Ötv''li Deniz'!C54</f>
        <v>0</v>
      </c>
      <c r="D54" s="407">
        <f t="shared" ref="D54:O54" si="31">+$S$54*D31</f>
        <v>0</v>
      </c>
      <c r="E54" s="382">
        <f t="shared" si="31"/>
        <v>0</v>
      </c>
      <c r="F54" s="382">
        <f t="shared" si="31"/>
        <v>0</v>
      </c>
      <c r="G54" s="382">
        <f t="shared" si="31"/>
        <v>0</v>
      </c>
      <c r="H54" s="382">
        <f t="shared" si="31"/>
        <v>0</v>
      </c>
      <c r="I54" s="382">
        <f t="shared" si="31"/>
        <v>0</v>
      </c>
      <c r="J54" s="382">
        <f t="shared" si="31"/>
        <v>0</v>
      </c>
      <c r="K54" s="382">
        <f t="shared" si="31"/>
        <v>0</v>
      </c>
      <c r="L54" s="382">
        <f t="shared" si="31"/>
        <v>0</v>
      </c>
      <c r="M54" s="382">
        <f t="shared" si="31"/>
        <v>0</v>
      </c>
      <c r="N54" s="382">
        <f t="shared" si="31"/>
        <v>0</v>
      </c>
      <c r="O54" s="383">
        <f t="shared" si="31"/>
        <v>0</v>
      </c>
      <c r="P54" s="399">
        <f t="shared" si="16"/>
        <v>0</v>
      </c>
      <c r="Q54" s="384" t="str">
        <f t="shared" si="17"/>
        <v>-</v>
      </c>
      <c r="R54" s="353">
        <f>+P54-'Ötv''siz Deniz'!P54-'Ötv''li Deniz'!P54</f>
        <v>0</v>
      </c>
      <c r="S54" s="460"/>
      <c r="T54" s="460"/>
      <c r="U54" s="460"/>
      <c r="V54" s="460"/>
    </row>
    <row r="55" spans="1:22" ht="16.5" customHeight="1">
      <c r="A55" s="400" t="s">
        <v>83</v>
      </c>
      <c r="B55" s="408">
        <f>+'Ötv''siz Deniz'!B55+'Ötv''li Deniz'!B55</f>
        <v>0</v>
      </c>
      <c r="C55" s="1275">
        <f>+'Ötv''siz Deniz'!C55+'Ötv''li Deniz'!C55</f>
        <v>0</v>
      </c>
      <c r="D55" s="402">
        <f t="shared" ref="D55:F55" si="32">+$S$55*D32</f>
        <v>0</v>
      </c>
      <c r="E55" s="403">
        <f t="shared" si="32"/>
        <v>0</v>
      </c>
      <c r="F55" s="403">
        <f t="shared" si="32"/>
        <v>0</v>
      </c>
      <c r="G55" s="403">
        <f>+$T$55*G32</f>
        <v>0</v>
      </c>
      <c r="H55" s="403">
        <f t="shared" ref="H55" si="33">+$T$55*H32</f>
        <v>0</v>
      </c>
      <c r="I55" s="403">
        <f>+$T$55*I32</f>
        <v>0</v>
      </c>
      <c r="J55" s="403">
        <f>+$U$55*J32</f>
        <v>0</v>
      </c>
      <c r="K55" s="403">
        <f t="shared" ref="K55" si="34">+$U$55*K32</f>
        <v>0</v>
      </c>
      <c r="L55" s="403">
        <f>+$U$55*L32</f>
        <v>0</v>
      </c>
      <c r="M55" s="403">
        <f>+$V$55*M32</f>
        <v>0</v>
      </c>
      <c r="N55" s="403">
        <f t="shared" ref="N55" si="35">+$V$55*N32</f>
        <v>0</v>
      </c>
      <c r="O55" s="404">
        <f>+$V$55*O32</f>
        <v>0</v>
      </c>
      <c r="P55" s="386">
        <f t="shared" si="16"/>
        <v>0</v>
      </c>
      <c r="Q55" s="405" t="str">
        <f t="shared" si="17"/>
        <v>-</v>
      </c>
      <c r="R55" s="353">
        <f>+P55-'Ötv''siz Deniz'!P55-'Ötv''li Deniz'!P55</f>
        <v>0</v>
      </c>
      <c r="S55" s="461"/>
      <c r="T55" s="461"/>
      <c r="U55" s="461"/>
      <c r="V55" s="461"/>
    </row>
    <row r="56" spans="1:22" ht="16.5" hidden="1" customHeight="1">
      <c r="A56" s="406" t="s">
        <v>84</v>
      </c>
      <c r="B56" s="378"/>
      <c r="C56" s="1274"/>
      <c r="D56" s="407">
        <f t="shared" ref="D56:O56" si="36">+$S$56*D33</f>
        <v>0</v>
      </c>
      <c r="E56" s="382">
        <f t="shared" si="36"/>
        <v>0</v>
      </c>
      <c r="F56" s="382">
        <f t="shared" si="36"/>
        <v>0</v>
      </c>
      <c r="G56" s="382">
        <f t="shared" si="36"/>
        <v>0</v>
      </c>
      <c r="H56" s="382">
        <f t="shared" si="36"/>
        <v>0</v>
      </c>
      <c r="I56" s="382">
        <f t="shared" si="36"/>
        <v>0</v>
      </c>
      <c r="J56" s="382">
        <f t="shared" si="36"/>
        <v>0</v>
      </c>
      <c r="K56" s="382">
        <f t="shared" si="36"/>
        <v>0</v>
      </c>
      <c r="L56" s="382">
        <f t="shared" si="36"/>
        <v>0</v>
      </c>
      <c r="M56" s="382">
        <f t="shared" si="36"/>
        <v>0</v>
      </c>
      <c r="N56" s="382">
        <f t="shared" si="36"/>
        <v>0</v>
      </c>
      <c r="O56" s="383">
        <f t="shared" si="36"/>
        <v>0</v>
      </c>
      <c r="P56" s="399">
        <f t="shared" si="16"/>
        <v>0</v>
      </c>
      <c r="Q56" s="384" t="str">
        <f t="shared" si="17"/>
        <v>-</v>
      </c>
      <c r="R56" s="353">
        <f>+P56-'Ötv''siz Deniz'!P56-'Ötv''li Deniz'!P56</f>
        <v>0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37">SUM(B53:B56)</f>
        <v>0</v>
      </c>
      <c r="C57" s="412">
        <f t="shared" si="37"/>
        <v>0</v>
      </c>
      <c r="D57" s="413">
        <f t="shared" ref="D57:F57" si="38">SUM(D53:D56)</f>
        <v>0</v>
      </c>
      <c r="E57" s="414">
        <f t="shared" si="38"/>
        <v>0</v>
      </c>
      <c r="F57" s="414">
        <f t="shared" si="38"/>
        <v>0</v>
      </c>
      <c r="G57" s="414">
        <f>SUM(G53:G56)</f>
        <v>0</v>
      </c>
      <c r="H57" s="414">
        <f t="shared" ref="H57" si="39">SUM(H53:H56)</f>
        <v>0</v>
      </c>
      <c r="I57" s="414">
        <f>SUM(I53:I56)</f>
        <v>0</v>
      </c>
      <c r="J57" s="414">
        <f>SUM(J53:J56)</f>
        <v>0</v>
      </c>
      <c r="K57" s="414">
        <f t="shared" ref="K57" si="40">SUM(K53:K56)</f>
        <v>0</v>
      </c>
      <c r="L57" s="414">
        <f>SUM(L53:L56)</f>
        <v>0</v>
      </c>
      <c r="M57" s="414">
        <f>SUM(M53:M56)</f>
        <v>0</v>
      </c>
      <c r="N57" s="414">
        <f t="shared" ref="N57" si="41">SUM(N53:N56)</f>
        <v>0</v>
      </c>
      <c r="O57" s="412">
        <f>SUM(O53:O56)</f>
        <v>0</v>
      </c>
      <c r="P57" s="411">
        <f t="shared" si="16"/>
        <v>0</v>
      </c>
      <c r="Q57" s="415" t="str">
        <f t="shared" si="17"/>
        <v>-</v>
      </c>
      <c r="R57" s="353">
        <f>+P57-'Ötv''siz Deniz'!P57-'Ötv''li Deniz'!P57</f>
        <v>0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42">SUM(C59:C60)</f>
        <v>0</v>
      </c>
      <c r="D58" s="417">
        <f t="shared" ref="D58:F58" si="43">SUM(D59:D60)</f>
        <v>0</v>
      </c>
      <c r="E58" s="418">
        <f t="shared" si="43"/>
        <v>0</v>
      </c>
      <c r="F58" s="418">
        <f t="shared" si="43"/>
        <v>0</v>
      </c>
      <c r="G58" s="418">
        <f>SUM(G59:G60)</f>
        <v>0</v>
      </c>
      <c r="H58" s="418">
        <f t="shared" ref="H58" si="44">SUM(H59:H60)</f>
        <v>0</v>
      </c>
      <c r="I58" s="418">
        <f>SUM(I59:I60)</f>
        <v>0</v>
      </c>
      <c r="J58" s="418">
        <f>SUM(J59:J60)</f>
        <v>0</v>
      </c>
      <c r="K58" s="418">
        <f t="shared" ref="K58" si="45">SUM(K59:K60)</f>
        <v>0</v>
      </c>
      <c r="L58" s="418">
        <f>SUM(L59:L60)</f>
        <v>0</v>
      </c>
      <c r="M58" s="418">
        <f>SUM(M59:M60)</f>
        <v>0</v>
      </c>
      <c r="N58" s="418">
        <f t="shared" ref="N58" si="46">SUM(N59:N60)</f>
        <v>0</v>
      </c>
      <c r="O58" s="419">
        <f>SUM(O59:O60)</f>
        <v>0</v>
      </c>
      <c r="P58" s="420">
        <f t="shared" si="16"/>
        <v>0</v>
      </c>
      <c r="Q58" s="421" t="str">
        <f t="shared" si="17"/>
        <v>-</v>
      </c>
      <c r="R58" s="353">
        <f>+P58-'Ötv''siz Deniz'!P58-'Ötv''li Deniz'!P58</f>
        <v>0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1276"/>
      <c r="D59" s="425">
        <f>+$S$59*D36</f>
        <v>0</v>
      </c>
      <c r="E59" s="426">
        <f t="shared" ref="E59:F59" si="47">+$S$59*E36</f>
        <v>0</v>
      </c>
      <c r="F59" s="426">
        <f t="shared" si="47"/>
        <v>0</v>
      </c>
      <c r="G59" s="426">
        <f>+$T$59*G36</f>
        <v>0</v>
      </c>
      <c r="H59" s="426">
        <f t="shared" ref="H59" si="48">+$T$59*H36</f>
        <v>0</v>
      </c>
      <c r="I59" s="426">
        <f>+$T$59*I36</f>
        <v>0</v>
      </c>
      <c r="J59" s="426">
        <f>+$U$59*J36</f>
        <v>0</v>
      </c>
      <c r="K59" s="426">
        <f t="shared" ref="K59" si="49">+$U$59*K36</f>
        <v>0</v>
      </c>
      <c r="L59" s="426">
        <f>+$U$59*L36</f>
        <v>0</v>
      </c>
      <c r="M59" s="426">
        <f>+$V$59*M36</f>
        <v>0</v>
      </c>
      <c r="N59" s="426">
        <f t="shared" ref="N59" si="50">+$V$59*N36</f>
        <v>0</v>
      </c>
      <c r="O59" s="427">
        <f>+$V$59*O36</f>
        <v>0</v>
      </c>
      <c r="P59" s="428">
        <f t="shared" si="16"/>
        <v>0</v>
      </c>
      <c r="Q59" s="429" t="str">
        <f t="shared" si="17"/>
        <v>-</v>
      </c>
      <c r="R59" s="353">
        <f>+P59-'Ötv''siz Deniz'!P59-'Ötv''li Deniz'!P59</f>
        <v>0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1277"/>
      <c r="D60" s="433">
        <f>+$S$60*D37</f>
        <v>0</v>
      </c>
      <c r="E60" s="434">
        <f t="shared" ref="E60:F60" si="51">+$S$60*E37</f>
        <v>0</v>
      </c>
      <c r="F60" s="434">
        <f t="shared" si="51"/>
        <v>0</v>
      </c>
      <c r="G60" s="434">
        <f>+$T$60*G37</f>
        <v>0</v>
      </c>
      <c r="H60" s="434">
        <f t="shared" ref="H60" si="52">+$T$60*H37</f>
        <v>0</v>
      </c>
      <c r="I60" s="434">
        <f>+$T$60*I37</f>
        <v>0</v>
      </c>
      <c r="J60" s="434">
        <f>+$U$60*J37</f>
        <v>0</v>
      </c>
      <c r="K60" s="434">
        <f t="shared" ref="K60" si="53">+$U$60*K37</f>
        <v>0</v>
      </c>
      <c r="L60" s="434">
        <f>+$U$60*L37</f>
        <v>0</v>
      </c>
      <c r="M60" s="434">
        <f>+$V$60*M37</f>
        <v>0</v>
      </c>
      <c r="N60" s="434">
        <f t="shared" ref="N60" si="54">+$V$60*N37</f>
        <v>0</v>
      </c>
      <c r="O60" s="435">
        <f>+$V$60*O37</f>
        <v>0</v>
      </c>
      <c r="P60" s="436">
        <f t="shared" si="16"/>
        <v>0</v>
      </c>
      <c r="Q60" s="437" t="str">
        <f t="shared" si="17"/>
        <v>-</v>
      </c>
      <c r="R60" s="353">
        <f>+P60-'Ötv''siz Deniz'!P60-'Ötv''li Deniz'!P60</f>
        <v>0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55">SUM(B62:B63)</f>
        <v>0</v>
      </c>
      <c r="C61" s="416">
        <f t="shared" si="55"/>
        <v>0</v>
      </c>
      <c r="D61" s="417">
        <f t="shared" ref="D61:F61" si="56">SUM(D62:D63)</f>
        <v>0</v>
      </c>
      <c r="E61" s="418">
        <f t="shared" si="56"/>
        <v>0</v>
      </c>
      <c r="F61" s="418">
        <f t="shared" si="56"/>
        <v>0</v>
      </c>
      <c r="G61" s="418">
        <f>SUM(G62:G63)</f>
        <v>0</v>
      </c>
      <c r="H61" s="418">
        <f t="shared" ref="H61" si="57">SUM(H62:H63)</f>
        <v>0</v>
      </c>
      <c r="I61" s="418">
        <f>SUM(I62:I63)</f>
        <v>0</v>
      </c>
      <c r="J61" s="418">
        <f>SUM(J62:J63)</f>
        <v>0</v>
      </c>
      <c r="K61" s="418">
        <f t="shared" ref="K61" si="58">SUM(K62:K63)</f>
        <v>0</v>
      </c>
      <c r="L61" s="418">
        <f>SUM(L62:L63)</f>
        <v>0</v>
      </c>
      <c r="M61" s="418">
        <f>SUM(M62:M63)</f>
        <v>0</v>
      </c>
      <c r="N61" s="418">
        <f t="shared" ref="N61" si="59">SUM(N62:N63)</f>
        <v>0</v>
      </c>
      <c r="O61" s="419">
        <f>SUM(O62:O63)</f>
        <v>0</v>
      </c>
      <c r="P61" s="420">
        <f t="shared" si="16"/>
        <v>0</v>
      </c>
      <c r="Q61" s="421" t="str">
        <f t="shared" si="17"/>
        <v>-</v>
      </c>
      <c r="R61" s="353">
        <f>+P61-'Ötv''siz Deniz'!P61-'Ötv''li Deniz'!P61</f>
        <v>0</v>
      </c>
    </row>
    <row r="62" spans="1:22" ht="16.5" customHeight="1">
      <c r="A62" s="422" t="s">
        <v>106</v>
      </c>
      <c r="B62" s="423"/>
      <c r="C62" s="1276"/>
      <c r="D62" s="425">
        <f>+$S$62*D39</f>
        <v>0</v>
      </c>
      <c r="E62" s="426">
        <f t="shared" ref="E62:F62" si="60">+$S$62*E39</f>
        <v>0</v>
      </c>
      <c r="F62" s="426">
        <f t="shared" si="60"/>
        <v>0</v>
      </c>
      <c r="G62" s="426">
        <f>+$T$62*G39</f>
        <v>0</v>
      </c>
      <c r="H62" s="426">
        <f t="shared" ref="H62" si="61">+$T$62*H39</f>
        <v>0</v>
      </c>
      <c r="I62" s="426">
        <f>+$T$62*I39</f>
        <v>0</v>
      </c>
      <c r="J62" s="426">
        <f>+$U$62*J39</f>
        <v>0</v>
      </c>
      <c r="K62" s="426">
        <f t="shared" ref="K62" si="62">+$U$62*K39</f>
        <v>0</v>
      </c>
      <c r="L62" s="426">
        <f>+$U$62*L39</f>
        <v>0</v>
      </c>
      <c r="M62" s="426">
        <f>+$V$62*M39</f>
        <v>0</v>
      </c>
      <c r="N62" s="426">
        <f t="shared" ref="N62" si="63">+$V$62*N39</f>
        <v>0</v>
      </c>
      <c r="O62" s="427">
        <f>+$V$62*O39</f>
        <v>0</v>
      </c>
      <c r="P62" s="428">
        <f t="shared" si="16"/>
        <v>0</v>
      </c>
      <c r="Q62" s="429" t="str">
        <f t="shared" si="17"/>
        <v>-</v>
      </c>
      <c r="R62" s="353">
        <f>+P62-'Ötv''siz Deniz'!P62-'Ötv''li Deniz'!P62</f>
        <v>0</v>
      </c>
    </row>
    <row r="63" spans="1:22" ht="16.5" customHeight="1" thickBot="1">
      <c r="A63" s="438" t="s">
        <v>105</v>
      </c>
      <c r="B63" s="439"/>
      <c r="C63" s="1278"/>
      <c r="D63" s="441">
        <f>+$S$63*D40</f>
        <v>0</v>
      </c>
      <c r="E63" s="442">
        <f t="shared" ref="E63:F63" si="64">+$S$63*E40</f>
        <v>0</v>
      </c>
      <c r="F63" s="442">
        <f t="shared" si="64"/>
        <v>0</v>
      </c>
      <c r="G63" s="442">
        <f>+$T$63*G40</f>
        <v>0</v>
      </c>
      <c r="H63" s="442">
        <f t="shared" ref="H63" si="65">+$T$63*H40</f>
        <v>0</v>
      </c>
      <c r="I63" s="442">
        <f>+$T$63*I40</f>
        <v>0</v>
      </c>
      <c r="J63" s="442">
        <f>+$U$63*J40</f>
        <v>0</v>
      </c>
      <c r="K63" s="442">
        <f t="shared" ref="K63" si="66">+$U$63*K40</f>
        <v>0</v>
      </c>
      <c r="L63" s="442">
        <f>+$U$63*L40</f>
        <v>0</v>
      </c>
      <c r="M63" s="442">
        <f>+$V$63*M40</f>
        <v>0</v>
      </c>
      <c r="N63" s="442">
        <f t="shared" ref="N63" si="67">+$V$63*N40</f>
        <v>0</v>
      </c>
      <c r="O63" s="443">
        <f>+$V$63*O40</f>
        <v>0</v>
      </c>
      <c r="P63" s="444">
        <f t="shared" si="16"/>
        <v>0</v>
      </c>
      <c r="Q63" s="445" t="str">
        <f t="shared" si="17"/>
        <v>-</v>
      </c>
      <c r="R63" s="353">
        <f>+P63-'Ötv''siz Deniz'!P63-'Ötv''li Deniz'!P63</f>
        <v>0</v>
      </c>
    </row>
    <row r="64" spans="1:22" ht="16.5" customHeight="1" thickBot="1">
      <c r="C64" s="1279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  <c r="R64" s="353">
        <f>+P64-'Ötv''siz Deniz'!P64-'Ötv''li Deniz'!P64</f>
        <v>0</v>
      </c>
    </row>
    <row r="65" spans="1:22" ht="22.5" customHeight="1" thickBot="1">
      <c r="A65" s="362" t="s">
        <v>86</v>
      </c>
      <c r="B65" s="363"/>
      <c r="C65" s="364"/>
      <c r="D65" s="365">
        <f>+$S$65*D42</f>
        <v>0</v>
      </c>
      <c r="E65" s="366">
        <f t="shared" ref="E65:F65" si="68">+$S$65*E42</f>
        <v>0</v>
      </c>
      <c r="F65" s="366">
        <f t="shared" si="68"/>
        <v>0</v>
      </c>
      <c r="G65" s="366">
        <f>+$T$65*G42</f>
        <v>0</v>
      </c>
      <c r="H65" s="366">
        <f t="shared" ref="H65" si="69">+$T$65*H42</f>
        <v>0</v>
      </c>
      <c r="I65" s="366">
        <f>+$T$65*I42</f>
        <v>0</v>
      </c>
      <c r="J65" s="366">
        <f>+$T$65*J42</f>
        <v>0</v>
      </c>
      <c r="K65" s="366">
        <f t="shared" ref="K65" si="70">+$T$65*K42</f>
        <v>0</v>
      </c>
      <c r="L65" s="366">
        <f>+$U$65*L42</f>
        <v>0</v>
      </c>
      <c r="M65" s="366">
        <f>+$V$65*M42</f>
        <v>0</v>
      </c>
      <c r="N65" s="366">
        <f t="shared" ref="N65" si="71">+$V$65*N42</f>
        <v>0</v>
      </c>
      <c r="O65" s="448">
        <f>+$V$65*O42</f>
        <v>0</v>
      </c>
      <c r="P65" s="363">
        <f t="shared" si="16"/>
        <v>0</v>
      </c>
      <c r="Q65" s="367" t="str">
        <f>IF(P65=0,"-",P65/C65-1)</f>
        <v>-</v>
      </c>
      <c r="R65" s="353">
        <f>+P65-'Ötv''siz Deniz'!P65-'Ötv''li Deniz'!P65</f>
        <v>0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16"/>
        <v>0</v>
      </c>
      <c r="Q66" s="453"/>
      <c r="R66" s="353">
        <f>+P66-'Ötv''siz Deniz'!P66-'Ötv''li Deniz'!P66</f>
        <v>0</v>
      </c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72">+C48+C58+C61+C65</f>
        <v>0</v>
      </c>
      <c r="D67" s="365">
        <f>+D48+D58+D61+D65</f>
        <v>0</v>
      </c>
      <c r="E67" s="366">
        <f t="shared" ref="E67:F67" si="73">+E48+E58+E61+E65</f>
        <v>0</v>
      </c>
      <c r="F67" s="366">
        <f t="shared" si="73"/>
        <v>0</v>
      </c>
      <c r="G67" s="366">
        <f>+G48+G58+G61+G65</f>
        <v>0</v>
      </c>
      <c r="H67" s="366">
        <f t="shared" ref="H67:I67" si="74">+H48+H58+H61+H65</f>
        <v>0</v>
      </c>
      <c r="I67" s="366">
        <f t="shared" si="74"/>
        <v>0</v>
      </c>
      <c r="J67" s="366">
        <f>+J48+J58+J61+J65</f>
        <v>0</v>
      </c>
      <c r="K67" s="366">
        <f t="shared" ref="K67" si="75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76">+N48+N58+N61+N65</f>
        <v>0</v>
      </c>
      <c r="O67" s="364">
        <f>+O48+O58+O61+O65</f>
        <v>0</v>
      </c>
      <c r="P67" s="363">
        <f t="shared" si="16"/>
        <v>0</v>
      </c>
      <c r="Q67" s="367" t="str">
        <f>IF(P67=0,"-",P67/C67-1)</f>
        <v>-</v>
      </c>
      <c r="R67" s="353">
        <f>+P67-'Ötv''siz Deniz'!P67-'Ötv''li Deniz'!P67</f>
        <v>0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7" t="s">
        <v>674</v>
      </c>
      <c r="E69" s="2378">
        <v>0</v>
      </c>
      <c r="F69" s="2378">
        <v>0</v>
      </c>
      <c r="G69" s="2378">
        <v>0</v>
      </c>
      <c r="H69" s="2378">
        <v>0</v>
      </c>
      <c r="I69" s="2378">
        <v>0</v>
      </c>
      <c r="J69" s="2378">
        <v>0</v>
      </c>
      <c r="K69" s="2378">
        <v>0</v>
      </c>
      <c r="L69" s="2378">
        <v>0</v>
      </c>
      <c r="M69" s="2378">
        <v>0</v>
      </c>
      <c r="N69" s="2378">
        <v>0</v>
      </c>
      <c r="O69" s="2378">
        <v>0</v>
      </c>
      <c r="P69" s="2379">
        <v>0</v>
      </c>
      <c r="Q69" s="937" t="s">
        <v>638</v>
      </c>
    </row>
    <row r="70" spans="1:22" ht="30.75" customHeight="1" thickBot="1">
      <c r="A70" s="356"/>
      <c r="B70" s="357" t="s">
        <v>657</v>
      </c>
      <c r="C70" s="357" t="s">
        <v>663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94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:O71" si="77">C74+C75+C80</f>
        <v>0</v>
      </c>
      <c r="D71" s="365">
        <f t="shared" si="77"/>
        <v>0</v>
      </c>
      <c r="E71" s="366">
        <f t="shared" si="77"/>
        <v>0</v>
      </c>
      <c r="F71" s="366">
        <f t="shared" si="77"/>
        <v>0</v>
      </c>
      <c r="G71" s="366">
        <f t="shared" si="77"/>
        <v>0</v>
      </c>
      <c r="H71" s="366">
        <f t="shared" si="77"/>
        <v>0</v>
      </c>
      <c r="I71" s="366">
        <f t="shared" si="77"/>
        <v>0</v>
      </c>
      <c r="J71" s="366">
        <f t="shared" si="77"/>
        <v>0</v>
      </c>
      <c r="K71" s="366">
        <f t="shared" si="77"/>
        <v>0</v>
      </c>
      <c r="L71" s="366">
        <f t="shared" si="77"/>
        <v>0</v>
      </c>
      <c r="M71" s="366">
        <f t="shared" si="77"/>
        <v>0</v>
      </c>
      <c r="N71" s="366">
        <f t="shared" si="77"/>
        <v>0</v>
      </c>
      <c r="O71" s="364">
        <f t="shared" si="77"/>
        <v>0</v>
      </c>
      <c r="P71" s="363">
        <f>SUM(D71:O71)</f>
        <v>0</v>
      </c>
      <c r="Q71" s="367" t="str">
        <f t="shared" ref="Q71:Q86" si="78">IF(P71=0,"-",P71/C71-1)</f>
        <v>-</v>
      </c>
    </row>
    <row r="72" spans="1:22" ht="16.5" customHeight="1">
      <c r="A72" s="368" t="s">
        <v>15</v>
      </c>
      <c r="B72" s="369">
        <f t="shared" ref="B72:O73" si="79">+B26-B49</f>
        <v>0</v>
      </c>
      <c r="C72" s="1273">
        <f t="shared" si="79"/>
        <v>0</v>
      </c>
      <c r="D72" s="371">
        <f t="shared" si="79"/>
        <v>0</v>
      </c>
      <c r="E72" s="372">
        <f t="shared" si="79"/>
        <v>0</v>
      </c>
      <c r="F72" s="372">
        <f t="shared" si="79"/>
        <v>0</v>
      </c>
      <c r="G72" s="372">
        <f t="shared" si="79"/>
        <v>0</v>
      </c>
      <c r="H72" s="373">
        <f t="shared" si="79"/>
        <v>0</v>
      </c>
      <c r="I72" s="373">
        <f t="shared" si="79"/>
        <v>0</v>
      </c>
      <c r="J72" s="373">
        <f t="shared" si="79"/>
        <v>0</v>
      </c>
      <c r="K72" s="373">
        <f t="shared" si="79"/>
        <v>0</v>
      </c>
      <c r="L72" s="373">
        <f t="shared" si="79"/>
        <v>0</v>
      </c>
      <c r="M72" s="373">
        <f t="shared" si="79"/>
        <v>0</v>
      </c>
      <c r="N72" s="373">
        <f t="shared" si="79"/>
        <v>0</v>
      </c>
      <c r="O72" s="374">
        <f t="shared" si="79"/>
        <v>0</v>
      </c>
      <c r="P72" s="369">
        <f t="shared" ref="P72:P90" si="80">SUM(D72:O72)</f>
        <v>0</v>
      </c>
      <c r="Q72" s="375" t="str">
        <f t="shared" si="78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79"/>
        <v>0</v>
      </c>
      <c r="C73" s="1274">
        <f t="shared" si="79"/>
        <v>0</v>
      </c>
      <c r="D73" s="380">
        <f t="shared" si="79"/>
        <v>0</v>
      </c>
      <c r="E73" s="381">
        <f t="shared" si="79"/>
        <v>0</v>
      </c>
      <c r="F73" s="381">
        <f t="shared" si="79"/>
        <v>0</v>
      </c>
      <c r="G73" s="381">
        <f t="shared" si="79"/>
        <v>0</v>
      </c>
      <c r="H73" s="382">
        <f t="shared" si="79"/>
        <v>0</v>
      </c>
      <c r="I73" s="382">
        <f t="shared" si="79"/>
        <v>0</v>
      </c>
      <c r="J73" s="382">
        <f t="shared" si="79"/>
        <v>0</v>
      </c>
      <c r="K73" s="382">
        <f t="shared" si="79"/>
        <v>0</v>
      </c>
      <c r="L73" s="382">
        <f t="shared" si="79"/>
        <v>0</v>
      </c>
      <c r="M73" s="382">
        <f t="shared" si="79"/>
        <v>0</v>
      </c>
      <c r="N73" s="382">
        <f t="shared" si="79"/>
        <v>0</v>
      </c>
      <c r="O73" s="383">
        <f t="shared" si="79"/>
        <v>0</v>
      </c>
      <c r="P73" s="378">
        <f t="shared" si="80"/>
        <v>0</v>
      </c>
      <c r="Q73" s="384" t="str">
        <f t="shared" si="78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81">SUM(D72:D73)</f>
        <v>0</v>
      </c>
      <c r="E74" s="389">
        <f t="shared" si="81"/>
        <v>0</v>
      </c>
      <c r="F74" s="389">
        <f t="shared" si="81"/>
        <v>0</v>
      </c>
      <c r="G74" s="389">
        <f t="shared" si="81"/>
        <v>0</v>
      </c>
      <c r="H74" s="389">
        <f t="shared" si="81"/>
        <v>0</v>
      </c>
      <c r="I74" s="389">
        <f t="shared" si="81"/>
        <v>0</v>
      </c>
      <c r="J74" s="389">
        <f t="shared" si="81"/>
        <v>0</v>
      </c>
      <c r="K74" s="389">
        <f t="shared" si="81"/>
        <v>0</v>
      </c>
      <c r="L74" s="389">
        <f t="shared" si="81"/>
        <v>0</v>
      </c>
      <c r="M74" s="389">
        <f t="shared" si="81"/>
        <v>0</v>
      </c>
      <c r="N74" s="389">
        <f t="shared" si="81"/>
        <v>0</v>
      </c>
      <c r="O74" s="390">
        <f t="shared" si="81"/>
        <v>0</v>
      </c>
      <c r="P74" s="391">
        <f t="shared" si="80"/>
        <v>0</v>
      </c>
      <c r="Q74" s="449" t="str">
        <f t="shared" si="78"/>
        <v>-</v>
      </c>
    </row>
    <row r="75" spans="1:22" ht="16.5" customHeight="1">
      <c r="A75" s="393" t="s">
        <v>17</v>
      </c>
      <c r="B75" s="394">
        <f t="shared" ref="B75:O79" si="82">+B29-B52</f>
        <v>0</v>
      </c>
      <c r="C75" s="395">
        <f t="shared" si="82"/>
        <v>0</v>
      </c>
      <c r="D75" s="396">
        <f t="shared" si="82"/>
        <v>0</v>
      </c>
      <c r="E75" s="397">
        <f t="shared" si="82"/>
        <v>0</v>
      </c>
      <c r="F75" s="397">
        <f t="shared" si="82"/>
        <v>0</v>
      </c>
      <c r="G75" s="397">
        <f t="shared" si="82"/>
        <v>0</v>
      </c>
      <c r="H75" s="397">
        <f t="shared" si="82"/>
        <v>0</v>
      </c>
      <c r="I75" s="397">
        <f t="shared" si="82"/>
        <v>0</v>
      </c>
      <c r="J75" s="397">
        <f t="shared" si="82"/>
        <v>0</v>
      </c>
      <c r="K75" s="397">
        <f t="shared" si="82"/>
        <v>0</v>
      </c>
      <c r="L75" s="397">
        <f t="shared" si="82"/>
        <v>0</v>
      </c>
      <c r="M75" s="397">
        <f t="shared" si="82"/>
        <v>0</v>
      </c>
      <c r="N75" s="397">
        <f t="shared" si="82"/>
        <v>0</v>
      </c>
      <c r="O75" s="398">
        <f t="shared" si="82"/>
        <v>0</v>
      </c>
      <c r="P75" s="399">
        <f t="shared" si="80"/>
        <v>0</v>
      </c>
      <c r="Q75" s="384" t="str">
        <f t="shared" si="78"/>
        <v>-</v>
      </c>
    </row>
    <row r="76" spans="1:22" ht="16.5" customHeight="1">
      <c r="A76" s="400" t="s">
        <v>81</v>
      </c>
      <c r="B76" s="391">
        <f>+'Ötv''siz Deniz'!B76+'Ötv''li Deniz'!B76</f>
        <v>0</v>
      </c>
      <c r="C76" s="450">
        <f>+'Ötv''siz Deniz'!C76+'Ötv''li Deniz'!C76</f>
        <v>0</v>
      </c>
      <c r="D76" s="388">
        <f t="shared" si="82"/>
        <v>0</v>
      </c>
      <c r="E76" s="389">
        <f t="shared" si="82"/>
        <v>0</v>
      </c>
      <c r="F76" s="389">
        <f t="shared" si="82"/>
        <v>0</v>
      </c>
      <c r="G76" s="389">
        <f t="shared" si="82"/>
        <v>0</v>
      </c>
      <c r="H76" s="389">
        <f t="shared" si="82"/>
        <v>0</v>
      </c>
      <c r="I76" s="389">
        <f t="shared" si="82"/>
        <v>0</v>
      </c>
      <c r="J76" s="389">
        <f t="shared" si="82"/>
        <v>0</v>
      </c>
      <c r="K76" s="389">
        <f t="shared" si="82"/>
        <v>0</v>
      </c>
      <c r="L76" s="389">
        <f t="shared" si="82"/>
        <v>0</v>
      </c>
      <c r="M76" s="389">
        <f t="shared" si="82"/>
        <v>0</v>
      </c>
      <c r="N76" s="389">
        <f t="shared" si="82"/>
        <v>0</v>
      </c>
      <c r="O76" s="390">
        <f t="shared" si="82"/>
        <v>0</v>
      </c>
      <c r="P76" s="386">
        <f t="shared" si="80"/>
        <v>0</v>
      </c>
      <c r="Q76" s="405" t="str">
        <f t="shared" si="78"/>
        <v>-</v>
      </c>
    </row>
    <row r="77" spans="1:22" ht="16.5" hidden="1" customHeight="1">
      <c r="A77" s="406" t="s">
        <v>82</v>
      </c>
      <c r="B77" s="394">
        <f>+'Ötv''siz Deniz'!B77+'Ötv''li Deniz'!B77</f>
        <v>0</v>
      </c>
      <c r="C77" s="395">
        <f>+'Ötv''siz Deniz'!C77+'Ötv''li Deniz'!C77</f>
        <v>0</v>
      </c>
      <c r="D77" s="396">
        <f t="shared" si="82"/>
        <v>0</v>
      </c>
      <c r="E77" s="397">
        <f t="shared" si="82"/>
        <v>0</v>
      </c>
      <c r="F77" s="397">
        <f t="shared" si="82"/>
        <v>0</v>
      </c>
      <c r="G77" s="397">
        <f t="shared" si="82"/>
        <v>0</v>
      </c>
      <c r="H77" s="397">
        <f t="shared" si="82"/>
        <v>0</v>
      </c>
      <c r="I77" s="397">
        <f t="shared" si="82"/>
        <v>0</v>
      </c>
      <c r="J77" s="397">
        <f t="shared" si="82"/>
        <v>0</v>
      </c>
      <c r="K77" s="397">
        <f t="shared" si="82"/>
        <v>0</v>
      </c>
      <c r="L77" s="397">
        <f t="shared" si="82"/>
        <v>0</v>
      </c>
      <c r="M77" s="397">
        <f t="shared" si="82"/>
        <v>0</v>
      </c>
      <c r="N77" s="397">
        <f t="shared" si="82"/>
        <v>0</v>
      </c>
      <c r="O77" s="398">
        <f t="shared" si="82"/>
        <v>0</v>
      </c>
      <c r="P77" s="399">
        <f>SUM(D77:O77)</f>
        <v>0</v>
      </c>
      <c r="Q77" s="384" t="str">
        <f t="shared" si="78"/>
        <v>-</v>
      </c>
    </row>
    <row r="78" spans="1:22" ht="16.5" customHeight="1">
      <c r="A78" s="400" t="s">
        <v>83</v>
      </c>
      <c r="B78" s="408">
        <f>+'Ötv''siz Deniz'!B78+'Ötv''li Deniz'!B78</f>
        <v>0</v>
      </c>
      <c r="C78" s="1275">
        <f>+'Ötv''siz Deniz'!C78+'Ötv''li Deniz'!C78</f>
        <v>0</v>
      </c>
      <c r="D78" s="402">
        <f t="shared" si="82"/>
        <v>0</v>
      </c>
      <c r="E78" s="403">
        <f t="shared" si="82"/>
        <v>0</v>
      </c>
      <c r="F78" s="403">
        <f t="shared" si="82"/>
        <v>0</v>
      </c>
      <c r="G78" s="403">
        <f t="shared" si="82"/>
        <v>0</v>
      </c>
      <c r="H78" s="403">
        <f t="shared" si="82"/>
        <v>0</v>
      </c>
      <c r="I78" s="403">
        <f t="shared" si="82"/>
        <v>0</v>
      </c>
      <c r="J78" s="403">
        <f t="shared" si="82"/>
        <v>0</v>
      </c>
      <c r="K78" s="403">
        <f t="shared" si="82"/>
        <v>0</v>
      </c>
      <c r="L78" s="403">
        <f t="shared" si="82"/>
        <v>0</v>
      </c>
      <c r="M78" s="403">
        <f t="shared" si="82"/>
        <v>0</v>
      </c>
      <c r="N78" s="403">
        <f t="shared" si="82"/>
        <v>0</v>
      </c>
      <c r="O78" s="404">
        <f t="shared" si="82"/>
        <v>0</v>
      </c>
      <c r="P78" s="386">
        <f t="shared" si="80"/>
        <v>0</v>
      </c>
      <c r="Q78" s="405" t="str">
        <f t="shared" si="78"/>
        <v>-</v>
      </c>
    </row>
    <row r="79" spans="1:22" ht="16.5" hidden="1" customHeight="1">
      <c r="A79" s="406" t="s">
        <v>84</v>
      </c>
      <c r="B79" s="378">
        <f t="shared" si="82"/>
        <v>0</v>
      </c>
      <c r="C79" s="1274">
        <f t="shared" si="82"/>
        <v>0</v>
      </c>
      <c r="D79" s="407">
        <f t="shared" si="82"/>
        <v>0</v>
      </c>
      <c r="E79" s="382">
        <f t="shared" si="82"/>
        <v>0</v>
      </c>
      <c r="F79" s="382">
        <f t="shared" si="82"/>
        <v>0</v>
      </c>
      <c r="G79" s="382">
        <f t="shared" si="82"/>
        <v>0</v>
      </c>
      <c r="H79" s="382">
        <f t="shared" si="82"/>
        <v>0</v>
      </c>
      <c r="I79" s="381">
        <f t="shared" si="82"/>
        <v>0</v>
      </c>
      <c r="J79" s="381">
        <f t="shared" si="82"/>
        <v>0</v>
      </c>
      <c r="K79" s="382">
        <f t="shared" si="82"/>
        <v>0</v>
      </c>
      <c r="L79" s="382">
        <f t="shared" si="82"/>
        <v>0</v>
      </c>
      <c r="M79" s="382">
        <f t="shared" si="82"/>
        <v>0</v>
      </c>
      <c r="N79" s="382">
        <f t="shared" si="82"/>
        <v>0</v>
      </c>
      <c r="O79" s="383">
        <f t="shared" si="82"/>
        <v>0</v>
      </c>
      <c r="P79" s="399">
        <f t="shared" si="80"/>
        <v>0</v>
      </c>
      <c r="Q79" s="384" t="str">
        <f t="shared" si="78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O80" si="83">SUM(B76:B79)</f>
        <v>0</v>
      </c>
      <c r="C80" s="412">
        <f t="shared" si="83"/>
        <v>0</v>
      </c>
      <c r="D80" s="413">
        <f t="shared" si="83"/>
        <v>0</v>
      </c>
      <c r="E80" s="414">
        <f t="shared" si="83"/>
        <v>0</v>
      </c>
      <c r="F80" s="414">
        <f t="shared" si="83"/>
        <v>0</v>
      </c>
      <c r="G80" s="414">
        <f t="shared" si="83"/>
        <v>0</v>
      </c>
      <c r="H80" s="414">
        <f t="shared" si="83"/>
        <v>0</v>
      </c>
      <c r="I80" s="414">
        <f t="shared" si="83"/>
        <v>0</v>
      </c>
      <c r="J80" s="414">
        <f t="shared" si="83"/>
        <v>0</v>
      </c>
      <c r="K80" s="414">
        <f t="shared" si="83"/>
        <v>0</v>
      </c>
      <c r="L80" s="414">
        <f t="shared" si="83"/>
        <v>0</v>
      </c>
      <c r="M80" s="414">
        <f t="shared" si="83"/>
        <v>0</v>
      </c>
      <c r="N80" s="414">
        <f t="shared" si="83"/>
        <v>0</v>
      </c>
      <c r="O80" s="412">
        <f t="shared" si="83"/>
        <v>0</v>
      </c>
      <c r="P80" s="411">
        <f t="shared" si="80"/>
        <v>0</v>
      </c>
      <c r="Q80" s="415" t="str">
        <f t="shared" si="78"/>
        <v>-</v>
      </c>
    </row>
    <row r="81" spans="1:22" ht="22.5" customHeight="1" thickBot="1">
      <c r="A81" s="362" t="s">
        <v>29</v>
      </c>
      <c r="B81" s="420">
        <f t="shared" ref="B81:O86" si="84">+B35-B58</f>
        <v>0</v>
      </c>
      <c r="C81" s="416">
        <f t="shared" si="84"/>
        <v>0</v>
      </c>
      <c r="D81" s="417">
        <f t="shared" si="84"/>
        <v>0</v>
      </c>
      <c r="E81" s="418">
        <f t="shared" si="84"/>
        <v>0</v>
      </c>
      <c r="F81" s="418">
        <f t="shared" si="84"/>
        <v>0</v>
      </c>
      <c r="G81" s="418">
        <f t="shared" si="84"/>
        <v>0</v>
      </c>
      <c r="H81" s="418">
        <f t="shared" si="84"/>
        <v>0</v>
      </c>
      <c r="I81" s="418">
        <f t="shared" si="84"/>
        <v>0</v>
      </c>
      <c r="J81" s="418">
        <f t="shared" si="84"/>
        <v>0</v>
      </c>
      <c r="K81" s="418">
        <f t="shared" si="84"/>
        <v>0</v>
      </c>
      <c r="L81" s="418">
        <f t="shared" si="84"/>
        <v>0</v>
      </c>
      <c r="M81" s="418">
        <f t="shared" si="84"/>
        <v>0</v>
      </c>
      <c r="N81" s="418">
        <f t="shared" si="84"/>
        <v>0</v>
      </c>
      <c r="O81" s="419">
        <f t="shared" si="84"/>
        <v>0</v>
      </c>
      <c r="P81" s="420">
        <f t="shared" si="80"/>
        <v>0</v>
      </c>
      <c r="Q81" s="421" t="str">
        <f t="shared" si="78"/>
        <v>-</v>
      </c>
    </row>
    <row r="82" spans="1:22" ht="16.5" customHeight="1">
      <c r="A82" s="422" t="s">
        <v>19</v>
      </c>
      <c r="B82" s="423">
        <f t="shared" si="84"/>
        <v>0</v>
      </c>
      <c r="C82" s="1276">
        <f t="shared" si="84"/>
        <v>0</v>
      </c>
      <c r="D82" s="425">
        <f t="shared" si="84"/>
        <v>0</v>
      </c>
      <c r="E82" s="426">
        <f t="shared" si="84"/>
        <v>0</v>
      </c>
      <c r="F82" s="426">
        <f t="shared" si="84"/>
        <v>0</v>
      </c>
      <c r="G82" s="426">
        <f t="shared" si="84"/>
        <v>0</v>
      </c>
      <c r="H82" s="426">
        <f t="shared" si="84"/>
        <v>0</v>
      </c>
      <c r="I82" s="426">
        <f t="shared" si="84"/>
        <v>0</v>
      </c>
      <c r="J82" s="426">
        <f t="shared" si="84"/>
        <v>0</v>
      </c>
      <c r="K82" s="426">
        <f t="shared" si="84"/>
        <v>0</v>
      </c>
      <c r="L82" s="426">
        <f t="shared" si="84"/>
        <v>0</v>
      </c>
      <c r="M82" s="426">
        <f t="shared" si="84"/>
        <v>0</v>
      </c>
      <c r="N82" s="426">
        <f t="shared" si="84"/>
        <v>0</v>
      </c>
      <c r="O82" s="427">
        <f t="shared" si="84"/>
        <v>0</v>
      </c>
      <c r="P82" s="428">
        <f t="shared" si="80"/>
        <v>0</v>
      </c>
      <c r="Q82" s="429" t="str">
        <f t="shared" si="78"/>
        <v>-</v>
      </c>
    </row>
    <row r="83" spans="1:22" ht="16.5" customHeight="1" thickBot="1">
      <c r="A83" s="430" t="s">
        <v>20</v>
      </c>
      <c r="B83" s="431">
        <f t="shared" si="84"/>
        <v>0</v>
      </c>
      <c r="C83" s="1277">
        <f t="shared" si="84"/>
        <v>0</v>
      </c>
      <c r="D83" s="433">
        <f t="shared" si="84"/>
        <v>0</v>
      </c>
      <c r="E83" s="434">
        <f t="shared" si="84"/>
        <v>0</v>
      </c>
      <c r="F83" s="434">
        <f t="shared" si="84"/>
        <v>0</v>
      </c>
      <c r="G83" s="434">
        <f t="shared" si="84"/>
        <v>0</v>
      </c>
      <c r="H83" s="434">
        <f t="shared" si="84"/>
        <v>0</v>
      </c>
      <c r="I83" s="434">
        <f t="shared" si="84"/>
        <v>0</v>
      </c>
      <c r="J83" s="434">
        <f t="shared" si="84"/>
        <v>0</v>
      </c>
      <c r="K83" s="434">
        <f t="shared" si="84"/>
        <v>0</v>
      </c>
      <c r="L83" s="434">
        <f t="shared" si="84"/>
        <v>0</v>
      </c>
      <c r="M83" s="434">
        <f t="shared" si="84"/>
        <v>0</v>
      </c>
      <c r="N83" s="434">
        <f t="shared" si="84"/>
        <v>0</v>
      </c>
      <c r="O83" s="435">
        <f t="shared" si="84"/>
        <v>0</v>
      </c>
      <c r="P83" s="436">
        <f t="shared" si="80"/>
        <v>0</v>
      </c>
      <c r="Q83" s="437" t="str">
        <f t="shared" si="78"/>
        <v>-</v>
      </c>
    </row>
    <row r="84" spans="1:22" ht="22.5" customHeight="1" thickBot="1">
      <c r="A84" s="362" t="s">
        <v>30</v>
      </c>
      <c r="B84" s="363">
        <f t="shared" si="84"/>
        <v>0</v>
      </c>
      <c r="C84" s="364">
        <f t="shared" si="84"/>
        <v>0</v>
      </c>
      <c r="D84" s="365">
        <f t="shared" si="84"/>
        <v>0</v>
      </c>
      <c r="E84" s="366">
        <f t="shared" si="84"/>
        <v>0</v>
      </c>
      <c r="F84" s="366">
        <f t="shared" si="84"/>
        <v>0</v>
      </c>
      <c r="G84" s="366">
        <f t="shared" si="84"/>
        <v>0</v>
      </c>
      <c r="H84" s="366">
        <f t="shared" si="84"/>
        <v>0</v>
      </c>
      <c r="I84" s="366">
        <f t="shared" si="84"/>
        <v>0</v>
      </c>
      <c r="J84" s="366">
        <f t="shared" si="84"/>
        <v>0</v>
      </c>
      <c r="K84" s="366">
        <f t="shared" si="84"/>
        <v>0</v>
      </c>
      <c r="L84" s="366">
        <f t="shared" si="84"/>
        <v>0</v>
      </c>
      <c r="M84" s="366">
        <f t="shared" si="84"/>
        <v>0</v>
      </c>
      <c r="N84" s="366">
        <f t="shared" si="84"/>
        <v>0</v>
      </c>
      <c r="O84" s="448">
        <f t="shared" si="84"/>
        <v>0</v>
      </c>
      <c r="P84" s="363">
        <f t="shared" si="80"/>
        <v>0</v>
      </c>
      <c r="Q84" s="367" t="str">
        <f t="shared" si="78"/>
        <v>-</v>
      </c>
    </row>
    <row r="85" spans="1:22" ht="16.5" customHeight="1">
      <c r="A85" s="422" t="s">
        <v>106</v>
      </c>
      <c r="B85" s="423">
        <f t="shared" si="84"/>
        <v>0</v>
      </c>
      <c r="C85" s="1276">
        <f t="shared" si="84"/>
        <v>0</v>
      </c>
      <c r="D85" s="425">
        <f t="shared" si="84"/>
        <v>0</v>
      </c>
      <c r="E85" s="426">
        <f t="shared" si="84"/>
        <v>0</v>
      </c>
      <c r="F85" s="426">
        <f t="shared" si="84"/>
        <v>0</v>
      </c>
      <c r="G85" s="426">
        <f t="shared" si="84"/>
        <v>0</v>
      </c>
      <c r="H85" s="426">
        <f t="shared" si="84"/>
        <v>0</v>
      </c>
      <c r="I85" s="426">
        <f t="shared" si="84"/>
        <v>0</v>
      </c>
      <c r="J85" s="426">
        <f t="shared" si="84"/>
        <v>0</v>
      </c>
      <c r="K85" s="426">
        <f t="shared" si="84"/>
        <v>0</v>
      </c>
      <c r="L85" s="426">
        <f t="shared" si="84"/>
        <v>0</v>
      </c>
      <c r="M85" s="426">
        <f t="shared" si="84"/>
        <v>0</v>
      </c>
      <c r="N85" s="426">
        <f t="shared" si="84"/>
        <v>0</v>
      </c>
      <c r="O85" s="427">
        <f t="shared" si="84"/>
        <v>0</v>
      </c>
      <c r="P85" s="428">
        <f t="shared" si="80"/>
        <v>0</v>
      </c>
      <c r="Q85" s="429" t="str">
        <f t="shared" si="78"/>
        <v>-</v>
      </c>
    </row>
    <row r="86" spans="1:22" ht="16.5" customHeight="1" thickBot="1">
      <c r="A86" s="438" t="s">
        <v>105</v>
      </c>
      <c r="B86" s="439">
        <f t="shared" si="84"/>
        <v>0</v>
      </c>
      <c r="C86" s="1278">
        <f t="shared" si="84"/>
        <v>0</v>
      </c>
      <c r="D86" s="441">
        <f t="shared" si="84"/>
        <v>0</v>
      </c>
      <c r="E86" s="442">
        <f t="shared" si="84"/>
        <v>0</v>
      </c>
      <c r="F86" s="442">
        <f t="shared" si="84"/>
        <v>0</v>
      </c>
      <c r="G86" s="442">
        <f t="shared" si="84"/>
        <v>0</v>
      </c>
      <c r="H86" s="442">
        <f t="shared" si="84"/>
        <v>0</v>
      </c>
      <c r="I86" s="442">
        <f t="shared" si="84"/>
        <v>0</v>
      </c>
      <c r="J86" s="442">
        <f t="shared" si="84"/>
        <v>0</v>
      </c>
      <c r="K86" s="442">
        <f t="shared" si="84"/>
        <v>0</v>
      </c>
      <c r="L86" s="442">
        <f t="shared" si="84"/>
        <v>0</v>
      </c>
      <c r="M86" s="442">
        <f t="shared" si="84"/>
        <v>0</v>
      </c>
      <c r="N86" s="442">
        <f t="shared" si="84"/>
        <v>0</v>
      </c>
      <c r="O86" s="443">
        <f t="shared" si="84"/>
        <v>0</v>
      </c>
      <c r="P86" s="444">
        <f t="shared" si="80"/>
        <v>0</v>
      </c>
      <c r="Q86" s="445" t="str">
        <f t="shared" si="78"/>
        <v>-</v>
      </c>
    </row>
    <row r="87" spans="1:22" ht="16.5" customHeight="1" thickBot="1">
      <c r="C87" s="1279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O88" si="85">+B42-B65</f>
        <v>0</v>
      </c>
      <c r="C88" s="364">
        <f t="shared" si="85"/>
        <v>0</v>
      </c>
      <c r="D88" s="365">
        <f t="shared" si="85"/>
        <v>0</v>
      </c>
      <c r="E88" s="366">
        <f t="shared" si="85"/>
        <v>0</v>
      </c>
      <c r="F88" s="366">
        <f t="shared" si="85"/>
        <v>0</v>
      </c>
      <c r="G88" s="366">
        <f t="shared" si="85"/>
        <v>0</v>
      </c>
      <c r="H88" s="366">
        <f t="shared" si="85"/>
        <v>0</v>
      </c>
      <c r="I88" s="366">
        <f t="shared" si="85"/>
        <v>0</v>
      </c>
      <c r="J88" s="366">
        <f t="shared" si="85"/>
        <v>0</v>
      </c>
      <c r="K88" s="366">
        <f t="shared" si="85"/>
        <v>0</v>
      </c>
      <c r="L88" s="366">
        <f t="shared" si="85"/>
        <v>0</v>
      </c>
      <c r="M88" s="366">
        <f t="shared" si="85"/>
        <v>0</v>
      </c>
      <c r="N88" s="366">
        <f t="shared" si="85"/>
        <v>0</v>
      </c>
      <c r="O88" s="448">
        <f t="shared" si="85"/>
        <v>0</v>
      </c>
      <c r="P88" s="363">
        <f t="shared" si="80"/>
        <v>0</v>
      </c>
      <c r="Q88" s="367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0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:O90" si="86">+C71+C81+C84+C88</f>
        <v>0</v>
      </c>
      <c r="D90" s="365">
        <f t="shared" si="86"/>
        <v>0</v>
      </c>
      <c r="E90" s="366">
        <f t="shared" si="86"/>
        <v>0</v>
      </c>
      <c r="F90" s="366">
        <f t="shared" si="86"/>
        <v>0</v>
      </c>
      <c r="G90" s="366">
        <f t="shared" si="86"/>
        <v>0</v>
      </c>
      <c r="H90" s="366">
        <f t="shared" si="86"/>
        <v>0</v>
      </c>
      <c r="I90" s="366">
        <f t="shared" si="86"/>
        <v>0</v>
      </c>
      <c r="J90" s="366">
        <f t="shared" si="86"/>
        <v>0</v>
      </c>
      <c r="K90" s="366">
        <f t="shared" si="86"/>
        <v>0</v>
      </c>
      <c r="L90" s="366">
        <f t="shared" si="86"/>
        <v>0</v>
      </c>
      <c r="M90" s="366">
        <f t="shared" si="86"/>
        <v>0</v>
      </c>
      <c r="N90" s="366">
        <f t="shared" si="86"/>
        <v>0</v>
      </c>
      <c r="O90" s="448">
        <f t="shared" si="86"/>
        <v>0</v>
      </c>
      <c r="P90" s="363">
        <f t="shared" si="80"/>
        <v>0</v>
      </c>
      <c r="Q90" s="367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678</v>
      </c>
      <c r="C92" s="2373"/>
      <c r="D92" s="2377" t="s">
        <v>675</v>
      </c>
      <c r="E92" s="2378">
        <v>0</v>
      </c>
      <c r="F92" s="2378">
        <v>0</v>
      </c>
      <c r="G92" s="2378">
        <v>0</v>
      </c>
      <c r="H92" s="2378">
        <v>0</v>
      </c>
      <c r="I92" s="2378">
        <v>0</v>
      </c>
      <c r="J92" s="2378">
        <v>0</v>
      </c>
      <c r="K92" s="2378">
        <v>0</v>
      </c>
      <c r="L92" s="2378">
        <v>0</v>
      </c>
      <c r="M92" s="2378">
        <v>0</v>
      </c>
      <c r="N92" s="2378">
        <v>0</v>
      </c>
      <c r="O92" s="2378">
        <v>0</v>
      </c>
      <c r="P92" s="2379">
        <v>0</v>
      </c>
      <c r="Q92" s="937" t="s">
        <v>638</v>
      </c>
    </row>
    <row r="93" spans="1:22" ht="30.75" customHeight="1" thickBot="1">
      <c r="A93" s="356"/>
      <c r="B93" s="357" t="s">
        <v>657</v>
      </c>
      <c r="C93" s="357" t="s">
        <v>663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94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>C97+C98+C103</f>
        <v>0</v>
      </c>
      <c r="D94" s="365">
        <f>D97+D98+D103</f>
        <v>0</v>
      </c>
      <c r="E94" s="366">
        <f t="shared" ref="E94:P94" si="87">E97+E98+E103</f>
        <v>0</v>
      </c>
      <c r="F94" s="366">
        <f t="shared" si="87"/>
        <v>0</v>
      </c>
      <c r="G94" s="366">
        <f t="shared" si="87"/>
        <v>0</v>
      </c>
      <c r="H94" s="366">
        <f t="shared" si="87"/>
        <v>0</v>
      </c>
      <c r="I94" s="366">
        <f t="shared" si="87"/>
        <v>0</v>
      </c>
      <c r="J94" s="366">
        <f t="shared" si="87"/>
        <v>0</v>
      </c>
      <c r="K94" s="366">
        <f t="shared" si="87"/>
        <v>0</v>
      </c>
      <c r="L94" s="366">
        <f t="shared" si="87"/>
        <v>0</v>
      </c>
      <c r="M94" s="366">
        <f t="shared" si="87"/>
        <v>0</v>
      </c>
      <c r="N94" s="366">
        <f t="shared" si="87"/>
        <v>0</v>
      </c>
      <c r="O94" s="364">
        <f t="shared" si="87"/>
        <v>0</v>
      </c>
      <c r="P94" s="363">
        <f t="shared" si="87"/>
        <v>0</v>
      </c>
      <c r="Q94" s="367" t="str">
        <f t="shared" ref="Q94:Q109" si="88">IF(P94=0,"-",P94/C94-1)</f>
        <v>-</v>
      </c>
      <c r="R94" s="353">
        <f>+'Ötv''siz Deniz'!P94+'Ötv''li Deniz'!P94</f>
        <v>0</v>
      </c>
    </row>
    <row r="95" spans="1:22" ht="16.5" customHeight="1">
      <c r="A95" s="368" t="s">
        <v>15</v>
      </c>
      <c r="B95" s="369">
        <f>B5*'Alış Fiyat'!B5</f>
        <v>0</v>
      </c>
      <c r="C95" s="1273">
        <f>C5*'Alış Fiyat'!C5</f>
        <v>0</v>
      </c>
      <c r="D95" s="371">
        <f>+'Ötv''siz Deniz'!D95+'Ötv''li Deniz'!D95</f>
        <v>0</v>
      </c>
      <c r="E95" s="372">
        <f>+'Ötv''siz Deniz'!E95+'Ötv''li Deniz'!E95</f>
        <v>0</v>
      </c>
      <c r="F95" s="372">
        <f>+'Ötv''siz Deniz'!F95+'Ötv''li Deniz'!F95</f>
        <v>0</v>
      </c>
      <c r="G95" s="372">
        <f>+'Ötv''siz Deniz'!G95+'Ötv''li Deniz'!G95</f>
        <v>0</v>
      </c>
      <c r="H95" s="373">
        <f>+'Ötv''siz Deniz'!H95+'Ötv''li Deniz'!H95</f>
        <v>0</v>
      </c>
      <c r="I95" s="373">
        <f>+'Ötv''siz Deniz'!I95+'Ötv''li Deniz'!I95</f>
        <v>0</v>
      </c>
      <c r="J95" s="373">
        <f>+'Ötv''siz Deniz'!J95+'Ötv''li Deniz'!J95</f>
        <v>0</v>
      </c>
      <c r="K95" s="373">
        <f>+'Ötv''siz Deniz'!K95+'Ötv''li Deniz'!K95</f>
        <v>0</v>
      </c>
      <c r="L95" s="373">
        <f>+'Ötv''siz Deniz'!L95+'Ötv''li Deniz'!L95</f>
        <v>0</v>
      </c>
      <c r="M95" s="373">
        <f>+'Ötv''siz Deniz'!M95+'Ötv''li Deniz'!M95</f>
        <v>0</v>
      </c>
      <c r="N95" s="373">
        <f>+'Ötv''siz Deniz'!N95+'Ötv''li Deniz'!N95</f>
        <v>0</v>
      </c>
      <c r="O95" s="374">
        <f>+'Ötv''siz Deniz'!O95+'Ötv''li Deniz'!O95</f>
        <v>0</v>
      </c>
      <c r="P95" s="369">
        <f t="shared" ref="P95:P102" si="89">SUM(D95:O95)</f>
        <v>0</v>
      </c>
      <c r="Q95" s="375" t="str">
        <f t="shared" si="88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Fiyat'!B6</f>
        <v>0</v>
      </c>
      <c r="C96" s="1274">
        <f>C6*'Alış Fiyat'!C6</f>
        <v>0</v>
      </c>
      <c r="D96" s="380">
        <f>D6*'Alış Fiyat'!D6</f>
        <v>0</v>
      </c>
      <c r="E96" s="381">
        <f>E6*'Alış Fiyat'!E6</f>
        <v>0</v>
      </c>
      <c r="F96" s="381">
        <f>F6*'Alış Fiyat'!F6</f>
        <v>0</v>
      </c>
      <c r="G96" s="381">
        <f>G6*'Alış Fiyat'!G6</f>
        <v>0</v>
      </c>
      <c r="H96" s="382">
        <f>H6*'Alış Fiyat'!H6</f>
        <v>0</v>
      </c>
      <c r="I96" s="382">
        <f>I6*'Alış Fiyat'!I6</f>
        <v>0</v>
      </c>
      <c r="J96" s="382">
        <f>J6*'Alış Fiyat'!J6</f>
        <v>0</v>
      </c>
      <c r="K96" s="382">
        <f>K6*'Alış Fiyat'!K6</f>
        <v>0</v>
      </c>
      <c r="L96" s="382">
        <f>L6*'Alış Fiyat'!L6</f>
        <v>0</v>
      </c>
      <c r="M96" s="382">
        <f>M6*'Alış Fiyat'!M6</f>
        <v>0</v>
      </c>
      <c r="N96" s="382">
        <f>N6*'Alış Fiyat'!N6</f>
        <v>0</v>
      </c>
      <c r="O96" s="383">
        <f>O6*'Alış Fiyat'!O6</f>
        <v>0</v>
      </c>
      <c r="P96" s="378">
        <f t="shared" si="89"/>
        <v>0</v>
      </c>
      <c r="Q96" s="384" t="str">
        <f t="shared" si="88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90">SUM(D95:D96)</f>
        <v>0</v>
      </c>
      <c r="E97" s="389">
        <f t="shared" si="90"/>
        <v>0</v>
      </c>
      <c r="F97" s="389">
        <f t="shared" si="90"/>
        <v>0</v>
      </c>
      <c r="G97" s="389">
        <f t="shared" si="90"/>
        <v>0</v>
      </c>
      <c r="H97" s="389">
        <f t="shared" si="90"/>
        <v>0</v>
      </c>
      <c r="I97" s="389">
        <f t="shared" si="90"/>
        <v>0</v>
      </c>
      <c r="J97" s="389">
        <f t="shared" si="90"/>
        <v>0</v>
      </c>
      <c r="K97" s="389">
        <f t="shared" si="90"/>
        <v>0</v>
      </c>
      <c r="L97" s="389">
        <f t="shared" si="90"/>
        <v>0</v>
      </c>
      <c r="M97" s="389">
        <f t="shared" si="90"/>
        <v>0</v>
      </c>
      <c r="N97" s="389">
        <f t="shared" si="90"/>
        <v>0</v>
      </c>
      <c r="O97" s="390">
        <f t="shared" si="90"/>
        <v>0</v>
      </c>
      <c r="P97" s="391">
        <f t="shared" si="89"/>
        <v>0</v>
      </c>
      <c r="Q97" s="449" t="str">
        <f t="shared" si="88"/>
        <v>-</v>
      </c>
    </row>
    <row r="98" spans="1:22" ht="16.5" customHeight="1">
      <c r="A98" s="393" t="s">
        <v>17</v>
      </c>
      <c r="B98" s="394">
        <f>B8*'Alış Fiyat'!B8</f>
        <v>0</v>
      </c>
      <c r="C98" s="395">
        <f>C8*'Alış Fiyat'!C8</f>
        <v>0</v>
      </c>
      <c r="D98" s="396">
        <f>+'Ötv''siz Deniz'!D98+'Ötv''li Deniz'!D98</f>
        <v>0</v>
      </c>
      <c r="E98" s="397">
        <f>+'Ötv''siz Deniz'!E98+'Ötv''li Deniz'!E98</f>
        <v>0</v>
      </c>
      <c r="F98" s="397">
        <f>+'Ötv''siz Deniz'!F98+'Ötv''li Deniz'!F98</f>
        <v>0</v>
      </c>
      <c r="G98" s="397">
        <f>+'Ötv''siz Deniz'!G98+'Ötv''li Deniz'!G98</f>
        <v>0</v>
      </c>
      <c r="H98" s="397">
        <f>+'Ötv''siz Deniz'!H98+'Ötv''li Deniz'!H98</f>
        <v>0</v>
      </c>
      <c r="I98" s="397">
        <f>+'Ötv''siz Deniz'!I98+'Ötv''li Deniz'!I98</f>
        <v>0</v>
      </c>
      <c r="J98" s="397">
        <f>+'Ötv''siz Deniz'!J98+'Ötv''li Deniz'!J98</f>
        <v>0</v>
      </c>
      <c r="K98" s="397">
        <f>+'Ötv''siz Deniz'!K98+'Ötv''li Deniz'!K98</f>
        <v>0</v>
      </c>
      <c r="L98" s="397">
        <f>+'Ötv''siz Deniz'!L98+'Ötv''li Deniz'!L98</f>
        <v>0</v>
      </c>
      <c r="M98" s="397">
        <f>+'Ötv''siz Deniz'!M98+'Ötv''li Deniz'!M98</f>
        <v>0</v>
      </c>
      <c r="N98" s="397">
        <f>+'Ötv''siz Deniz'!N98+'Ötv''li Deniz'!N98</f>
        <v>0</v>
      </c>
      <c r="O98" s="398">
        <f>+'Ötv''siz Deniz'!O98+'Ötv''li Deniz'!O98</f>
        <v>0</v>
      </c>
      <c r="P98" s="399">
        <f t="shared" si="89"/>
        <v>0</v>
      </c>
      <c r="Q98" s="384" t="str">
        <f t="shared" si="88"/>
        <v>-</v>
      </c>
    </row>
    <row r="99" spans="1:22" ht="16.5" customHeight="1">
      <c r="A99" s="400" t="s">
        <v>81</v>
      </c>
      <c r="B99" s="391">
        <f>+'Ötv''siz Deniz'!B99+'Ötv''li Deniz'!B99</f>
        <v>0</v>
      </c>
      <c r="C99" s="450">
        <f>+'Ötv''siz Deniz'!C99+'Ötv''li Deniz'!C99</f>
        <v>0</v>
      </c>
      <c r="D99" s="388">
        <f>+'Ötv''siz Deniz'!D99+'Ötv''li Deniz'!D99</f>
        <v>0</v>
      </c>
      <c r="E99" s="389">
        <f>+'Ötv''siz Deniz'!E99+'Ötv''li Deniz'!E99</f>
        <v>0</v>
      </c>
      <c r="F99" s="389">
        <f>+'Ötv''siz Deniz'!F99+'Ötv''li Deniz'!F99</f>
        <v>0</v>
      </c>
      <c r="G99" s="389">
        <f>+'Ötv''siz Deniz'!G99+'Ötv''li Deniz'!G99</f>
        <v>0</v>
      </c>
      <c r="H99" s="389">
        <f>+'Ötv''siz Deniz'!H99+'Ötv''li Deniz'!H99</f>
        <v>0</v>
      </c>
      <c r="I99" s="389">
        <f>+'Ötv''siz Deniz'!I99+'Ötv''li Deniz'!I99</f>
        <v>0</v>
      </c>
      <c r="J99" s="389">
        <f>+'Ötv''siz Deniz'!J99+'Ötv''li Deniz'!J99</f>
        <v>0</v>
      </c>
      <c r="K99" s="389">
        <f>+'Ötv''siz Deniz'!K99+'Ötv''li Deniz'!K99</f>
        <v>0</v>
      </c>
      <c r="L99" s="389">
        <f>+'Ötv''siz Deniz'!L99+'Ötv''li Deniz'!L99</f>
        <v>0</v>
      </c>
      <c r="M99" s="389">
        <f>+'Ötv''siz Deniz'!M99+'Ötv''li Deniz'!M99</f>
        <v>0</v>
      </c>
      <c r="N99" s="389">
        <f>+'Ötv''siz Deniz'!N99+'Ötv''li Deniz'!N99</f>
        <v>0</v>
      </c>
      <c r="O99" s="390">
        <f>+'Ötv''siz Deniz'!O99+'Ötv''li Deniz'!O99</f>
        <v>0</v>
      </c>
      <c r="P99" s="386">
        <f t="shared" si="89"/>
        <v>0</v>
      </c>
      <c r="Q99" s="405" t="str">
        <f t="shared" si="88"/>
        <v>-</v>
      </c>
    </row>
    <row r="100" spans="1:22" ht="16.5" hidden="1" customHeight="1">
      <c r="A100" s="406" t="s">
        <v>82</v>
      </c>
      <c r="B100" s="394">
        <f>+'Ötv''siz Deniz'!B100+'Ötv''li Deniz'!B100</f>
        <v>0</v>
      </c>
      <c r="C100" s="395">
        <f>+'Ötv''siz Deniz'!C100+'Ötv''li Deniz'!C100</f>
        <v>0</v>
      </c>
      <c r="D100" s="396">
        <f>+'Ötv''siz Deniz'!D100+'Ötv''li Deniz'!D100</f>
        <v>0</v>
      </c>
      <c r="E100" s="397">
        <f>+'Ötv''siz Deniz'!E100+'Ötv''li Deniz'!E100</f>
        <v>0</v>
      </c>
      <c r="F100" s="397">
        <f>+'Ötv''siz Deniz'!F100+'Ötv''li Deniz'!F100</f>
        <v>0</v>
      </c>
      <c r="G100" s="397">
        <f>+'Ötv''siz Deniz'!G100+'Ötv''li Deniz'!G100</f>
        <v>0</v>
      </c>
      <c r="H100" s="397">
        <f>+'Ötv''siz Deniz'!H100+'Ötv''li Deniz'!H100</f>
        <v>0</v>
      </c>
      <c r="I100" s="397">
        <f>+'Ötv''siz Deniz'!I100+'Ötv''li Deniz'!I100</f>
        <v>0</v>
      </c>
      <c r="J100" s="397">
        <f>+'Ötv''siz Deniz'!J100+'Ötv''li Deniz'!J100</f>
        <v>0</v>
      </c>
      <c r="K100" s="397">
        <f>+'Ötv''siz Deniz'!K100+'Ötv''li Deniz'!K100</f>
        <v>0</v>
      </c>
      <c r="L100" s="397">
        <f>+'Ötv''siz Deniz'!L100+'Ötv''li Deniz'!L100</f>
        <v>0</v>
      </c>
      <c r="M100" s="397">
        <f>+'Ötv''siz Deniz'!M100+'Ötv''li Deniz'!M100</f>
        <v>0</v>
      </c>
      <c r="N100" s="397">
        <f>+'Ötv''siz Deniz'!N100+'Ötv''li Deniz'!N100</f>
        <v>0</v>
      </c>
      <c r="O100" s="398">
        <f>+'Ötv''siz Deniz'!O100+'Ötv''li Deniz'!O100</f>
        <v>0</v>
      </c>
      <c r="P100" s="399">
        <f t="shared" si="89"/>
        <v>0</v>
      </c>
      <c r="Q100" s="384" t="str">
        <f t="shared" si="88"/>
        <v>-</v>
      </c>
    </row>
    <row r="101" spans="1:22" ht="16.5" customHeight="1">
      <c r="A101" s="400" t="s">
        <v>83</v>
      </c>
      <c r="B101" s="408">
        <f>+'Ötv''siz Deniz'!B101+'Ötv''li Deniz'!B101</f>
        <v>0</v>
      </c>
      <c r="C101" s="1275">
        <f>+'Ötv''siz Deniz'!C101+'Ötv''li Deniz'!C101</f>
        <v>0</v>
      </c>
      <c r="D101" s="402">
        <f>+'Ötv''siz Deniz'!D101+'Ötv''li Deniz'!D101</f>
        <v>0</v>
      </c>
      <c r="E101" s="403">
        <f>+'Ötv''siz Deniz'!E101+'Ötv''li Deniz'!E101</f>
        <v>0</v>
      </c>
      <c r="F101" s="403">
        <f>+'Ötv''siz Deniz'!F101+'Ötv''li Deniz'!F101</f>
        <v>0</v>
      </c>
      <c r="G101" s="403">
        <f>+'Ötv''siz Deniz'!G101+'Ötv''li Deniz'!G101</f>
        <v>0</v>
      </c>
      <c r="H101" s="403">
        <f>+'Ötv''siz Deniz'!H101+'Ötv''li Deniz'!H101</f>
        <v>0</v>
      </c>
      <c r="I101" s="403">
        <f>+'Ötv''siz Deniz'!I101+'Ötv''li Deniz'!I101</f>
        <v>0</v>
      </c>
      <c r="J101" s="403">
        <f>+'Ötv''siz Deniz'!J101+'Ötv''li Deniz'!J101</f>
        <v>0</v>
      </c>
      <c r="K101" s="403">
        <f>+'Ötv''siz Deniz'!K101+'Ötv''li Deniz'!K101</f>
        <v>0</v>
      </c>
      <c r="L101" s="403">
        <f>+'Ötv''siz Deniz'!L101+'Ötv''li Deniz'!L101</f>
        <v>0</v>
      </c>
      <c r="M101" s="403">
        <f>+'Ötv''siz Deniz'!M101+'Ötv''li Deniz'!M101</f>
        <v>0</v>
      </c>
      <c r="N101" s="403">
        <f>+'Ötv''siz Deniz'!N101+'Ötv''li Deniz'!N101</f>
        <v>0</v>
      </c>
      <c r="O101" s="404">
        <f>+'Ötv''siz Deniz'!O101+'Ötv''li Deniz'!O101</f>
        <v>0</v>
      </c>
      <c r="P101" s="386">
        <f t="shared" si="89"/>
        <v>0</v>
      </c>
      <c r="Q101" s="405" t="str">
        <f t="shared" si="88"/>
        <v>-</v>
      </c>
    </row>
    <row r="102" spans="1:22" ht="16.5" hidden="1" customHeight="1">
      <c r="A102" s="406" t="s">
        <v>84</v>
      </c>
      <c r="B102" s="378">
        <f>B12*'Alış Fiyat'!B12</f>
        <v>0</v>
      </c>
      <c r="C102" s="1274">
        <f>C12*'Alış Fiyat'!C12</f>
        <v>0</v>
      </c>
      <c r="D102" s="407">
        <f>D12*'Alış Fiyat'!D12</f>
        <v>0</v>
      </c>
      <c r="E102" s="382">
        <f>E12*'Alış Fiyat'!E12</f>
        <v>0</v>
      </c>
      <c r="F102" s="382">
        <f>F12*'Alış Fiyat'!F12</f>
        <v>0</v>
      </c>
      <c r="G102" s="382">
        <f>G12*'Alış Fiyat'!G12</f>
        <v>0</v>
      </c>
      <c r="H102" s="382">
        <f>H12*'Alış Fiyat'!H12</f>
        <v>0</v>
      </c>
      <c r="I102" s="381">
        <f>I12*'Alış Fiyat'!I12</f>
        <v>0</v>
      </c>
      <c r="J102" s="381">
        <f>J12*'Alış Fiyat'!J12</f>
        <v>0</v>
      </c>
      <c r="K102" s="382">
        <f>K12*'Alış Fiyat'!K12</f>
        <v>0</v>
      </c>
      <c r="L102" s="382">
        <f>L12*'Alış Fiyat'!L12</f>
        <v>0</v>
      </c>
      <c r="M102" s="382">
        <f>M12*'Alış Fiyat'!M12</f>
        <v>0</v>
      </c>
      <c r="N102" s="382">
        <f>N12*'Alış Fiyat'!N12</f>
        <v>0</v>
      </c>
      <c r="O102" s="383">
        <f>O12*'Alış Fiyat'!O12</f>
        <v>0</v>
      </c>
      <c r="P102" s="399">
        <f t="shared" si="89"/>
        <v>0</v>
      </c>
      <c r="Q102" s="384" t="str">
        <f t="shared" si="88"/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91">SUM(E99:E102)</f>
        <v>0</v>
      </c>
      <c r="F103" s="414">
        <f t="shared" si="91"/>
        <v>0</v>
      </c>
      <c r="G103" s="414">
        <f t="shared" si="91"/>
        <v>0</v>
      </c>
      <c r="H103" s="414">
        <f t="shared" si="91"/>
        <v>0</v>
      </c>
      <c r="I103" s="414">
        <f t="shared" si="91"/>
        <v>0</v>
      </c>
      <c r="J103" s="414">
        <f t="shared" si="91"/>
        <v>0</v>
      </c>
      <c r="K103" s="414">
        <f t="shared" si="91"/>
        <v>0</v>
      </c>
      <c r="L103" s="414">
        <f t="shared" si="91"/>
        <v>0</v>
      </c>
      <c r="M103" s="414">
        <f t="shared" si="91"/>
        <v>0</v>
      </c>
      <c r="N103" s="414">
        <f t="shared" si="91"/>
        <v>0</v>
      </c>
      <c r="O103" s="412">
        <f t="shared" si="91"/>
        <v>0</v>
      </c>
      <c r="P103" s="411">
        <f t="shared" si="91"/>
        <v>0</v>
      </c>
      <c r="Q103" s="415" t="str">
        <f t="shared" si="88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:P104" si="92">SUM(C105:C106)</f>
        <v>0</v>
      </c>
      <c r="D104" s="417">
        <f t="shared" si="92"/>
        <v>0</v>
      </c>
      <c r="E104" s="418">
        <f t="shared" si="92"/>
        <v>0</v>
      </c>
      <c r="F104" s="418">
        <f t="shared" si="92"/>
        <v>0</v>
      </c>
      <c r="G104" s="418">
        <f t="shared" si="92"/>
        <v>0</v>
      </c>
      <c r="H104" s="418">
        <f t="shared" si="92"/>
        <v>0</v>
      </c>
      <c r="I104" s="418">
        <f t="shared" si="92"/>
        <v>0</v>
      </c>
      <c r="J104" s="418">
        <f t="shared" si="92"/>
        <v>0</v>
      </c>
      <c r="K104" s="418">
        <f t="shared" si="92"/>
        <v>0</v>
      </c>
      <c r="L104" s="418">
        <f t="shared" si="92"/>
        <v>0</v>
      </c>
      <c r="M104" s="418">
        <f t="shared" si="92"/>
        <v>0</v>
      </c>
      <c r="N104" s="418">
        <f t="shared" si="92"/>
        <v>0</v>
      </c>
      <c r="O104" s="419">
        <f t="shared" si="92"/>
        <v>0</v>
      </c>
      <c r="P104" s="420">
        <f t="shared" si="92"/>
        <v>0</v>
      </c>
      <c r="Q104" s="421" t="str">
        <f t="shared" si="88"/>
        <v>-</v>
      </c>
    </row>
    <row r="105" spans="1:22" ht="16.5" customHeight="1">
      <c r="A105" s="422" t="s">
        <v>19</v>
      </c>
      <c r="B105" s="423">
        <f>B15*'Alış Fiyat'!B15</f>
        <v>0</v>
      </c>
      <c r="C105" s="1276">
        <f>C15*'Alış Fiyat'!C15</f>
        <v>0</v>
      </c>
      <c r="D105" s="425">
        <f>D15*'Alış Fiyat'!D15</f>
        <v>0</v>
      </c>
      <c r="E105" s="426">
        <f>E15*'Alış Fiyat'!E15</f>
        <v>0</v>
      </c>
      <c r="F105" s="426">
        <f>F15*'Alış Fiyat'!F15</f>
        <v>0</v>
      </c>
      <c r="G105" s="426">
        <f>G15*'Alış Fiyat'!G15</f>
        <v>0</v>
      </c>
      <c r="H105" s="426">
        <f>H15*'Alış Fiyat'!H15</f>
        <v>0</v>
      </c>
      <c r="I105" s="426">
        <f>I15*'Alış Fiyat'!I15</f>
        <v>0</v>
      </c>
      <c r="J105" s="426">
        <f>J15*'Alış Fiyat'!J15</f>
        <v>0</v>
      </c>
      <c r="K105" s="426">
        <f>K15*'Alış Fiyat'!K15</f>
        <v>0</v>
      </c>
      <c r="L105" s="426">
        <f>L15*'Alış Fiyat'!L15</f>
        <v>0</v>
      </c>
      <c r="M105" s="426">
        <f>M15*'Alış Fiyat'!M15</f>
        <v>0</v>
      </c>
      <c r="N105" s="426">
        <f>N15*'Alış Fiyat'!N15</f>
        <v>0</v>
      </c>
      <c r="O105" s="427">
        <f>O15*'Alış Fiyat'!O15</f>
        <v>0</v>
      </c>
      <c r="P105" s="428">
        <f>SUM(D105:O105)</f>
        <v>0</v>
      </c>
      <c r="Q105" s="429" t="str">
        <f t="shared" si="88"/>
        <v>-</v>
      </c>
    </row>
    <row r="106" spans="1:22" ht="16.5" customHeight="1" thickBot="1">
      <c r="A106" s="430" t="s">
        <v>20</v>
      </c>
      <c r="B106" s="431">
        <f>B16*'Alış Fiyat'!B16</f>
        <v>0</v>
      </c>
      <c r="C106" s="1277">
        <f>C16*'Alış Fiyat'!C16</f>
        <v>0</v>
      </c>
      <c r="D106" s="433">
        <f>D16*'Alış Fiyat'!D16</f>
        <v>0</v>
      </c>
      <c r="E106" s="434">
        <f>E16*'Alış Fiyat'!E16</f>
        <v>0</v>
      </c>
      <c r="F106" s="434">
        <f>F16*'Alış Fiyat'!F16</f>
        <v>0</v>
      </c>
      <c r="G106" s="434">
        <f>G16*'Alış Fiyat'!G16</f>
        <v>0</v>
      </c>
      <c r="H106" s="434">
        <f>H16*'Alış Fiyat'!H16</f>
        <v>0</v>
      </c>
      <c r="I106" s="434">
        <f>I16*'Alış Fiyat'!I16</f>
        <v>0</v>
      </c>
      <c r="J106" s="434">
        <f>J16*'Alış Fiyat'!J16</f>
        <v>0</v>
      </c>
      <c r="K106" s="434">
        <f>K16*'Alış Fiyat'!K16</f>
        <v>0</v>
      </c>
      <c r="L106" s="434">
        <f>L16*'Alış Fiyat'!L16</f>
        <v>0</v>
      </c>
      <c r="M106" s="434">
        <f>M16*'Alış Fiyat'!M16</f>
        <v>0</v>
      </c>
      <c r="N106" s="434">
        <f>N16*'Alış Fiyat'!N16</f>
        <v>0</v>
      </c>
      <c r="O106" s="435">
        <f>O16*'Alış Fiyat'!O16</f>
        <v>0</v>
      </c>
      <c r="P106" s="436">
        <f>SUM(D106:O106)</f>
        <v>0</v>
      </c>
      <c r="Q106" s="437" t="str">
        <f t="shared" si="88"/>
        <v>-</v>
      </c>
    </row>
    <row r="107" spans="1:22" ht="22.5" customHeight="1" thickBot="1">
      <c r="A107" s="362" t="s">
        <v>30</v>
      </c>
      <c r="B107" s="363">
        <f t="shared" ref="B107:P107" si="93">SUM(B108:B109)</f>
        <v>0</v>
      </c>
      <c r="C107" s="416">
        <f t="shared" si="93"/>
        <v>0</v>
      </c>
      <c r="D107" s="417">
        <f t="shared" si="93"/>
        <v>0</v>
      </c>
      <c r="E107" s="418">
        <f t="shared" si="93"/>
        <v>0</v>
      </c>
      <c r="F107" s="418">
        <f t="shared" si="93"/>
        <v>0</v>
      </c>
      <c r="G107" s="418">
        <f t="shared" si="93"/>
        <v>0</v>
      </c>
      <c r="H107" s="418">
        <f t="shared" si="93"/>
        <v>0</v>
      </c>
      <c r="I107" s="418">
        <f t="shared" si="93"/>
        <v>0</v>
      </c>
      <c r="J107" s="418">
        <f t="shared" si="93"/>
        <v>0</v>
      </c>
      <c r="K107" s="418">
        <f t="shared" si="93"/>
        <v>0</v>
      </c>
      <c r="L107" s="418">
        <f t="shared" si="93"/>
        <v>0</v>
      </c>
      <c r="M107" s="418">
        <f t="shared" si="93"/>
        <v>0</v>
      </c>
      <c r="N107" s="418">
        <f t="shared" si="93"/>
        <v>0</v>
      </c>
      <c r="O107" s="419">
        <f t="shared" si="93"/>
        <v>0</v>
      </c>
      <c r="P107" s="420">
        <f t="shared" si="93"/>
        <v>0</v>
      </c>
      <c r="Q107" s="421" t="str">
        <f t="shared" si="88"/>
        <v>-</v>
      </c>
    </row>
    <row r="108" spans="1:22" ht="16.5" customHeight="1">
      <c r="A108" s="422" t="s">
        <v>106</v>
      </c>
      <c r="B108" s="423">
        <f>B18*'Alış Fiyat'!B18</f>
        <v>0</v>
      </c>
      <c r="C108" s="1276">
        <f>C18*'Alış Fiyat'!C18</f>
        <v>0</v>
      </c>
      <c r="D108" s="425">
        <f>D18*'Alış Fiyat'!D18</f>
        <v>0</v>
      </c>
      <c r="E108" s="426">
        <f>E18*'Alış Fiyat'!E18</f>
        <v>0</v>
      </c>
      <c r="F108" s="426">
        <f>F18*'Alış Fiyat'!F18</f>
        <v>0</v>
      </c>
      <c r="G108" s="426">
        <f>G18*'Alış Fiyat'!G18</f>
        <v>0</v>
      </c>
      <c r="H108" s="426">
        <f>H18*'Alış Fiyat'!H18</f>
        <v>0</v>
      </c>
      <c r="I108" s="426">
        <f>I18*'Alış Fiyat'!I18</f>
        <v>0</v>
      </c>
      <c r="J108" s="426">
        <f>J18*'Alış Fiyat'!J18</f>
        <v>0</v>
      </c>
      <c r="K108" s="426">
        <f>K18*'Alış Fiyat'!K18</f>
        <v>0</v>
      </c>
      <c r="L108" s="426">
        <f>L18*'Alış Fiyat'!L18</f>
        <v>0</v>
      </c>
      <c r="M108" s="426">
        <f>M18*'Alış Fiyat'!M18</f>
        <v>0</v>
      </c>
      <c r="N108" s="426">
        <f>N18*'Alış Fiyat'!N18</f>
        <v>0</v>
      </c>
      <c r="O108" s="427">
        <f>O18*'Alış Fiyat'!O18</f>
        <v>0</v>
      </c>
      <c r="P108" s="428">
        <f>SUM(D108:O108)</f>
        <v>0</v>
      </c>
      <c r="Q108" s="429" t="str">
        <f t="shared" si="88"/>
        <v>-</v>
      </c>
    </row>
    <row r="109" spans="1:22" ht="16.5" customHeight="1" thickBot="1">
      <c r="A109" s="438" t="s">
        <v>105</v>
      </c>
      <c r="B109" s="439">
        <f>B19*'Alış Fiyat'!B19</f>
        <v>0</v>
      </c>
      <c r="C109" s="1278">
        <f>C19*'Alış Fiyat'!C19</f>
        <v>0</v>
      </c>
      <c r="D109" s="441">
        <f>D19*'Alış Fiyat'!D19</f>
        <v>0</v>
      </c>
      <c r="E109" s="442">
        <f>E19*'Alış Fiyat'!E19</f>
        <v>0</v>
      </c>
      <c r="F109" s="442">
        <f>F19*'Alış Fiyat'!F19</f>
        <v>0</v>
      </c>
      <c r="G109" s="442">
        <f>G19*'Alış Fiyat'!G19</f>
        <v>0</v>
      </c>
      <c r="H109" s="442">
        <f>H19*'Alış Fiyat'!H19</f>
        <v>0</v>
      </c>
      <c r="I109" s="442">
        <f>I19*'Alış Fiyat'!I19</f>
        <v>0</v>
      </c>
      <c r="J109" s="442">
        <f>J19*'Alış Fiyat'!J19</f>
        <v>0</v>
      </c>
      <c r="K109" s="442">
        <f>K19*'Alış Fiyat'!K19</f>
        <v>0</v>
      </c>
      <c r="L109" s="442">
        <f>L19*'Alış Fiyat'!L19</f>
        <v>0</v>
      </c>
      <c r="M109" s="442">
        <f>M19*'Alış Fiyat'!M19</f>
        <v>0</v>
      </c>
      <c r="N109" s="442">
        <f>N19*'Alış Fiyat'!N19</f>
        <v>0</v>
      </c>
      <c r="O109" s="443">
        <f>O19*'Alış Fiyat'!O19</f>
        <v>0</v>
      </c>
      <c r="P109" s="444">
        <f>SUM(D109:O109)</f>
        <v>0</v>
      </c>
      <c r="Q109" s="445" t="str">
        <f t="shared" si="88"/>
        <v>-</v>
      </c>
    </row>
    <row r="110" spans="1:22" ht="16.5" customHeight="1" thickBot="1">
      <c r="C110" s="1279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>
        <f>B21*'Alış Fiyat'!B21</f>
        <v>0</v>
      </c>
      <c r="C111" s="364">
        <f>C21*'Alış Fiyat'!C21</f>
        <v>0</v>
      </c>
      <c r="D111" s="365">
        <f>D21*'Alış Fiyat'!D21</f>
        <v>0</v>
      </c>
      <c r="E111" s="366">
        <f>E21*'Alış Fiyat'!E21</f>
        <v>0</v>
      </c>
      <c r="F111" s="366">
        <f>F21*'Alış Fiyat'!F21</f>
        <v>0</v>
      </c>
      <c r="G111" s="366">
        <f>G21*'Alış Fiyat'!G21</f>
        <v>0</v>
      </c>
      <c r="H111" s="366">
        <f>H21*'Alış Fiyat'!H21</f>
        <v>0</v>
      </c>
      <c r="I111" s="366">
        <f>I21*'Alış Fiyat'!I21</f>
        <v>0</v>
      </c>
      <c r="J111" s="366">
        <f>J21*'Alış Fiyat'!J21</f>
        <v>0</v>
      </c>
      <c r="K111" s="366">
        <f>K21*'Alış Fiyat'!K21</f>
        <v>0</v>
      </c>
      <c r="L111" s="366">
        <f>L21*'Alış Fiyat'!L21</f>
        <v>0</v>
      </c>
      <c r="M111" s="366">
        <f>M21*'Alış Fiyat'!M21</f>
        <v>0</v>
      </c>
      <c r="N111" s="366">
        <f>N21*'Alış Fiyat'!N21</f>
        <v>0</v>
      </c>
      <c r="O111" s="448">
        <f>O21*'Alış Fiyat'!O21</f>
        <v>0</v>
      </c>
      <c r="P111" s="363">
        <f>SUM(D111:O111)</f>
        <v>0</v>
      </c>
      <c r="Q111" s="367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:P113" si="94">+C94+C104+C107+C111</f>
        <v>0</v>
      </c>
      <c r="D113" s="365">
        <f t="shared" si="94"/>
        <v>0</v>
      </c>
      <c r="E113" s="366">
        <f t="shared" si="94"/>
        <v>0</v>
      </c>
      <c r="F113" s="366">
        <f t="shared" si="94"/>
        <v>0</v>
      </c>
      <c r="G113" s="366">
        <f t="shared" si="94"/>
        <v>0</v>
      </c>
      <c r="H113" s="366">
        <f t="shared" si="94"/>
        <v>0</v>
      </c>
      <c r="I113" s="366">
        <f t="shared" si="94"/>
        <v>0</v>
      </c>
      <c r="J113" s="366">
        <f t="shared" si="94"/>
        <v>0</v>
      </c>
      <c r="K113" s="366">
        <f t="shared" si="94"/>
        <v>0</v>
      </c>
      <c r="L113" s="366">
        <f t="shared" si="94"/>
        <v>0</v>
      </c>
      <c r="M113" s="366">
        <f t="shared" si="94"/>
        <v>0</v>
      </c>
      <c r="N113" s="366">
        <f t="shared" si="94"/>
        <v>0</v>
      </c>
      <c r="O113" s="448">
        <f t="shared" si="94"/>
        <v>0</v>
      </c>
      <c r="P113" s="363">
        <f t="shared" si="94"/>
        <v>0</v>
      </c>
      <c r="Q113" s="367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7" t="s">
        <v>676</v>
      </c>
      <c r="E115" s="2378">
        <v>0</v>
      </c>
      <c r="F115" s="2378">
        <v>0</v>
      </c>
      <c r="G115" s="2378">
        <v>0</v>
      </c>
      <c r="H115" s="2378">
        <v>0</v>
      </c>
      <c r="I115" s="2378">
        <v>0</v>
      </c>
      <c r="J115" s="2378">
        <v>0</v>
      </c>
      <c r="K115" s="2378">
        <v>0</v>
      </c>
      <c r="L115" s="2378">
        <v>0</v>
      </c>
      <c r="M115" s="2378">
        <v>0</v>
      </c>
      <c r="N115" s="2378">
        <v>0</v>
      </c>
      <c r="O115" s="2378">
        <v>0</v>
      </c>
      <c r="P115" s="2379">
        <v>0</v>
      </c>
      <c r="Q115" s="937" t="s">
        <v>638</v>
      </c>
    </row>
    <row r="116" spans="1:22" ht="30.75" customHeight="1" thickBot="1">
      <c r="A116" s="356"/>
      <c r="B116" s="357" t="s">
        <v>657</v>
      </c>
      <c r="C116" s="357" t="s">
        <v>663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94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:P117" si="95">C120+C121+C126</f>
        <v>0</v>
      </c>
      <c r="D117" s="365">
        <f t="shared" si="95"/>
        <v>0</v>
      </c>
      <c r="E117" s="366">
        <f t="shared" si="95"/>
        <v>0</v>
      </c>
      <c r="F117" s="366">
        <f t="shared" si="95"/>
        <v>0</v>
      </c>
      <c r="G117" s="366">
        <f t="shared" si="95"/>
        <v>0</v>
      </c>
      <c r="H117" s="366">
        <f t="shared" si="95"/>
        <v>0</v>
      </c>
      <c r="I117" s="366">
        <f t="shared" si="95"/>
        <v>0</v>
      </c>
      <c r="J117" s="366">
        <f t="shared" si="95"/>
        <v>0</v>
      </c>
      <c r="K117" s="366">
        <f t="shared" si="95"/>
        <v>0</v>
      </c>
      <c r="L117" s="366">
        <f t="shared" si="95"/>
        <v>0</v>
      </c>
      <c r="M117" s="366">
        <f t="shared" si="95"/>
        <v>0</v>
      </c>
      <c r="N117" s="366">
        <f t="shared" si="95"/>
        <v>0</v>
      </c>
      <c r="O117" s="364">
        <f t="shared" si="95"/>
        <v>0</v>
      </c>
      <c r="P117" s="363">
        <f t="shared" si="95"/>
        <v>0</v>
      </c>
      <c r="Q117" s="367" t="str">
        <f t="shared" ref="Q117:Q132" si="96">IF(P117=0,"-",P117/C117-1)</f>
        <v>-</v>
      </c>
    </row>
    <row r="118" spans="1:22" ht="16.5" customHeight="1">
      <c r="A118" s="368" t="s">
        <v>15</v>
      </c>
      <c r="B118" s="369">
        <f t="shared" ref="B118:O119" si="97">+B72-B95</f>
        <v>0</v>
      </c>
      <c r="C118" s="1273">
        <f t="shared" si="97"/>
        <v>0</v>
      </c>
      <c r="D118" s="371">
        <f t="shared" si="97"/>
        <v>0</v>
      </c>
      <c r="E118" s="372">
        <f t="shared" si="97"/>
        <v>0</v>
      </c>
      <c r="F118" s="372">
        <f t="shared" si="97"/>
        <v>0</v>
      </c>
      <c r="G118" s="372">
        <f t="shared" si="97"/>
        <v>0</v>
      </c>
      <c r="H118" s="373">
        <f t="shared" si="97"/>
        <v>0</v>
      </c>
      <c r="I118" s="373">
        <f t="shared" si="97"/>
        <v>0</v>
      </c>
      <c r="J118" s="373">
        <f t="shared" si="97"/>
        <v>0</v>
      </c>
      <c r="K118" s="373">
        <f t="shared" si="97"/>
        <v>0</v>
      </c>
      <c r="L118" s="373">
        <f t="shared" si="97"/>
        <v>0</v>
      </c>
      <c r="M118" s="373">
        <f t="shared" si="97"/>
        <v>0</v>
      </c>
      <c r="N118" s="373">
        <f t="shared" si="97"/>
        <v>0</v>
      </c>
      <c r="O118" s="374">
        <f t="shared" si="97"/>
        <v>0</v>
      </c>
      <c r="P118" s="369">
        <f t="shared" ref="P118:P125" si="98">SUM(D118:O118)</f>
        <v>0</v>
      </c>
      <c r="Q118" s="375" t="str">
        <f t="shared" si="96"/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97"/>
        <v>0</v>
      </c>
      <c r="C119" s="1274">
        <f t="shared" si="97"/>
        <v>0</v>
      </c>
      <c r="D119" s="380">
        <f t="shared" si="97"/>
        <v>0</v>
      </c>
      <c r="E119" s="381">
        <f t="shared" si="97"/>
        <v>0</v>
      </c>
      <c r="F119" s="381">
        <f t="shared" si="97"/>
        <v>0</v>
      </c>
      <c r="G119" s="381">
        <f t="shared" si="97"/>
        <v>0</v>
      </c>
      <c r="H119" s="382">
        <f t="shared" si="97"/>
        <v>0</v>
      </c>
      <c r="I119" s="382">
        <f t="shared" si="97"/>
        <v>0</v>
      </c>
      <c r="J119" s="382">
        <f t="shared" si="97"/>
        <v>0</v>
      </c>
      <c r="K119" s="382">
        <f t="shared" si="97"/>
        <v>0</v>
      </c>
      <c r="L119" s="382">
        <f t="shared" si="97"/>
        <v>0</v>
      </c>
      <c r="M119" s="382">
        <f t="shared" si="97"/>
        <v>0</v>
      </c>
      <c r="N119" s="382">
        <f t="shared" si="97"/>
        <v>0</v>
      </c>
      <c r="O119" s="383">
        <f t="shared" si="97"/>
        <v>0</v>
      </c>
      <c r="P119" s="378">
        <f t="shared" si="98"/>
        <v>0</v>
      </c>
      <c r="Q119" s="384" t="str">
        <f t="shared" si="96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99">SUM(D118:D119)</f>
        <v>0</v>
      </c>
      <c r="E120" s="389">
        <f t="shared" si="99"/>
        <v>0</v>
      </c>
      <c r="F120" s="389">
        <f t="shared" si="99"/>
        <v>0</v>
      </c>
      <c r="G120" s="389">
        <f t="shared" si="99"/>
        <v>0</v>
      </c>
      <c r="H120" s="389">
        <f t="shared" si="99"/>
        <v>0</v>
      </c>
      <c r="I120" s="389">
        <f t="shared" si="99"/>
        <v>0</v>
      </c>
      <c r="J120" s="389">
        <f t="shared" si="99"/>
        <v>0</v>
      </c>
      <c r="K120" s="389">
        <f t="shared" si="99"/>
        <v>0</v>
      </c>
      <c r="L120" s="389">
        <f t="shared" si="99"/>
        <v>0</v>
      </c>
      <c r="M120" s="389">
        <f t="shared" si="99"/>
        <v>0</v>
      </c>
      <c r="N120" s="389">
        <f t="shared" si="99"/>
        <v>0</v>
      </c>
      <c r="O120" s="390">
        <f t="shared" si="99"/>
        <v>0</v>
      </c>
      <c r="P120" s="391">
        <f>SUM(D120:O120)</f>
        <v>0</v>
      </c>
      <c r="Q120" s="449" t="str">
        <f t="shared" si="96"/>
        <v>-</v>
      </c>
    </row>
    <row r="121" spans="1:22" ht="16.5" customHeight="1">
      <c r="A121" s="393" t="s">
        <v>17</v>
      </c>
      <c r="B121" s="394">
        <f t="shared" ref="B121:O125" si="100">+B75-B98</f>
        <v>0</v>
      </c>
      <c r="C121" s="395">
        <f t="shared" si="100"/>
        <v>0</v>
      </c>
      <c r="D121" s="396">
        <f t="shared" si="100"/>
        <v>0</v>
      </c>
      <c r="E121" s="397">
        <f t="shared" si="100"/>
        <v>0</v>
      </c>
      <c r="F121" s="397">
        <f t="shared" si="100"/>
        <v>0</v>
      </c>
      <c r="G121" s="397">
        <f t="shared" si="100"/>
        <v>0</v>
      </c>
      <c r="H121" s="397">
        <f t="shared" si="100"/>
        <v>0</v>
      </c>
      <c r="I121" s="397">
        <f t="shared" si="100"/>
        <v>0</v>
      </c>
      <c r="J121" s="397">
        <f t="shared" si="100"/>
        <v>0</v>
      </c>
      <c r="K121" s="397">
        <f t="shared" si="100"/>
        <v>0</v>
      </c>
      <c r="L121" s="397">
        <f t="shared" si="100"/>
        <v>0</v>
      </c>
      <c r="M121" s="397">
        <f t="shared" si="100"/>
        <v>0</v>
      </c>
      <c r="N121" s="397">
        <f t="shared" si="100"/>
        <v>0</v>
      </c>
      <c r="O121" s="398">
        <f t="shared" si="100"/>
        <v>0</v>
      </c>
      <c r="P121" s="399">
        <f t="shared" si="98"/>
        <v>0</v>
      </c>
      <c r="Q121" s="384" t="str">
        <f t="shared" si="96"/>
        <v>-</v>
      </c>
    </row>
    <row r="122" spans="1:22" ht="16.5" customHeight="1">
      <c r="A122" s="400" t="s">
        <v>81</v>
      </c>
      <c r="B122" s="391">
        <f>+'Ötv''siz Deniz'!B122+'Ötv''li Deniz'!B122</f>
        <v>0</v>
      </c>
      <c r="C122" s="450">
        <f>+'Ötv''siz Deniz'!C122+'Ötv''li Deniz'!C122</f>
        <v>0</v>
      </c>
      <c r="D122" s="402">
        <f>+D76-D99</f>
        <v>0</v>
      </c>
      <c r="E122" s="403">
        <f t="shared" si="100"/>
        <v>0</v>
      </c>
      <c r="F122" s="403">
        <f t="shared" si="100"/>
        <v>0</v>
      </c>
      <c r="G122" s="403">
        <f t="shared" si="100"/>
        <v>0</v>
      </c>
      <c r="H122" s="403">
        <f t="shared" si="100"/>
        <v>0</v>
      </c>
      <c r="I122" s="403">
        <f t="shared" si="100"/>
        <v>0</v>
      </c>
      <c r="J122" s="403">
        <f t="shared" si="100"/>
        <v>0</v>
      </c>
      <c r="K122" s="403">
        <f t="shared" si="100"/>
        <v>0</v>
      </c>
      <c r="L122" s="403">
        <f t="shared" si="100"/>
        <v>0</v>
      </c>
      <c r="M122" s="403">
        <f t="shared" si="100"/>
        <v>0</v>
      </c>
      <c r="N122" s="403">
        <f t="shared" si="100"/>
        <v>0</v>
      </c>
      <c r="O122" s="404">
        <f t="shared" si="100"/>
        <v>0</v>
      </c>
      <c r="P122" s="386">
        <f t="shared" si="98"/>
        <v>0</v>
      </c>
      <c r="Q122" s="405" t="str">
        <f t="shared" si="96"/>
        <v>-</v>
      </c>
    </row>
    <row r="123" spans="1:22" ht="16.5" hidden="1" customHeight="1">
      <c r="A123" s="406" t="s">
        <v>82</v>
      </c>
      <c r="B123" s="394">
        <f>+'Ötv''siz Deniz'!B123+'Ötv''li Deniz'!B123</f>
        <v>0</v>
      </c>
      <c r="C123" s="395">
        <f>+'Ötv''siz Deniz'!C123+'Ötv''li Deniz'!C123</f>
        <v>0</v>
      </c>
      <c r="D123" s="407">
        <f t="shared" si="100"/>
        <v>0</v>
      </c>
      <c r="E123" s="382">
        <f t="shared" si="100"/>
        <v>0</v>
      </c>
      <c r="F123" s="382">
        <f t="shared" si="100"/>
        <v>0</v>
      </c>
      <c r="G123" s="382">
        <f t="shared" si="100"/>
        <v>0</v>
      </c>
      <c r="H123" s="382">
        <f t="shared" si="100"/>
        <v>0</v>
      </c>
      <c r="I123" s="382">
        <f t="shared" si="100"/>
        <v>0</v>
      </c>
      <c r="J123" s="382">
        <f t="shared" si="100"/>
        <v>0</v>
      </c>
      <c r="K123" s="382">
        <f t="shared" si="100"/>
        <v>0</v>
      </c>
      <c r="L123" s="382">
        <f t="shared" si="100"/>
        <v>0</v>
      </c>
      <c r="M123" s="382">
        <f t="shared" si="100"/>
        <v>0</v>
      </c>
      <c r="N123" s="382">
        <f t="shared" si="100"/>
        <v>0</v>
      </c>
      <c r="O123" s="383">
        <f t="shared" si="100"/>
        <v>0</v>
      </c>
      <c r="P123" s="399">
        <f t="shared" si="98"/>
        <v>0</v>
      </c>
      <c r="Q123" s="384" t="str">
        <f t="shared" si="96"/>
        <v>-</v>
      </c>
    </row>
    <row r="124" spans="1:22" ht="16.5" customHeight="1">
      <c r="A124" s="400" t="s">
        <v>83</v>
      </c>
      <c r="B124" s="408">
        <f>+'Ötv''siz Deniz'!B124+'Ötv''li Deniz'!B124</f>
        <v>0</v>
      </c>
      <c r="C124" s="1275">
        <f>+'Ötv''siz Deniz'!C124+'Ötv''li Deniz'!C124</f>
        <v>0</v>
      </c>
      <c r="D124" s="402">
        <f t="shared" si="100"/>
        <v>0</v>
      </c>
      <c r="E124" s="403">
        <f t="shared" si="100"/>
        <v>0</v>
      </c>
      <c r="F124" s="403">
        <f t="shared" si="100"/>
        <v>0</v>
      </c>
      <c r="G124" s="403">
        <f t="shared" si="100"/>
        <v>0</v>
      </c>
      <c r="H124" s="403">
        <f t="shared" si="100"/>
        <v>0</v>
      </c>
      <c r="I124" s="403">
        <f t="shared" si="100"/>
        <v>0</v>
      </c>
      <c r="J124" s="403">
        <f t="shared" si="100"/>
        <v>0</v>
      </c>
      <c r="K124" s="403">
        <f t="shared" si="100"/>
        <v>0</v>
      </c>
      <c r="L124" s="403">
        <f t="shared" si="100"/>
        <v>0</v>
      </c>
      <c r="M124" s="403">
        <f t="shared" si="100"/>
        <v>0</v>
      </c>
      <c r="N124" s="403">
        <f t="shared" si="100"/>
        <v>0</v>
      </c>
      <c r="O124" s="404">
        <f t="shared" si="100"/>
        <v>0</v>
      </c>
      <c r="P124" s="386">
        <f t="shared" si="98"/>
        <v>0</v>
      </c>
      <c r="Q124" s="405" t="str">
        <f t="shared" si="96"/>
        <v>-</v>
      </c>
    </row>
    <row r="125" spans="1:22" ht="16.5" hidden="1" customHeight="1">
      <c r="A125" s="406" t="s">
        <v>84</v>
      </c>
      <c r="B125" s="378">
        <f t="shared" si="100"/>
        <v>0</v>
      </c>
      <c r="C125" s="1274">
        <f t="shared" si="100"/>
        <v>0</v>
      </c>
      <c r="D125" s="407">
        <f t="shared" si="100"/>
        <v>0</v>
      </c>
      <c r="E125" s="382">
        <f t="shared" si="100"/>
        <v>0</v>
      </c>
      <c r="F125" s="382">
        <f t="shared" si="100"/>
        <v>0</v>
      </c>
      <c r="G125" s="382">
        <f t="shared" si="100"/>
        <v>0</v>
      </c>
      <c r="H125" s="382">
        <f t="shared" si="100"/>
        <v>0</v>
      </c>
      <c r="I125" s="381">
        <f t="shared" si="100"/>
        <v>0</v>
      </c>
      <c r="J125" s="381">
        <f t="shared" si="100"/>
        <v>0</v>
      </c>
      <c r="K125" s="382">
        <f t="shared" si="100"/>
        <v>0</v>
      </c>
      <c r="L125" s="382">
        <f t="shared" si="100"/>
        <v>0</v>
      </c>
      <c r="M125" s="382">
        <f t="shared" si="100"/>
        <v>0</v>
      </c>
      <c r="N125" s="382">
        <f t="shared" si="100"/>
        <v>0</v>
      </c>
      <c r="O125" s="383">
        <f t="shared" si="100"/>
        <v>0</v>
      </c>
      <c r="P125" s="399">
        <f t="shared" si="98"/>
        <v>0</v>
      </c>
      <c r="Q125" s="384" t="str">
        <f t="shared" si="96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>SUM(B122:B125)</f>
        <v>0</v>
      </c>
      <c r="C126" s="412">
        <f>SUM(C122:C125)</f>
        <v>0</v>
      </c>
      <c r="D126" s="413">
        <f>SUM(D122:D125)</f>
        <v>0</v>
      </c>
      <c r="E126" s="414">
        <f t="shared" ref="E126:P126" si="101">SUM(E122:E125)</f>
        <v>0</v>
      </c>
      <c r="F126" s="414">
        <f t="shared" si="101"/>
        <v>0</v>
      </c>
      <c r="G126" s="414">
        <f t="shared" si="101"/>
        <v>0</v>
      </c>
      <c r="H126" s="414">
        <f t="shared" si="101"/>
        <v>0</v>
      </c>
      <c r="I126" s="414">
        <f t="shared" si="101"/>
        <v>0</v>
      </c>
      <c r="J126" s="414">
        <f t="shared" si="101"/>
        <v>0</v>
      </c>
      <c r="K126" s="414">
        <f t="shared" si="101"/>
        <v>0</v>
      </c>
      <c r="L126" s="414">
        <f t="shared" si="101"/>
        <v>0</v>
      </c>
      <c r="M126" s="414">
        <f t="shared" si="101"/>
        <v>0</v>
      </c>
      <c r="N126" s="414">
        <f t="shared" si="101"/>
        <v>0</v>
      </c>
      <c r="O126" s="412">
        <f t="shared" si="101"/>
        <v>0</v>
      </c>
      <c r="P126" s="411">
        <f t="shared" si="101"/>
        <v>0</v>
      </c>
      <c r="Q126" s="415" t="str">
        <f t="shared" si="96"/>
        <v>-</v>
      </c>
    </row>
    <row r="127" spans="1:22" ht="22.5" customHeight="1" thickBot="1">
      <c r="A127" s="362" t="s">
        <v>29</v>
      </c>
      <c r="B127" s="420">
        <f t="shared" ref="B127:O129" si="102">+B81-B104</f>
        <v>0</v>
      </c>
      <c r="C127" s="416">
        <f t="shared" si="102"/>
        <v>0</v>
      </c>
      <c r="D127" s="417">
        <f t="shared" si="102"/>
        <v>0</v>
      </c>
      <c r="E127" s="418">
        <f t="shared" si="102"/>
        <v>0</v>
      </c>
      <c r="F127" s="418">
        <f t="shared" si="102"/>
        <v>0</v>
      </c>
      <c r="G127" s="418">
        <f t="shared" si="102"/>
        <v>0</v>
      </c>
      <c r="H127" s="418">
        <f t="shared" si="102"/>
        <v>0</v>
      </c>
      <c r="I127" s="418">
        <f t="shared" si="102"/>
        <v>0</v>
      </c>
      <c r="J127" s="418">
        <f t="shared" si="102"/>
        <v>0</v>
      </c>
      <c r="K127" s="418">
        <f t="shared" si="102"/>
        <v>0</v>
      </c>
      <c r="L127" s="418">
        <f t="shared" si="102"/>
        <v>0</v>
      </c>
      <c r="M127" s="418">
        <f t="shared" si="102"/>
        <v>0</v>
      </c>
      <c r="N127" s="418">
        <f t="shared" si="102"/>
        <v>0</v>
      </c>
      <c r="O127" s="419">
        <f t="shared" si="102"/>
        <v>0</v>
      </c>
      <c r="P127" s="420">
        <f>SUM(P128:P129)</f>
        <v>0</v>
      </c>
      <c r="Q127" s="421" t="str">
        <f t="shared" si="96"/>
        <v>-</v>
      </c>
    </row>
    <row r="128" spans="1:22" ht="16.5" customHeight="1">
      <c r="A128" s="422" t="s">
        <v>19</v>
      </c>
      <c r="B128" s="423">
        <f t="shared" si="102"/>
        <v>0</v>
      </c>
      <c r="C128" s="1276">
        <f t="shared" si="102"/>
        <v>0</v>
      </c>
      <c r="D128" s="425">
        <f t="shared" si="102"/>
        <v>0</v>
      </c>
      <c r="E128" s="426">
        <f t="shared" si="102"/>
        <v>0</v>
      </c>
      <c r="F128" s="426">
        <f t="shared" si="102"/>
        <v>0</v>
      </c>
      <c r="G128" s="426">
        <f t="shared" si="102"/>
        <v>0</v>
      </c>
      <c r="H128" s="426">
        <f t="shared" si="102"/>
        <v>0</v>
      </c>
      <c r="I128" s="426">
        <f t="shared" si="102"/>
        <v>0</v>
      </c>
      <c r="J128" s="426">
        <f t="shared" si="102"/>
        <v>0</v>
      </c>
      <c r="K128" s="426">
        <f t="shared" si="102"/>
        <v>0</v>
      </c>
      <c r="L128" s="426">
        <f t="shared" si="102"/>
        <v>0</v>
      </c>
      <c r="M128" s="426">
        <f t="shared" si="102"/>
        <v>0</v>
      </c>
      <c r="N128" s="426">
        <f t="shared" si="102"/>
        <v>0</v>
      </c>
      <c r="O128" s="427">
        <f t="shared" si="102"/>
        <v>0</v>
      </c>
      <c r="P128" s="428">
        <f>SUM(D128:O128)</f>
        <v>0</v>
      </c>
      <c r="Q128" s="429" t="str">
        <f t="shared" si="96"/>
        <v>-</v>
      </c>
    </row>
    <row r="129" spans="1:18" ht="16.5" customHeight="1" thickBot="1">
      <c r="A129" s="430" t="s">
        <v>20</v>
      </c>
      <c r="B129" s="431">
        <f t="shared" si="102"/>
        <v>0</v>
      </c>
      <c r="C129" s="1277">
        <f t="shared" si="102"/>
        <v>0</v>
      </c>
      <c r="D129" s="433">
        <f t="shared" si="102"/>
        <v>0</v>
      </c>
      <c r="E129" s="434">
        <f t="shared" si="102"/>
        <v>0</v>
      </c>
      <c r="F129" s="434">
        <f t="shared" si="102"/>
        <v>0</v>
      </c>
      <c r="G129" s="434">
        <f t="shared" si="102"/>
        <v>0</v>
      </c>
      <c r="H129" s="434">
        <f t="shared" si="102"/>
        <v>0</v>
      </c>
      <c r="I129" s="434">
        <f t="shared" si="102"/>
        <v>0</v>
      </c>
      <c r="J129" s="434">
        <f t="shared" si="102"/>
        <v>0</v>
      </c>
      <c r="K129" s="434">
        <f t="shared" si="102"/>
        <v>0</v>
      </c>
      <c r="L129" s="434">
        <f t="shared" si="102"/>
        <v>0</v>
      </c>
      <c r="M129" s="434">
        <f t="shared" si="102"/>
        <v>0</v>
      </c>
      <c r="N129" s="434">
        <f t="shared" si="102"/>
        <v>0</v>
      </c>
      <c r="O129" s="435">
        <f t="shared" si="102"/>
        <v>0</v>
      </c>
      <c r="P129" s="436">
        <f>SUM(D129:O129)</f>
        <v>0</v>
      </c>
      <c r="Q129" s="437" t="str">
        <f t="shared" si="96"/>
        <v>-</v>
      </c>
    </row>
    <row r="130" spans="1:18" ht="22.5" customHeight="1" thickBot="1">
      <c r="A130" s="362" t="s">
        <v>30</v>
      </c>
      <c r="B130" s="363">
        <f t="shared" ref="B130:P130" si="103">SUM(B131:B132)</f>
        <v>0</v>
      </c>
      <c r="C130" s="416">
        <f t="shared" si="103"/>
        <v>0</v>
      </c>
      <c r="D130" s="417">
        <f t="shared" si="103"/>
        <v>0</v>
      </c>
      <c r="E130" s="418">
        <f t="shared" si="103"/>
        <v>0</v>
      </c>
      <c r="F130" s="418">
        <f t="shared" si="103"/>
        <v>0</v>
      </c>
      <c r="G130" s="418">
        <f t="shared" si="103"/>
        <v>0</v>
      </c>
      <c r="H130" s="418">
        <f t="shared" si="103"/>
        <v>0</v>
      </c>
      <c r="I130" s="418">
        <f t="shared" si="103"/>
        <v>0</v>
      </c>
      <c r="J130" s="418">
        <f t="shared" si="103"/>
        <v>0</v>
      </c>
      <c r="K130" s="418">
        <f t="shared" si="103"/>
        <v>0</v>
      </c>
      <c r="L130" s="418">
        <f t="shared" si="103"/>
        <v>0</v>
      </c>
      <c r="M130" s="418">
        <f t="shared" si="103"/>
        <v>0</v>
      </c>
      <c r="N130" s="418">
        <f t="shared" si="103"/>
        <v>0</v>
      </c>
      <c r="O130" s="419">
        <f t="shared" si="103"/>
        <v>0</v>
      </c>
      <c r="P130" s="420">
        <f t="shared" si="103"/>
        <v>0</v>
      </c>
      <c r="Q130" s="421" t="str">
        <f t="shared" si="96"/>
        <v>-</v>
      </c>
    </row>
    <row r="131" spans="1:18" ht="16.5" customHeight="1">
      <c r="A131" s="422" t="s">
        <v>106</v>
      </c>
      <c r="B131" s="423">
        <f t="shared" ref="B131:O132" si="104">+B85-B108</f>
        <v>0</v>
      </c>
      <c r="C131" s="1276">
        <f t="shared" si="104"/>
        <v>0</v>
      </c>
      <c r="D131" s="425">
        <f t="shared" si="104"/>
        <v>0</v>
      </c>
      <c r="E131" s="426">
        <f t="shared" si="104"/>
        <v>0</v>
      </c>
      <c r="F131" s="426">
        <f t="shared" si="104"/>
        <v>0</v>
      </c>
      <c r="G131" s="426">
        <f t="shared" si="104"/>
        <v>0</v>
      </c>
      <c r="H131" s="426">
        <f t="shared" si="104"/>
        <v>0</v>
      </c>
      <c r="I131" s="426">
        <f t="shared" si="104"/>
        <v>0</v>
      </c>
      <c r="J131" s="426">
        <f t="shared" si="104"/>
        <v>0</v>
      </c>
      <c r="K131" s="426">
        <f t="shared" si="104"/>
        <v>0</v>
      </c>
      <c r="L131" s="426">
        <f t="shared" si="104"/>
        <v>0</v>
      </c>
      <c r="M131" s="426">
        <f t="shared" si="104"/>
        <v>0</v>
      </c>
      <c r="N131" s="426">
        <f t="shared" si="104"/>
        <v>0</v>
      </c>
      <c r="O131" s="427">
        <f t="shared" si="104"/>
        <v>0</v>
      </c>
      <c r="P131" s="428">
        <f>SUM(D131:O131)</f>
        <v>0</v>
      </c>
      <c r="Q131" s="429" t="str">
        <f t="shared" si="96"/>
        <v>-</v>
      </c>
    </row>
    <row r="132" spans="1:18" ht="16.5" customHeight="1" thickBot="1">
      <c r="A132" s="438" t="s">
        <v>105</v>
      </c>
      <c r="B132" s="439">
        <f t="shared" si="104"/>
        <v>0</v>
      </c>
      <c r="C132" s="1278">
        <f t="shared" si="104"/>
        <v>0</v>
      </c>
      <c r="D132" s="441">
        <f t="shared" si="104"/>
        <v>0</v>
      </c>
      <c r="E132" s="442">
        <f t="shared" si="104"/>
        <v>0</v>
      </c>
      <c r="F132" s="442">
        <f t="shared" si="104"/>
        <v>0</v>
      </c>
      <c r="G132" s="442">
        <f t="shared" si="104"/>
        <v>0</v>
      </c>
      <c r="H132" s="442">
        <f t="shared" si="104"/>
        <v>0</v>
      </c>
      <c r="I132" s="442">
        <f t="shared" si="104"/>
        <v>0</v>
      </c>
      <c r="J132" s="442">
        <f t="shared" si="104"/>
        <v>0</v>
      </c>
      <c r="K132" s="442">
        <f t="shared" si="104"/>
        <v>0</v>
      </c>
      <c r="L132" s="442">
        <f t="shared" si="104"/>
        <v>0</v>
      </c>
      <c r="M132" s="442">
        <f t="shared" si="104"/>
        <v>0</v>
      </c>
      <c r="N132" s="442">
        <f t="shared" si="104"/>
        <v>0</v>
      </c>
      <c r="O132" s="443">
        <f t="shared" si="104"/>
        <v>0</v>
      </c>
      <c r="P132" s="444">
        <f>SUM(D132:O132)</f>
        <v>0</v>
      </c>
      <c r="Q132" s="445" t="str">
        <f t="shared" si="96"/>
        <v>-</v>
      </c>
    </row>
    <row r="133" spans="1:18" ht="16.5" customHeight="1" thickBot="1">
      <c r="C133" s="1279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8" ht="22.5" customHeight="1" thickBot="1">
      <c r="A134" s="362" t="s">
        <v>86</v>
      </c>
      <c r="B134" s="363">
        <f t="shared" ref="B134:O134" si="105">+B88-B111</f>
        <v>0</v>
      </c>
      <c r="C134" s="364">
        <f t="shared" si="105"/>
        <v>0</v>
      </c>
      <c r="D134" s="365">
        <f t="shared" si="105"/>
        <v>0</v>
      </c>
      <c r="E134" s="366">
        <f t="shared" si="105"/>
        <v>0</v>
      </c>
      <c r="F134" s="366">
        <f t="shared" si="105"/>
        <v>0</v>
      </c>
      <c r="G134" s="366">
        <f t="shared" si="105"/>
        <v>0</v>
      </c>
      <c r="H134" s="366">
        <f t="shared" si="105"/>
        <v>0</v>
      </c>
      <c r="I134" s="366">
        <f t="shared" si="105"/>
        <v>0</v>
      </c>
      <c r="J134" s="366">
        <f t="shared" si="105"/>
        <v>0</v>
      </c>
      <c r="K134" s="366">
        <f t="shared" si="105"/>
        <v>0</v>
      </c>
      <c r="L134" s="366">
        <f t="shared" si="105"/>
        <v>0</v>
      </c>
      <c r="M134" s="366">
        <f t="shared" si="105"/>
        <v>0</v>
      </c>
      <c r="N134" s="366">
        <f t="shared" si="105"/>
        <v>0</v>
      </c>
      <c r="O134" s="448">
        <f t="shared" si="105"/>
        <v>0</v>
      </c>
      <c r="P134" s="363">
        <f>SUM(D134:O134)</f>
        <v>0</v>
      </c>
      <c r="Q134" s="367" t="str">
        <f>IF(P134=0,"-",P134/C134-1)</f>
        <v>-</v>
      </c>
    </row>
    <row r="135" spans="1:18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8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:P136" si="106">+C117+C127+C130+C134</f>
        <v>0</v>
      </c>
      <c r="D136" s="365">
        <f t="shared" si="106"/>
        <v>0</v>
      </c>
      <c r="E136" s="366">
        <f t="shared" si="106"/>
        <v>0</v>
      </c>
      <c r="F136" s="366">
        <f t="shared" si="106"/>
        <v>0</v>
      </c>
      <c r="G136" s="366">
        <f t="shared" si="106"/>
        <v>0</v>
      </c>
      <c r="H136" s="366">
        <f t="shared" si="106"/>
        <v>0</v>
      </c>
      <c r="I136" s="366">
        <f t="shared" si="106"/>
        <v>0</v>
      </c>
      <c r="J136" s="366">
        <f t="shared" si="106"/>
        <v>0</v>
      </c>
      <c r="K136" s="366">
        <f t="shared" si="106"/>
        <v>0</v>
      </c>
      <c r="L136" s="366">
        <f t="shared" si="106"/>
        <v>0</v>
      </c>
      <c r="M136" s="366">
        <f t="shared" si="106"/>
        <v>0</v>
      </c>
      <c r="N136" s="366">
        <f t="shared" si="106"/>
        <v>0</v>
      </c>
      <c r="O136" s="364">
        <f t="shared" si="106"/>
        <v>0</v>
      </c>
      <c r="P136" s="363">
        <f t="shared" si="106"/>
        <v>0</v>
      </c>
      <c r="Q136" s="367" t="str">
        <f>IF(P136=0,"-",P136/C136-1)</f>
        <v>-</v>
      </c>
      <c r="R136" s="630">
        <f>+'Ötv''siz Deniz'!P136+'Ötv''li Deniz'!P136</f>
        <v>0</v>
      </c>
    </row>
    <row r="137" spans="1:18" ht="15" thickBot="1"/>
    <row r="138" spans="1:18" ht="33" customHeight="1" thickBot="1">
      <c r="A138" s="354"/>
      <c r="B138" s="2372" t="s">
        <v>664</v>
      </c>
      <c r="C138" s="2373"/>
      <c r="D138" s="2377" t="s">
        <v>645</v>
      </c>
      <c r="E138" s="2378">
        <v>0</v>
      </c>
      <c r="F138" s="2378">
        <v>0</v>
      </c>
      <c r="G138" s="2378">
        <v>0</v>
      </c>
      <c r="H138" s="2378">
        <v>0</v>
      </c>
      <c r="I138" s="2378">
        <v>0</v>
      </c>
      <c r="J138" s="2378">
        <v>0</v>
      </c>
      <c r="K138" s="2378">
        <v>0</v>
      </c>
      <c r="L138" s="2378">
        <v>0</v>
      </c>
      <c r="M138" s="2378">
        <v>0</v>
      </c>
      <c r="N138" s="2378">
        <v>0</v>
      </c>
      <c r="O138" s="2378">
        <v>0</v>
      </c>
      <c r="P138" s="2379">
        <v>0</v>
      </c>
      <c r="Q138" s="937" t="s">
        <v>638</v>
      </c>
    </row>
    <row r="139" spans="1:18" ht="30.75" customHeight="1" thickBot="1">
      <c r="A139" s="356"/>
      <c r="B139" s="357" t="s">
        <v>657</v>
      </c>
      <c r="C139" s="357" t="s">
        <v>663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941" t="s">
        <v>619</v>
      </c>
    </row>
    <row r="140" spans="1:18" ht="22.5" customHeight="1" thickBot="1">
      <c r="A140" s="362" t="s">
        <v>37</v>
      </c>
      <c r="B140" s="363">
        <f>SUM(B141:B173)</f>
        <v>0</v>
      </c>
      <c r="C140" s="364">
        <f t="shared" ref="C140:P140" si="107">SUM(C141:C173)</f>
        <v>0</v>
      </c>
      <c r="D140" s="417">
        <f t="shared" si="107"/>
        <v>0</v>
      </c>
      <c r="E140" s="418">
        <f t="shared" si="107"/>
        <v>0</v>
      </c>
      <c r="F140" s="418">
        <f t="shared" si="107"/>
        <v>0</v>
      </c>
      <c r="G140" s="418">
        <f t="shared" si="107"/>
        <v>0</v>
      </c>
      <c r="H140" s="418">
        <f t="shared" si="107"/>
        <v>0</v>
      </c>
      <c r="I140" s="418">
        <f t="shared" si="107"/>
        <v>0</v>
      </c>
      <c r="J140" s="418">
        <f t="shared" si="107"/>
        <v>0</v>
      </c>
      <c r="K140" s="418">
        <f t="shared" si="107"/>
        <v>0</v>
      </c>
      <c r="L140" s="418">
        <f t="shared" si="107"/>
        <v>0</v>
      </c>
      <c r="M140" s="418">
        <f t="shared" si="107"/>
        <v>0</v>
      </c>
      <c r="N140" s="418">
        <f t="shared" si="107"/>
        <v>0</v>
      </c>
      <c r="O140" s="416">
        <f t="shared" si="107"/>
        <v>0</v>
      </c>
      <c r="P140" s="420">
        <f t="shared" si="107"/>
        <v>0</v>
      </c>
      <c r="Q140" s="421"/>
      <c r="R140" s="353"/>
    </row>
    <row r="141" spans="1:18">
      <c r="A141" s="468" t="s">
        <v>38</v>
      </c>
      <c r="B141" s="1830">
        <f>+'Ötv''siz Deniz'!B141+'Ötv''li Deniz'!B141</f>
        <v>0</v>
      </c>
      <c r="C141" s="1831">
        <f>+'Ötv''siz Deniz'!C141+'Ötv''li Deniz'!C141</f>
        <v>0</v>
      </c>
      <c r="D141" s="471">
        <f>+'Ötv''siz Deniz'!D141+'Ötv''li Deniz'!D141</f>
        <v>0</v>
      </c>
      <c r="E141" s="472">
        <f>+'Ötv''siz Deniz'!E141+'Ötv''li Deniz'!E141</f>
        <v>0</v>
      </c>
      <c r="F141" s="472">
        <f>+'Ötv''siz Deniz'!F141+'Ötv''li Deniz'!F141</f>
        <v>0</v>
      </c>
      <c r="G141" s="472">
        <f>+'Ötv''siz Deniz'!G141+'Ötv''li Deniz'!G141</f>
        <v>0</v>
      </c>
      <c r="H141" s="472">
        <f>+'Ötv''siz Deniz'!H141+'Ötv''li Deniz'!H141</f>
        <v>0</v>
      </c>
      <c r="I141" s="472">
        <f>+'Ötv''siz Deniz'!I141+'Ötv''li Deniz'!I141</f>
        <v>0</v>
      </c>
      <c r="J141" s="472">
        <f>+'Ötv''siz Deniz'!J141+'Ötv''li Deniz'!J141</f>
        <v>0</v>
      </c>
      <c r="K141" s="472">
        <f>+'Ötv''siz Deniz'!K141+'Ötv''li Deniz'!K141</f>
        <v>0</v>
      </c>
      <c r="L141" s="472">
        <f>+'Ötv''siz Deniz'!L141+'Ötv''li Deniz'!L141</f>
        <v>0</v>
      </c>
      <c r="M141" s="472">
        <f>+'Ötv''siz Deniz'!M141+'Ötv''li Deniz'!M141</f>
        <v>0</v>
      </c>
      <c r="N141" s="472">
        <f>+'Ötv''siz Deniz'!N141+'Ötv''li Deniz'!N141</f>
        <v>0</v>
      </c>
      <c r="O141" s="473">
        <f>+'Ötv''siz Deniz'!O141+'Ötv''li Deniz'!O141</f>
        <v>0</v>
      </c>
      <c r="P141" s="474">
        <f t="shared" ref="P141:P173" si="108">SUM(D141:O141)</f>
        <v>0</v>
      </c>
      <c r="Q141" s="475"/>
    </row>
    <row r="142" spans="1:18">
      <c r="A142" s="476" t="s">
        <v>39</v>
      </c>
      <c r="B142" s="1832">
        <f>+'Ötv''siz Deniz'!B142+'Ötv''li Deniz'!B142</f>
        <v>0</v>
      </c>
      <c r="C142" s="1833">
        <f>+'Ötv''siz Deniz'!C142+'Ötv''li Deniz'!C142</f>
        <v>0</v>
      </c>
      <c r="D142" s="479">
        <f>+'Ötv''siz Deniz'!D142+'Ötv''li Deniz'!D142</f>
        <v>0</v>
      </c>
      <c r="E142" s="480">
        <f>+'Ötv''siz Deniz'!E142+'Ötv''li Deniz'!E142</f>
        <v>0</v>
      </c>
      <c r="F142" s="480">
        <f>+'Ötv''siz Deniz'!F142+'Ötv''li Deniz'!F142</f>
        <v>0</v>
      </c>
      <c r="G142" s="480">
        <f>+'Ötv''siz Deniz'!G142+'Ötv''li Deniz'!G142</f>
        <v>0</v>
      </c>
      <c r="H142" s="480">
        <f>+'Ötv''siz Deniz'!H142+'Ötv''li Deniz'!H142</f>
        <v>0</v>
      </c>
      <c r="I142" s="480">
        <f>+'Ötv''siz Deniz'!I142+'Ötv''li Deniz'!I142</f>
        <v>0</v>
      </c>
      <c r="J142" s="480">
        <f>+'Ötv''siz Deniz'!J142+'Ötv''li Deniz'!J142</f>
        <v>0</v>
      </c>
      <c r="K142" s="480">
        <f>+'Ötv''siz Deniz'!K142+'Ötv''li Deniz'!K142</f>
        <v>0</v>
      </c>
      <c r="L142" s="480">
        <f>+'Ötv''siz Deniz'!L142+'Ötv''li Deniz'!L142</f>
        <v>0</v>
      </c>
      <c r="M142" s="480">
        <f>+'Ötv''siz Deniz'!M142+'Ötv''li Deniz'!M142</f>
        <v>0</v>
      </c>
      <c r="N142" s="480">
        <f>+'Ötv''siz Deniz'!N142+'Ötv''li Deniz'!N142</f>
        <v>0</v>
      </c>
      <c r="O142" s="481">
        <f>+'Ötv''siz Deniz'!O142+'Ötv''li Deniz'!O142</f>
        <v>0</v>
      </c>
      <c r="P142" s="394">
        <f t="shared" si="108"/>
        <v>0</v>
      </c>
      <c r="Q142" s="482"/>
    </row>
    <row r="143" spans="1:18">
      <c r="A143" s="483" t="s">
        <v>67</v>
      </c>
      <c r="B143" s="1834">
        <f>+'Ötv''siz Deniz'!B143+'Ötv''li Deniz'!B143</f>
        <v>0</v>
      </c>
      <c r="C143" s="1835">
        <f>+'Ötv''siz Deniz'!C143+'Ötv''li Deniz'!C143</f>
        <v>0</v>
      </c>
      <c r="D143" s="486">
        <f>+'Ötv''siz Deniz'!D143+'Ötv''li Deniz'!D143</f>
        <v>0</v>
      </c>
      <c r="E143" s="487">
        <f>+'Ötv''siz Deniz'!E143+'Ötv''li Deniz'!E143</f>
        <v>0</v>
      </c>
      <c r="F143" s="487">
        <f>+'Ötv''siz Deniz'!F143+'Ötv''li Deniz'!F143</f>
        <v>0</v>
      </c>
      <c r="G143" s="487">
        <f>+'Ötv''siz Deniz'!G143+'Ötv''li Deniz'!G143</f>
        <v>0</v>
      </c>
      <c r="H143" s="487">
        <f>+'Ötv''siz Deniz'!H143+'Ötv''li Deniz'!H143</f>
        <v>0</v>
      </c>
      <c r="I143" s="487">
        <f>+'Ötv''siz Deniz'!I143+'Ötv''li Deniz'!I143</f>
        <v>0</v>
      </c>
      <c r="J143" s="487">
        <f>+'Ötv''siz Deniz'!J143+'Ötv''li Deniz'!J143</f>
        <v>0</v>
      </c>
      <c r="K143" s="487">
        <f>+'Ötv''siz Deniz'!K143+'Ötv''li Deniz'!K143</f>
        <v>0</v>
      </c>
      <c r="L143" s="487">
        <f>+'Ötv''siz Deniz'!L143+'Ötv''li Deniz'!L143</f>
        <v>0</v>
      </c>
      <c r="M143" s="487">
        <f>+'Ötv''siz Deniz'!M143+'Ötv''li Deniz'!M143</f>
        <v>0</v>
      </c>
      <c r="N143" s="487">
        <f>+'Ötv''siz Deniz'!N143+'Ötv''li Deniz'!N143</f>
        <v>0</v>
      </c>
      <c r="O143" s="488">
        <f>+'Ötv''siz Deniz'!O143+'Ötv''li Deniz'!O143</f>
        <v>0</v>
      </c>
      <c r="P143" s="391">
        <f t="shared" si="108"/>
        <v>0</v>
      </c>
      <c r="Q143" s="489"/>
    </row>
    <row r="144" spans="1:18">
      <c r="A144" s="476" t="s">
        <v>40</v>
      </c>
      <c r="B144" s="1832">
        <f>+'Ötv''siz Deniz'!B144+'Ötv''li Deniz'!B144</f>
        <v>0</v>
      </c>
      <c r="C144" s="1833">
        <f>+'Ötv''siz Deniz'!C144+'Ötv''li Deniz'!C144</f>
        <v>0</v>
      </c>
      <c r="D144" s="479">
        <f>+'Ötv''siz Deniz'!D144+'Ötv''li Deniz'!D144</f>
        <v>0</v>
      </c>
      <c r="E144" s="480">
        <f>+'Ötv''siz Deniz'!E144+'Ötv''li Deniz'!E144</f>
        <v>0</v>
      </c>
      <c r="F144" s="480">
        <f>+'Ötv''siz Deniz'!F144+'Ötv''li Deniz'!F144</f>
        <v>0</v>
      </c>
      <c r="G144" s="480">
        <f>+'Ötv''siz Deniz'!G144+'Ötv''li Deniz'!G144</f>
        <v>0</v>
      </c>
      <c r="H144" s="480">
        <f>+'Ötv''siz Deniz'!H144+'Ötv''li Deniz'!H144</f>
        <v>0</v>
      </c>
      <c r="I144" s="480">
        <f>+'Ötv''siz Deniz'!I144+'Ötv''li Deniz'!I144</f>
        <v>0</v>
      </c>
      <c r="J144" s="480">
        <f>+'Ötv''siz Deniz'!J144+'Ötv''li Deniz'!J144</f>
        <v>0</v>
      </c>
      <c r="K144" s="480">
        <f>+'Ötv''siz Deniz'!K144+'Ötv''li Deniz'!K144</f>
        <v>0</v>
      </c>
      <c r="L144" s="480">
        <f>+'Ötv''siz Deniz'!L144+'Ötv''li Deniz'!L144</f>
        <v>0</v>
      </c>
      <c r="M144" s="480">
        <f>+'Ötv''siz Deniz'!M144+'Ötv''li Deniz'!M144</f>
        <v>0</v>
      </c>
      <c r="N144" s="480">
        <f>+'Ötv''siz Deniz'!N144+'Ötv''li Deniz'!N144</f>
        <v>0</v>
      </c>
      <c r="O144" s="481">
        <f>+'Ötv''siz Deniz'!O144+'Ötv''li Deniz'!O144</f>
        <v>0</v>
      </c>
      <c r="P144" s="394">
        <f t="shared" si="108"/>
        <v>0</v>
      </c>
      <c r="Q144" s="482"/>
    </row>
    <row r="145" spans="1:17">
      <c r="A145" s="483" t="s">
        <v>41</v>
      </c>
      <c r="B145" s="1834">
        <f>+'Ötv''siz Deniz'!B145+'Ötv''li Deniz'!B145</f>
        <v>0</v>
      </c>
      <c r="C145" s="1835">
        <f>+'Ötv''siz Deniz'!C145+'Ötv''li Deniz'!C145</f>
        <v>0</v>
      </c>
      <c r="D145" s="486">
        <f>+'Ötv''siz Deniz'!D145+'Ötv''li Deniz'!D145</f>
        <v>0</v>
      </c>
      <c r="E145" s="487">
        <f>+'Ötv''siz Deniz'!E145+'Ötv''li Deniz'!E145</f>
        <v>0</v>
      </c>
      <c r="F145" s="487">
        <f>+'Ötv''siz Deniz'!F145+'Ötv''li Deniz'!F145</f>
        <v>0</v>
      </c>
      <c r="G145" s="487">
        <f>+'Ötv''siz Deniz'!G145+'Ötv''li Deniz'!G145</f>
        <v>0</v>
      </c>
      <c r="H145" s="487">
        <f>+'Ötv''siz Deniz'!H145+'Ötv''li Deniz'!H145</f>
        <v>0</v>
      </c>
      <c r="I145" s="487">
        <f>+'Ötv''siz Deniz'!I145+'Ötv''li Deniz'!I145</f>
        <v>0</v>
      </c>
      <c r="J145" s="487">
        <f>+'Ötv''siz Deniz'!J145+'Ötv''li Deniz'!J145</f>
        <v>0</v>
      </c>
      <c r="K145" s="487">
        <f>+'Ötv''siz Deniz'!K145+'Ötv''li Deniz'!K145</f>
        <v>0</v>
      </c>
      <c r="L145" s="487">
        <f>+'Ötv''siz Deniz'!L145+'Ötv''li Deniz'!L145</f>
        <v>0</v>
      </c>
      <c r="M145" s="487">
        <f>+'Ötv''siz Deniz'!M145+'Ötv''li Deniz'!M145</f>
        <v>0</v>
      </c>
      <c r="N145" s="487">
        <f>+'Ötv''siz Deniz'!N145+'Ötv''li Deniz'!N145</f>
        <v>0</v>
      </c>
      <c r="O145" s="488">
        <f>+'Ötv''siz Deniz'!O145+'Ötv''li Deniz'!O145</f>
        <v>0</v>
      </c>
      <c r="P145" s="391">
        <f t="shared" si="108"/>
        <v>0</v>
      </c>
      <c r="Q145" s="489"/>
    </row>
    <row r="146" spans="1:17">
      <c r="A146" s="476" t="s">
        <v>42</v>
      </c>
      <c r="B146" s="1832">
        <f>+'Ötv''siz Deniz'!B146+'Ötv''li Deniz'!B146</f>
        <v>0</v>
      </c>
      <c r="C146" s="1833">
        <f>+'Ötv''siz Deniz'!C146+'Ötv''li Deniz'!C146</f>
        <v>0</v>
      </c>
      <c r="D146" s="479">
        <f>+'Ötv''siz Deniz'!D146+'Ötv''li Deniz'!D146</f>
        <v>0</v>
      </c>
      <c r="E146" s="480">
        <f>+'Ötv''siz Deniz'!E146+'Ötv''li Deniz'!E146</f>
        <v>0</v>
      </c>
      <c r="F146" s="480">
        <f>+'Ötv''siz Deniz'!F146+'Ötv''li Deniz'!F146</f>
        <v>0</v>
      </c>
      <c r="G146" s="480">
        <f>+'Ötv''siz Deniz'!G146+'Ötv''li Deniz'!G146</f>
        <v>0</v>
      </c>
      <c r="H146" s="480">
        <f>+'Ötv''siz Deniz'!H146+'Ötv''li Deniz'!H146</f>
        <v>0</v>
      </c>
      <c r="I146" s="480">
        <f>+'Ötv''siz Deniz'!I146+'Ötv''li Deniz'!I146</f>
        <v>0</v>
      </c>
      <c r="J146" s="480">
        <f>+'Ötv''siz Deniz'!J146+'Ötv''li Deniz'!J146</f>
        <v>0</v>
      </c>
      <c r="K146" s="480">
        <f>+'Ötv''siz Deniz'!K146+'Ötv''li Deniz'!K146</f>
        <v>0</v>
      </c>
      <c r="L146" s="480">
        <f>+'Ötv''siz Deniz'!L146+'Ötv''li Deniz'!L146</f>
        <v>0</v>
      </c>
      <c r="M146" s="480">
        <f>+'Ötv''siz Deniz'!M146+'Ötv''li Deniz'!M146</f>
        <v>0</v>
      </c>
      <c r="N146" s="480">
        <f>+'Ötv''siz Deniz'!N146+'Ötv''li Deniz'!N146</f>
        <v>0</v>
      </c>
      <c r="O146" s="481">
        <f>+'Ötv''siz Deniz'!O146+'Ötv''li Deniz'!O146</f>
        <v>0</v>
      </c>
      <c r="P146" s="394">
        <f t="shared" si="108"/>
        <v>0</v>
      </c>
      <c r="Q146" s="482"/>
    </row>
    <row r="147" spans="1:17">
      <c r="A147" s="483" t="s">
        <v>43</v>
      </c>
      <c r="B147" s="1834">
        <f>+'Ötv''siz Deniz'!B147+'Ötv''li Deniz'!B147</f>
        <v>0</v>
      </c>
      <c r="C147" s="1835">
        <f>+'Ötv''siz Deniz'!C147+'Ötv''li Deniz'!C147</f>
        <v>0</v>
      </c>
      <c r="D147" s="486">
        <f>+'Ötv''siz Deniz'!D147+'Ötv''li Deniz'!D147</f>
        <v>0</v>
      </c>
      <c r="E147" s="487">
        <f>+'Ötv''siz Deniz'!E147+'Ötv''li Deniz'!E147</f>
        <v>0</v>
      </c>
      <c r="F147" s="487">
        <f>+'Ötv''siz Deniz'!F147+'Ötv''li Deniz'!F147</f>
        <v>0</v>
      </c>
      <c r="G147" s="487">
        <f>+'Ötv''siz Deniz'!G147+'Ötv''li Deniz'!G147</f>
        <v>0</v>
      </c>
      <c r="H147" s="487">
        <f>+'Ötv''siz Deniz'!H147+'Ötv''li Deniz'!H147</f>
        <v>0</v>
      </c>
      <c r="I147" s="487">
        <f>+'Ötv''siz Deniz'!I147+'Ötv''li Deniz'!I147</f>
        <v>0</v>
      </c>
      <c r="J147" s="487">
        <f>+'Ötv''siz Deniz'!J147+'Ötv''li Deniz'!J147</f>
        <v>0</v>
      </c>
      <c r="K147" s="487">
        <f>+'Ötv''siz Deniz'!K147+'Ötv''li Deniz'!K147</f>
        <v>0</v>
      </c>
      <c r="L147" s="487">
        <f>+'Ötv''siz Deniz'!L147+'Ötv''li Deniz'!L147</f>
        <v>0</v>
      </c>
      <c r="M147" s="487">
        <f>+'Ötv''siz Deniz'!M147+'Ötv''li Deniz'!M147</f>
        <v>0</v>
      </c>
      <c r="N147" s="487">
        <f>+'Ötv''siz Deniz'!N147+'Ötv''li Deniz'!N147</f>
        <v>0</v>
      </c>
      <c r="O147" s="488">
        <f>+'Ötv''siz Deniz'!O147+'Ötv''li Deniz'!O147</f>
        <v>0</v>
      </c>
      <c r="P147" s="391">
        <f t="shared" si="108"/>
        <v>0</v>
      </c>
      <c r="Q147" s="489"/>
    </row>
    <row r="148" spans="1:17">
      <c r="A148" s="476" t="s">
        <v>44</v>
      </c>
      <c r="B148" s="1832">
        <f>+'Ötv''siz Deniz'!B148+'Ötv''li Deniz'!B148</f>
        <v>0</v>
      </c>
      <c r="C148" s="1833">
        <f>+'Ötv''siz Deniz'!C148+'Ötv''li Deniz'!C148</f>
        <v>0</v>
      </c>
      <c r="D148" s="479">
        <f>+'Ötv''siz Deniz'!D148+'Ötv''li Deniz'!D148</f>
        <v>0</v>
      </c>
      <c r="E148" s="480">
        <f>+'Ötv''siz Deniz'!E148+'Ötv''li Deniz'!E148</f>
        <v>0</v>
      </c>
      <c r="F148" s="480">
        <f>+'Ötv''siz Deniz'!F148+'Ötv''li Deniz'!F148</f>
        <v>0</v>
      </c>
      <c r="G148" s="480">
        <f>+'Ötv''siz Deniz'!G148+'Ötv''li Deniz'!G148</f>
        <v>0</v>
      </c>
      <c r="H148" s="480">
        <f>+'Ötv''siz Deniz'!H148+'Ötv''li Deniz'!H148</f>
        <v>0</v>
      </c>
      <c r="I148" s="480">
        <f>+'Ötv''siz Deniz'!I148+'Ötv''li Deniz'!I148</f>
        <v>0</v>
      </c>
      <c r="J148" s="480">
        <f>+'Ötv''siz Deniz'!J148+'Ötv''li Deniz'!J148</f>
        <v>0</v>
      </c>
      <c r="K148" s="480">
        <f>+'Ötv''siz Deniz'!K148+'Ötv''li Deniz'!K148</f>
        <v>0</v>
      </c>
      <c r="L148" s="480">
        <f>+'Ötv''siz Deniz'!L148+'Ötv''li Deniz'!L148</f>
        <v>0</v>
      </c>
      <c r="M148" s="480">
        <f>+'Ötv''siz Deniz'!M148+'Ötv''li Deniz'!M148</f>
        <v>0</v>
      </c>
      <c r="N148" s="480">
        <f>+'Ötv''siz Deniz'!N148+'Ötv''li Deniz'!N148</f>
        <v>0</v>
      </c>
      <c r="O148" s="481">
        <f>+'Ötv''siz Deniz'!O148+'Ötv''li Deniz'!O148</f>
        <v>0</v>
      </c>
      <c r="P148" s="394">
        <f t="shared" si="108"/>
        <v>0</v>
      </c>
      <c r="Q148" s="482"/>
    </row>
    <row r="149" spans="1:17">
      <c r="A149" s="483" t="s">
        <v>45</v>
      </c>
      <c r="B149" s="1834">
        <f>+'Ötv''siz Deniz'!B149+'Ötv''li Deniz'!B149</f>
        <v>0</v>
      </c>
      <c r="C149" s="1835">
        <f>+'Ötv''siz Deniz'!C149+'Ötv''li Deniz'!C149</f>
        <v>0</v>
      </c>
      <c r="D149" s="486">
        <f>+'Ötv''siz Deniz'!D149+'Ötv''li Deniz'!D149</f>
        <v>0</v>
      </c>
      <c r="E149" s="487">
        <f>+'Ötv''siz Deniz'!E149+'Ötv''li Deniz'!E149</f>
        <v>0</v>
      </c>
      <c r="F149" s="487">
        <f>+'Ötv''siz Deniz'!F149+'Ötv''li Deniz'!F149</f>
        <v>0</v>
      </c>
      <c r="G149" s="487">
        <f>+'Ötv''siz Deniz'!G149+'Ötv''li Deniz'!G149</f>
        <v>0</v>
      </c>
      <c r="H149" s="487">
        <f>+'Ötv''siz Deniz'!H149+'Ötv''li Deniz'!H149</f>
        <v>0</v>
      </c>
      <c r="I149" s="487">
        <f>+'Ötv''siz Deniz'!I149+'Ötv''li Deniz'!I149</f>
        <v>0</v>
      </c>
      <c r="J149" s="487">
        <f>+'Ötv''siz Deniz'!J149+'Ötv''li Deniz'!J149</f>
        <v>0</v>
      </c>
      <c r="K149" s="487">
        <f>+'Ötv''siz Deniz'!K149+'Ötv''li Deniz'!K149</f>
        <v>0</v>
      </c>
      <c r="L149" s="487">
        <f>+'Ötv''siz Deniz'!L149+'Ötv''li Deniz'!L149</f>
        <v>0</v>
      </c>
      <c r="M149" s="487">
        <f>+'Ötv''siz Deniz'!M149+'Ötv''li Deniz'!M149</f>
        <v>0</v>
      </c>
      <c r="N149" s="487">
        <f>+'Ötv''siz Deniz'!N149+'Ötv''li Deniz'!N149</f>
        <v>0</v>
      </c>
      <c r="O149" s="488">
        <f>+'Ötv''siz Deniz'!O149+'Ötv''li Deniz'!O149</f>
        <v>0</v>
      </c>
      <c r="P149" s="391">
        <f t="shared" si="108"/>
        <v>0</v>
      </c>
      <c r="Q149" s="489"/>
    </row>
    <row r="150" spans="1:17">
      <c r="A150" s="476" t="s">
        <v>46</v>
      </c>
      <c r="B150" s="1832">
        <f>+'Ötv''siz Deniz'!B150+'Ötv''li Deniz'!B150</f>
        <v>0</v>
      </c>
      <c r="C150" s="1833">
        <f>+'Ötv''siz Deniz'!C150+'Ötv''li Deniz'!C150</f>
        <v>0</v>
      </c>
      <c r="D150" s="479">
        <f>+'Ötv''siz Deniz'!D150+'Ötv''li Deniz'!D150</f>
        <v>0</v>
      </c>
      <c r="E150" s="480">
        <f>+'Ötv''siz Deniz'!E150+'Ötv''li Deniz'!E150</f>
        <v>0</v>
      </c>
      <c r="F150" s="480">
        <f>+'Ötv''siz Deniz'!F150+'Ötv''li Deniz'!F150</f>
        <v>0</v>
      </c>
      <c r="G150" s="480">
        <f>+'Ötv''siz Deniz'!G150+'Ötv''li Deniz'!G150</f>
        <v>0</v>
      </c>
      <c r="H150" s="480">
        <f>+'Ötv''siz Deniz'!H150+'Ötv''li Deniz'!H150</f>
        <v>0</v>
      </c>
      <c r="I150" s="480">
        <f>+'Ötv''siz Deniz'!I150+'Ötv''li Deniz'!I150</f>
        <v>0</v>
      </c>
      <c r="J150" s="480">
        <f>+'Ötv''siz Deniz'!J150+'Ötv''li Deniz'!J150</f>
        <v>0</v>
      </c>
      <c r="K150" s="480">
        <f>+'Ötv''siz Deniz'!K150+'Ötv''li Deniz'!K150</f>
        <v>0</v>
      </c>
      <c r="L150" s="480">
        <f>+'Ötv''siz Deniz'!L150+'Ötv''li Deniz'!L150</f>
        <v>0</v>
      </c>
      <c r="M150" s="480">
        <f>+'Ötv''siz Deniz'!M150+'Ötv''li Deniz'!M150</f>
        <v>0</v>
      </c>
      <c r="N150" s="480">
        <f>+'Ötv''siz Deniz'!N150+'Ötv''li Deniz'!N150</f>
        <v>0</v>
      </c>
      <c r="O150" s="481">
        <f>+'Ötv''siz Deniz'!O150+'Ötv''li Deniz'!O150</f>
        <v>0</v>
      </c>
      <c r="P150" s="394">
        <f t="shared" si="108"/>
        <v>0</v>
      </c>
      <c r="Q150" s="482"/>
    </row>
    <row r="151" spans="1:17" ht="14.25" customHeight="1">
      <c r="A151" s="483" t="s">
        <v>65</v>
      </c>
      <c r="B151" s="1834">
        <f>+'Ötv''siz Deniz'!B151+'Ötv''li Deniz'!B151</f>
        <v>0</v>
      </c>
      <c r="C151" s="1835">
        <f>+'Ötv''siz Deniz'!C151+'Ötv''li Deniz'!C151</f>
        <v>0</v>
      </c>
      <c r="D151" s="486">
        <f>+'Ötv''siz Deniz'!D151+'Ötv''li Deniz'!D151</f>
        <v>0</v>
      </c>
      <c r="E151" s="487">
        <f>+'Ötv''siz Deniz'!E151+'Ötv''li Deniz'!E151</f>
        <v>0</v>
      </c>
      <c r="F151" s="487">
        <f>+'Ötv''siz Deniz'!F151+'Ötv''li Deniz'!F151</f>
        <v>0</v>
      </c>
      <c r="G151" s="487">
        <f>+'Ötv''siz Deniz'!G151+'Ötv''li Deniz'!G151</f>
        <v>0</v>
      </c>
      <c r="H151" s="487">
        <f>+'Ötv''siz Deniz'!H151+'Ötv''li Deniz'!H151</f>
        <v>0</v>
      </c>
      <c r="I151" s="487">
        <f>+'Ötv''siz Deniz'!I151+'Ötv''li Deniz'!I151</f>
        <v>0</v>
      </c>
      <c r="J151" s="487">
        <f>+'Ötv''siz Deniz'!J151+'Ötv''li Deniz'!J151</f>
        <v>0</v>
      </c>
      <c r="K151" s="487">
        <f>+'Ötv''siz Deniz'!K151+'Ötv''li Deniz'!K151</f>
        <v>0</v>
      </c>
      <c r="L151" s="487">
        <f>+'Ötv''siz Deniz'!L151+'Ötv''li Deniz'!L151</f>
        <v>0</v>
      </c>
      <c r="M151" s="487">
        <f>+'Ötv''siz Deniz'!M151+'Ötv''li Deniz'!M151</f>
        <v>0</v>
      </c>
      <c r="N151" s="487">
        <f>+'Ötv''siz Deniz'!N151+'Ötv''li Deniz'!N151</f>
        <v>0</v>
      </c>
      <c r="O151" s="488">
        <f>+'Ötv''siz Deniz'!O151+'Ötv''li Deniz'!O151</f>
        <v>0</v>
      </c>
      <c r="P151" s="391">
        <f t="shared" si="108"/>
        <v>0</v>
      </c>
      <c r="Q151" s="489"/>
    </row>
    <row r="152" spans="1:17">
      <c r="A152" s="476" t="s">
        <v>78</v>
      </c>
      <c r="B152" s="1832">
        <f>+'Ötv''siz Deniz'!B152+'Ötv''li Deniz'!B152</f>
        <v>0</v>
      </c>
      <c r="C152" s="1833">
        <f>+'Ötv''siz Deniz'!C152+'Ötv''li Deniz'!C152</f>
        <v>0</v>
      </c>
      <c r="D152" s="479">
        <f>+'Ötv''siz Deniz'!D152+'Ötv''li Deniz'!D152</f>
        <v>0</v>
      </c>
      <c r="E152" s="480">
        <f>+'Ötv''siz Deniz'!E152+'Ötv''li Deniz'!E152</f>
        <v>0</v>
      </c>
      <c r="F152" s="480">
        <f>+'Ötv''siz Deniz'!F152+'Ötv''li Deniz'!F152</f>
        <v>0</v>
      </c>
      <c r="G152" s="480">
        <f>+'Ötv''siz Deniz'!G152+'Ötv''li Deniz'!G152</f>
        <v>0</v>
      </c>
      <c r="H152" s="480">
        <f>+'Ötv''siz Deniz'!H152+'Ötv''li Deniz'!H152</f>
        <v>0</v>
      </c>
      <c r="I152" s="480">
        <f>+'Ötv''siz Deniz'!I152+'Ötv''li Deniz'!I152</f>
        <v>0</v>
      </c>
      <c r="J152" s="480">
        <f>+'Ötv''siz Deniz'!J152+'Ötv''li Deniz'!J152</f>
        <v>0</v>
      </c>
      <c r="K152" s="480">
        <f>+'Ötv''siz Deniz'!K152+'Ötv''li Deniz'!K152</f>
        <v>0</v>
      </c>
      <c r="L152" s="480">
        <f>+'Ötv''siz Deniz'!L152+'Ötv''li Deniz'!L152</f>
        <v>0</v>
      </c>
      <c r="M152" s="480">
        <f>+'Ötv''siz Deniz'!M152+'Ötv''li Deniz'!M152</f>
        <v>0</v>
      </c>
      <c r="N152" s="480">
        <f>+'Ötv''siz Deniz'!N152+'Ötv''li Deniz'!N152</f>
        <v>0</v>
      </c>
      <c r="O152" s="481">
        <f>+'Ötv''siz Deniz'!O152+'Ötv''li Deniz'!O152</f>
        <v>0</v>
      </c>
      <c r="P152" s="394">
        <f t="shared" si="108"/>
        <v>0</v>
      </c>
      <c r="Q152" s="482"/>
    </row>
    <row r="153" spans="1:17">
      <c r="A153" s="483" t="s">
        <v>47</v>
      </c>
      <c r="B153" s="1834">
        <f>+'Ötv''siz Deniz'!B153+'Ötv''li Deniz'!B153</f>
        <v>0</v>
      </c>
      <c r="C153" s="1835">
        <f>+'Ötv''siz Deniz'!C153+'Ötv''li Deniz'!C153</f>
        <v>0</v>
      </c>
      <c r="D153" s="486">
        <f>+'Ötv''siz Deniz'!D153+'Ötv''li Deniz'!D153</f>
        <v>0</v>
      </c>
      <c r="E153" s="487">
        <f>+'Ötv''siz Deniz'!E153+'Ötv''li Deniz'!E153</f>
        <v>0</v>
      </c>
      <c r="F153" s="487">
        <f>+'Ötv''siz Deniz'!F153+'Ötv''li Deniz'!F153</f>
        <v>0</v>
      </c>
      <c r="G153" s="487">
        <f>+'Ötv''siz Deniz'!G153+'Ötv''li Deniz'!G153</f>
        <v>0</v>
      </c>
      <c r="H153" s="487">
        <f>+'Ötv''siz Deniz'!H153+'Ötv''li Deniz'!H153</f>
        <v>0</v>
      </c>
      <c r="I153" s="487">
        <f>+'Ötv''siz Deniz'!I153+'Ötv''li Deniz'!I153</f>
        <v>0</v>
      </c>
      <c r="J153" s="487">
        <f>+'Ötv''siz Deniz'!J153+'Ötv''li Deniz'!J153</f>
        <v>0</v>
      </c>
      <c r="K153" s="487">
        <f>+'Ötv''siz Deniz'!K153+'Ötv''li Deniz'!K153</f>
        <v>0</v>
      </c>
      <c r="L153" s="487">
        <f>+'Ötv''siz Deniz'!L153+'Ötv''li Deniz'!L153</f>
        <v>0</v>
      </c>
      <c r="M153" s="487">
        <f>+'Ötv''siz Deniz'!M153+'Ötv''li Deniz'!M153</f>
        <v>0</v>
      </c>
      <c r="N153" s="487">
        <f>+'Ötv''siz Deniz'!N153+'Ötv''li Deniz'!N153</f>
        <v>0</v>
      </c>
      <c r="O153" s="488">
        <f>+'Ötv''siz Deniz'!O153+'Ötv''li Deniz'!O153</f>
        <v>0</v>
      </c>
      <c r="P153" s="391">
        <f t="shared" si="108"/>
        <v>0</v>
      </c>
      <c r="Q153" s="489"/>
    </row>
    <row r="154" spans="1:17">
      <c r="A154" s="476" t="s">
        <v>48</v>
      </c>
      <c r="B154" s="1832">
        <f>+'Ötv''siz Deniz'!B154+'Ötv''li Deniz'!B154</f>
        <v>0</v>
      </c>
      <c r="C154" s="1833">
        <f>+'Ötv''siz Deniz'!C154+'Ötv''li Deniz'!C154</f>
        <v>0</v>
      </c>
      <c r="D154" s="479">
        <f>+'Ötv''siz Deniz'!D154+'Ötv''li Deniz'!D154</f>
        <v>0</v>
      </c>
      <c r="E154" s="480">
        <f>+'Ötv''siz Deniz'!E154+'Ötv''li Deniz'!E154</f>
        <v>0</v>
      </c>
      <c r="F154" s="480">
        <f>+'Ötv''siz Deniz'!F154+'Ötv''li Deniz'!F154</f>
        <v>0</v>
      </c>
      <c r="G154" s="480">
        <f>+'Ötv''siz Deniz'!G154+'Ötv''li Deniz'!G154</f>
        <v>0</v>
      </c>
      <c r="H154" s="480">
        <f>+'Ötv''siz Deniz'!H154+'Ötv''li Deniz'!H154</f>
        <v>0</v>
      </c>
      <c r="I154" s="480">
        <f>+'Ötv''siz Deniz'!I154+'Ötv''li Deniz'!I154</f>
        <v>0</v>
      </c>
      <c r="J154" s="480">
        <f>+'Ötv''siz Deniz'!J154+'Ötv''li Deniz'!J154</f>
        <v>0</v>
      </c>
      <c r="K154" s="480">
        <f>+'Ötv''siz Deniz'!K154+'Ötv''li Deniz'!K154</f>
        <v>0</v>
      </c>
      <c r="L154" s="480">
        <f>+'Ötv''siz Deniz'!L154+'Ötv''li Deniz'!L154</f>
        <v>0</v>
      </c>
      <c r="M154" s="480">
        <f>+'Ötv''siz Deniz'!M154+'Ötv''li Deniz'!M154</f>
        <v>0</v>
      </c>
      <c r="N154" s="480">
        <f>+'Ötv''siz Deniz'!N154+'Ötv''li Deniz'!N154</f>
        <v>0</v>
      </c>
      <c r="O154" s="481">
        <f>+'Ötv''siz Deniz'!O154+'Ötv''li Deniz'!O154</f>
        <v>0</v>
      </c>
      <c r="P154" s="394">
        <f t="shared" si="108"/>
        <v>0</v>
      </c>
      <c r="Q154" s="482"/>
    </row>
    <row r="155" spans="1:17">
      <c r="A155" s="483" t="s">
        <v>77</v>
      </c>
      <c r="B155" s="1834">
        <f>+'Ötv''siz Deniz'!B155+'Ötv''li Deniz'!B155</f>
        <v>0</v>
      </c>
      <c r="C155" s="1835">
        <f>+'Ötv''siz Deniz'!C155+'Ötv''li Deniz'!C155</f>
        <v>0</v>
      </c>
      <c r="D155" s="486">
        <f>+'Ötv''siz Deniz'!D155+'Ötv''li Deniz'!D155</f>
        <v>0</v>
      </c>
      <c r="E155" s="487">
        <f>+'Ötv''siz Deniz'!E155+'Ötv''li Deniz'!E155</f>
        <v>0</v>
      </c>
      <c r="F155" s="487">
        <f>+'Ötv''siz Deniz'!F155+'Ötv''li Deniz'!F155</f>
        <v>0</v>
      </c>
      <c r="G155" s="487">
        <f>+'Ötv''siz Deniz'!G155+'Ötv''li Deniz'!G155</f>
        <v>0</v>
      </c>
      <c r="H155" s="487">
        <f>+'Ötv''siz Deniz'!H155+'Ötv''li Deniz'!H155</f>
        <v>0</v>
      </c>
      <c r="I155" s="487">
        <f>+'Ötv''siz Deniz'!I155+'Ötv''li Deniz'!I155</f>
        <v>0</v>
      </c>
      <c r="J155" s="487">
        <f>+'Ötv''siz Deniz'!J155+'Ötv''li Deniz'!J155</f>
        <v>0</v>
      </c>
      <c r="K155" s="487">
        <f>+'Ötv''siz Deniz'!K155+'Ötv''li Deniz'!K155</f>
        <v>0</v>
      </c>
      <c r="L155" s="487">
        <f>+'Ötv''siz Deniz'!L155+'Ötv''li Deniz'!L155</f>
        <v>0</v>
      </c>
      <c r="M155" s="487">
        <f>+'Ötv''siz Deniz'!M155+'Ötv''li Deniz'!M155</f>
        <v>0</v>
      </c>
      <c r="N155" s="487">
        <f>+'Ötv''siz Deniz'!N155+'Ötv''li Deniz'!N155</f>
        <v>0</v>
      </c>
      <c r="O155" s="488">
        <f>+'Ötv''siz Deniz'!O155+'Ötv''li Deniz'!O155</f>
        <v>0</v>
      </c>
      <c r="P155" s="391">
        <f t="shared" si="108"/>
        <v>0</v>
      </c>
      <c r="Q155" s="489"/>
    </row>
    <row r="156" spans="1:17">
      <c r="A156" s="476" t="s">
        <v>49</v>
      </c>
      <c r="B156" s="1832">
        <f>+'Ötv''siz Deniz'!B156+'Ötv''li Deniz'!B156</f>
        <v>0</v>
      </c>
      <c r="C156" s="1833">
        <f>+'Ötv''siz Deniz'!C156+'Ötv''li Deniz'!C156</f>
        <v>0</v>
      </c>
      <c r="D156" s="479">
        <f>+'Ötv''siz Deniz'!D156+'Ötv''li Deniz'!D156</f>
        <v>0</v>
      </c>
      <c r="E156" s="480">
        <f>+'Ötv''siz Deniz'!E156+'Ötv''li Deniz'!E156</f>
        <v>0</v>
      </c>
      <c r="F156" s="480">
        <f>+'Ötv''siz Deniz'!F156+'Ötv''li Deniz'!F156</f>
        <v>0</v>
      </c>
      <c r="G156" s="480">
        <f>+'Ötv''siz Deniz'!G156+'Ötv''li Deniz'!G156</f>
        <v>0</v>
      </c>
      <c r="H156" s="480">
        <f>+'Ötv''siz Deniz'!H156+'Ötv''li Deniz'!H156</f>
        <v>0</v>
      </c>
      <c r="I156" s="480">
        <f>+'Ötv''siz Deniz'!I156+'Ötv''li Deniz'!I156</f>
        <v>0</v>
      </c>
      <c r="J156" s="480">
        <f>+'Ötv''siz Deniz'!J156+'Ötv''li Deniz'!J156</f>
        <v>0</v>
      </c>
      <c r="K156" s="480">
        <f>+'Ötv''siz Deniz'!K156+'Ötv''li Deniz'!K156</f>
        <v>0</v>
      </c>
      <c r="L156" s="480">
        <f>+'Ötv''siz Deniz'!L156+'Ötv''li Deniz'!L156</f>
        <v>0</v>
      </c>
      <c r="M156" s="480">
        <f>+'Ötv''siz Deniz'!M156+'Ötv''li Deniz'!M156</f>
        <v>0</v>
      </c>
      <c r="N156" s="480">
        <f>+'Ötv''siz Deniz'!N156+'Ötv''li Deniz'!N156</f>
        <v>0</v>
      </c>
      <c r="O156" s="481">
        <f>+'Ötv''siz Deniz'!O156+'Ötv''li Deniz'!O156</f>
        <v>0</v>
      </c>
      <c r="P156" s="394">
        <f t="shared" si="108"/>
        <v>0</v>
      </c>
      <c r="Q156" s="482"/>
    </row>
    <row r="157" spans="1:17">
      <c r="A157" s="483" t="s">
        <v>50</v>
      </c>
      <c r="B157" s="1834">
        <f>+'Ötv''siz Deniz'!B157+'Ötv''li Deniz'!B157</f>
        <v>0</v>
      </c>
      <c r="C157" s="1835">
        <f>+'Ötv''siz Deniz'!C157+'Ötv''li Deniz'!C157</f>
        <v>0</v>
      </c>
      <c r="D157" s="486">
        <f>+'Ötv''siz Deniz'!D157+'Ötv''li Deniz'!D157</f>
        <v>0</v>
      </c>
      <c r="E157" s="487">
        <f>+'Ötv''siz Deniz'!E157+'Ötv''li Deniz'!E157</f>
        <v>0</v>
      </c>
      <c r="F157" s="487">
        <f>+'Ötv''siz Deniz'!F157+'Ötv''li Deniz'!F157</f>
        <v>0</v>
      </c>
      <c r="G157" s="487">
        <f>+'Ötv''siz Deniz'!G157+'Ötv''li Deniz'!G157</f>
        <v>0</v>
      </c>
      <c r="H157" s="487">
        <f>+'Ötv''siz Deniz'!H157+'Ötv''li Deniz'!H157</f>
        <v>0</v>
      </c>
      <c r="I157" s="487">
        <f>+'Ötv''siz Deniz'!I157+'Ötv''li Deniz'!I157</f>
        <v>0</v>
      </c>
      <c r="J157" s="487">
        <f>+'Ötv''siz Deniz'!J157+'Ötv''li Deniz'!J157</f>
        <v>0</v>
      </c>
      <c r="K157" s="487">
        <f>+'Ötv''siz Deniz'!K157+'Ötv''li Deniz'!K157</f>
        <v>0</v>
      </c>
      <c r="L157" s="487">
        <f>+'Ötv''siz Deniz'!L157+'Ötv''li Deniz'!L157</f>
        <v>0</v>
      </c>
      <c r="M157" s="487">
        <f>+'Ötv''siz Deniz'!M157+'Ötv''li Deniz'!M157</f>
        <v>0</v>
      </c>
      <c r="N157" s="487">
        <f>+'Ötv''siz Deniz'!N157+'Ötv''li Deniz'!N157</f>
        <v>0</v>
      </c>
      <c r="O157" s="488">
        <f>+'Ötv''siz Deniz'!O157+'Ötv''li Deniz'!O157</f>
        <v>0</v>
      </c>
      <c r="P157" s="391">
        <f t="shared" si="108"/>
        <v>0</v>
      </c>
      <c r="Q157" s="489"/>
    </row>
    <row r="158" spans="1:17" ht="15" customHeight="1">
      <c r="A158" s="476" t="s">
        <v>76</v>
      </c>
      <c r="B158" s="1832">
        <f>+'Ötv''siz Deniz'!B158+'Ötv''li Deniz'!B158</f>
        <v>0</v>
      </c>
      <c r="C158" s="1833">
        <f>+'Ötv''siz Deniz'!C158+'Ötv''li Deniz'!C158</f>
        <v>0</v>
      </c>
      <c r="D158" s="479">
        <f>+'Ötv''siz Deniz'!D158+'Ötv''li Deniz'!D158</f>
        <v>0</v>
      </c>
      <c r="E158" s="480">
        <f>+'Ötv''siz Deniz'!E158+'Ötv''li Deniz'!E158</f>
        <v>0</v>
      </c>
      <c r="F158" s="480">
        <f>+'Ötv''siz Deniz'!F158+'Ötv''li Deniz'!F158</f>
        <v>0</v>
      </c>
      <c r="G158" s="480">
        <f>+'Ötv''siz Deniz'!G158+'Ötv''li Deniz'!G158</f>
        <v>0</v>
      </c>
      <c r="H158" s="480">
        <f>+'Ötv''siz Deniz'!H158+'Ötv''li Deniz'!H158</f>
        <v>0</v>
      </c>
      <c r="I158" s="480">
        <f>+'Ötv''siz Deniz'!I158+'Ötv''li Deniz'!I158</f>
        <v>0</v>
      </c>
      <c r="J158" s="480">
        <f>+'Ötv''siz Deniz'!J158+'Ötv''li Deniz'!J158</f>
        <v>0</v>
      </c>
      <c r="K158" s="480">
        <f>+'Ötv''siz Deniz'!K158+'Ötv''li Deniz'!K158</f>
        <v>0</v>
      </c>
      <c r="L158" s="480">
        <f>+'Ötv''siz Deniz'!L158+'Ötv''li Deniz'!L158</f>
        <v>0</v>
      </c>
      <c r="M158" s="480">
        <f>+'Ötv''siz Deniz'!M158+'Ötv''li Deniz'!M158</f>
        <v>0</v>
      </c>
      <c r="N158" s="480">
        <f>+'Ötv''siz Deniz'!N158+'Ötv''li Deniz'!N158</f>
        <v>0</v>
      </c>
      <c r="O158" s="481">
        <f>+'Ötv''siz Deniz'!O158+'Ötv''li Deniz'!O158</f>
        <v>0</v>
      </c>
      <c r="P158" s="394">
        <f t="shared" si="108"/>
        <v>0</v>
      </c>
      <c r="Q158" s="482"/>
    </row>
    <row r="159" spans="1:17">
      <c r="A159" s="483" t="s">
        <v>51</v>
      </c>
      <c r="B159" s="1834">
        <f>+'Ötv''siz Deniz'!B159+'Ötv''li Deniz'!B159</f>
        <v>0</v>
      </c>
      <c r="C159" s="1835">
        <f>+'Ötv''siz Deniz'!C159+'Ötv''li Deniz'!C159</f>
        <v>0</v>
      </c>
      <c r="D159" s="486">
        <f>+'Ötv''siz Deniz'!D159+'Ötv''li Deniz'!D159</f>
        <v>0</v>
      </c>
      <c r="E159" s="487">
        <f>+'Ötv''siz Deniz'!E159+'Ötv''li Deniz'!E159</f>
        <v>0</v>
      </c>
      <c r="F159" s="487">
        <f>+'Ötv''siz Deniz'!F159+'Ötv''li Deniz'!F159</f>
        <v>0</v>
      </c>
      <c r="G159" s="487">
        <f>+'Ötv''siz Deniz'!G159+'Ötv''li Deniz'!G159</f>
        <v>0</v>
      </c>
      <c r="H159" s="487">
        <f>+'Ötv''siz Deniz'!H159+'Ötv''li Deniz'!H159</f>
        <v>0</v>
      </c>
      <c r="I159" s="487">
        <f>+'Ötv''siz Deniz'!I159+'Ötv''li Deniz'!I159</f>
        <v>0</v>
      </c>
      <c r="J159" s="487">
        <f>+'Ötv''siz Deniz'!J159+'Ötv''li Deniz'!J159</f>
        <v>0</v>
      </c>
      <c r="K159" s="487">
        <f>+'Ötv''siz Deniz'!K159+'Ötv''li Deniz'!K159</f>
        <v>0</v>
      </c>
      <c r="L159" s="487">
        <f>+'Ötv''siz Deniz'!L159+'Ötv''li Deniz'!L159</f>
        <v>0</v>
      </c>
      <c r="M159" s="487">
        <f>+'Ötv''siz Deniz'!M159+'Ötv''li Deniz'!M159</f>
        <v>0</v>
      </c>
      <c r="N159" s="487">
        <f>+'Ötv''siz Deniz'!N159+'Ötv''li Deniz'!N159</f>
        <v>0</v>
      </c>
      <c r="O159" s="488">
        <f>+'Ötv''siz Deniz'!O159+'Ötv''li Deniz'!O159</f>
        <v>0</v>
      </c>
      <c r="P159" s="391">
        <f t="shared" si="108"/>
        <v>0</v>
      </c>
      <c r="Q159" s="489"/>
    </row>
    <row r="160" spans="1:17">
      <c r="A160" s="476" t="s">
        <v>52</v>
      </c>
      <c r="B160" s="1832">
        <f>+'Ötv''siz Deniz'!B160+'Ötv''li Deniz'!B160</f>
        <v>0</v>
      </c>
      <c r="C160" s="1833">
        <f>+'Ötv''siz Deniz'!C160+'Ötv''li Deniz'!C160</f>
        <v>0</v>
      </c>
      <c r="D160" s="479">
        <f>+'Ötv''siz Deniz'!D160+'Ötv''li Deniz'!D160</f>
        <v>0</v>
      </c>
      <c r="E160" s="480">
        <f>+'Ötv''siz Deniz'!E160+'Ötv''li Deniz'!E160</f>
        <v>0</v>
      </c>
      <c r="F160" s="480">
        <f>+'Ötv''siz Deniz'!F160+'Ötv''li Deniz'!F160</f>
        <v>0</v>
      </c>
      <c r="G160" s="480">
        <f>+'Ötv''siz Deniz'!G160+'Ötv''li Deniz'!G160</f>
        <v>0</v>
      </c>
      <c r="H160" s="480">
        <f>+'Ötv''siz Deniz'!H160+'Ötv''li Deniz'!H160</f>
        <v>0</v>
      </c>
      <c r="I160" s="480">
        <f>+'Ötv''siz Deniz'!I160+'Ötv''li Deniz'!I160</f>
        <v>0</v>
      </c>
      <c r="J160" s="480">
        <f>+'Ötv''siz Deniz'!J160+'Ötv''li Deniz'!J160</f>
        <v>0</v>
      </c>
      <c r="K160" s="480">
        <f>+'Ötv''siz Deniz'!K160+'Ötv''li Deniz'!K160</f>
        <v>0</v>
      </c>
      <c r="L160" s="480">
        <f>+'Ötv''siz Deniz'!L160+'Ötv''li Deniz'!L160</f>
        <v>0</v>
      </c>
      <c r="M160" s="480">
        <f>+'Ötv''siz Deniz'!M160+'Ötv''li Deniz'!M160</f>
        <v>0</v>
      </c>
      <c r="N160" s="480">
        <f>+'Ötv''siz Deniz'!N160+'Ötv''li Deniz'!N160</f>
        <v>0</v>
      </c>
      <c r="O160" s="481">
        <f>+'Ötv''siz Deniz'!O160+'Ötv''li Deniz'!O160</f>
        <v>0</v>
      </c>
      <c r="P160" s="394">
        <f t="shared" si="108"/>
        <v>0</v>
      </c>
      <c r="Q160" s="482"/>
    </row>
    <row r="161" spans="1:17">
      <c r="A161" s="483" t="s">
        <v>53</v>
      </c>
      <c r="B161" s="1834">
        <f>+'Ötv''siz Deniz'!B161+'Ötv''li Deniz'!B161</f>
        <v>0</v>
      </c>
      <c r="C161" s="1835">
        <f>+'Ötv''siz Deniz'!C161+'Ötv''li Deniz'!C161</f>
        <v>0</v>
      </c>
      <c r="D161" s="486">
        <f>+'Ötv''siz Deniz'!D161+'Ötv''li Deniz'!D161</f>
        <v>0</v>
      </c>
      <c r="E161" s="487">
        <f>+'Ötv''siz Deniz'!E161+'Ötv''li Deniz'!E161</f>
        <v>0</v>
      </c>
      <c r="F161" s="487">
        <f>+'Ötv''siz Deniz'!F161+'Ötv''li Deniz'!F161</f>
        <v>0</v>
      </c>
      <c r="G161" s="487">
        <f>+'Ötv''siz Deniz'!G161+'Ötv''li Deniz'!G161</f>
        <v>0</v>
      </c>
      <c r="H161" s="487">
        <f>+'Ötv''siz Deniz'!H161+'Ötv''li Deniz'!H161</f>
        <v>0</v>
      </c>
      <c r="I161" s="487">
        <f>+'Ötv''siz Deniz'!I161+'Ötv''li Deniz'!I161</f>
        <v>0</v>
      </c>
      <c r="J161" s="487">
        <f>+'Ötv''siz Deniz'!J161+'Ötv''li Deniz'!J161</f>
        <v>0</v>
      </c>
      <c r="K161" s="487">
        <f>+'Ötv''siz Deniz'!K161+'Ötv''li Deniz'!K161</f>
        <v>0</v>
      </c>
      <c r="L161" s="487">
        <f>+'Ötv''siz Deniz'!L161+'Ötv''li Deniz'!L161</f>
        <v>0</v>
      </c>
      <c r="M161" s="487">
        <f>+'Ötv''siz Deniz'!M161+'Ötv''li Deniz'!M161</f>
        <v>0</v>
      </c>
      <c r="N161" s="487">
        <f>+'Ötv''siz Deniz'!N161+'Ötv''li Deniz'!N161</f>
        <v>0</v>
      </c>
      <c r="O161" s="488">
        <f>+'Ötv''siz Deniz'!O161+'Ötv''li Deniz'!O161</f>
        <v>0</v>
      </c>
      <c r="P161" s="391">
        <f t="shared" si="108"/>
        <v>0</v>
      </c>
      <c r="Q161" s="489"/>
    </row>
    <row r="162" spans="1:17">
      <c r="A162" s="476" t="s">
        <v>54</v>
      </c>
      <c r="B162" s="1832">
        <f>+'Ötv''siz Deniz'!B162+'Ötv''li Deniz'!B162</f>
        <v>0</v>
      </c>
      <c r="C162" s="1833">
        <f>+'Ötv''siz Deniz'!C162+'Ötv''li Deniz'!C162</f>
        <v>0</v>
      </c>
      <c r="D162" s="479">
        <f>+'Ötv''siz Deniz'!D162+'Ötv''li Deniz'!D162</f>
        <v>0</v>
      </c>
      <c r="E162" s="480">
        <f>+'Ötv''siz Deniz'!E162+'Ötv''li Deniz'!E162</f>
        <v>0</v>
      </c>
      <c r="F162" s="480">
        <f>+'Ötv''siz Deniz'!F162+'Ötv''li Deniz'!F162</f>
        <v>0</v>
      </c>
      <c r="G162" s="480">
        <f>+'Ötv''siz Deniz'!G162+'Ötv''li Deniz'!G162</f>
        <v>0</v>
      </c>
      <c r="H162" s="480">
        <f>+'Ötv''siz Deniz'!H162+'Ötv''li Deniz'!H162</f>
        <v>0</v>
      </c>
      <c r="I162" s="480">
        <f>+'Ötv''siz Deniz'!I162+'Ötv''li Deniz'!I162</f>
        <v>0</v>
      </c>
      <c r="J162" s="480">
        <f>+'Ötv''siz Deniz'!J162+'Ötv''li Deniz'!J162</f>
        <v>0</v>
      </c>
      <c r="K162" s="480">
        <f>+'Ötv''siz Deniz'!K162+'Ötv''li Deniz'!K162</f>
        <v>0</v>
      </c>
      <c r="L162" s="480">
        <f>+'Ötv''siz Deniz'!L162+'Ötv''li Deniz'!L162</f>
        <v>0</v>
      </c>
      <c r="M162" s="480">
        <f>+'Ötv''siz Deniz'!M162+'Ötv''li Deniz'!M162</f>
        <v>0</v>
      </c>
      <c r="N162" s="480">
        <f>+'Ötv''siz Deniz'!N162+'Ötv''li Deniz'!N162</f>
        <v>0</v>
      </c>
      <c r="O162" s="481">
        <f>+'Ötv''siz Deniz'!O162+'Ötv''li Deniz'!O162</f>
        <v>0</v>
      </c>
      <c r="P162" s="394">
        <f t="shared" si="108"/>
        <v>0</v>
      </c>
      <c r="Q162" s="482"/>
    </row>
    <row r="163" spans="1:17">
      <c r="A163" s="483" t="s">
        <v>55</v>
      </c>
      <c r="B163" s="1834">
        <f>+'Ötv''siz Deniz'!B163+'Ötv''li Deniz'!B163</f>
        <v>0</v>
      </c>
      <c r="C163" s="1835">
        <f>+'Ötv''siz Deniz'!C163+'Ötv''li Deniz'!C163</f>
        <v>0</v>
      </c>
      <c r="D163" s="486">
        <f>+'Ötv''siz Deniz'!D163+'Ötv''li Deniz'!D163</f>
        <v>0</v>
      </c>
      <c r="E163" s="487">
        <f>+'Ötv''siz Deniz'!E163+'Ötv''li Deniz'!E163</f>
        <v>0</v>
      </c>
      <c r="F163" s="487">
        <f>+'Ötv''siz Deniz'!F163+'Ötv''li Deniz'!F163</f>
        <v>0</v>
      </c>
      <c r="G163" s="487">
        <f>+'Ötv''siz Deniz'!G163+'Ötv''li Deniz'!G163</f>
        <v>0</v>
      </c>
      <c r="H163" s="487">
        <f>+'Ötv''siz Deniz'!H163+'Ötv''li Deniz'!H163</f>
        <v>0</v>
      </c>
      <c r="I163" s="487">
        <f>+'Ötv''siz Deniz'!I163+'Ötv''li Deniz'!I163</f>
        <v>0</v>
      </c>
      <c r="J163" s="487">
        <f>+'Ötv''siz Deniz'!J163+'Ötv''li Deniz'!J163</f>
        <v>0</v>
      </c>
      <c r="K163" s="487">
        <f>+'Ötv''siz Deniz'!K163+'Ötv''li Deniz'!K163</f>
        <v>0</v>
      </c>
      <c r="L163" s="487">
        <f>+'Ötv''siz Deniz'!L163+'Ötv''li Deniz'!L163</f>
        <v>0</v>
      </c>
      <c r="M163" s="487">
        <f>+'Ötv''siz Deniz'!M163+'Ötv''li Deniz'!M163</f>
        <v>0</v>
      </c>
      <c r="N163" s="487">
        <f>+'Ötv''siz Deniz'!N163+'Ötv''li Deniz'!N163</f>
        <v>0</v>
      </c>
      <c r="O163" s="488">
        <f>+'Ötv''siz Deniz'!O163+'Ötv''li Deniz'!O163</f>
        <v>0</v>
      </c>
      <c r="P163" s="391">
        <f t="shared" si="108"/>
        <v>0</v>
      </c>
      <c r="Q163" s="489"/>
    </row>
    <row r="164" spans="1:17">
      <c r="A164" s="476" t="s">
        <v>56</v>
      </c>
      <c r="B164" s="1832">
        <f>+'Ötv''siz Deniz'!B164+'Ötv''li Deniz'!B164</f>
        <v>0</v>
      </c>
      <c r="C164" s="1833">
        <f>+'Ötv''siz Deniz'!C164+'Ötv''li Deniz'!C164</f>
        <v>0</v>
      </c>
      <c r="D164" s="479">
        <f>+'Ötv''siz Deniz'!D164+'Ötv''li Deniz'!D164</f>
        <v>0</v>
      </c>
      <c r="E164" s="480">
        <f>+'Ötv''siz Deniz'!E164+'Ötv''li Deniz'!E164</f>
        <v>0</v>
      </c>
      <c r="F164" s="480">
        <f>+'Ötv''siz Deniz'!F164+'Ötv''li Deniz'!F164</f>
        <v>0</v>
      </c>
      <c r="G164" s="480">
        <f>+'Ötv''siz Deniz'!G164+'Ötv''li Deniz'!G164</f>
        <v>0</v>
      </c>
      <c r="H164" s="480">
        <f>+'Ötv''siz Deniz'!H164+'Ötv''li Deniz'!H164</f>
        <v>0</v>
      </c>
      <c r="I164" s="480">
        <f>+'Ötv''siz Deniz'!I164+'Ötv''li Deniz'!I164</f>
        <v>0</v>
      </c>
      <c r="J164" s="480">
        <f>+'Ötv''siz Deniz'!J164+'Ötv''li Deniz'!J164</f>
        <v>0</v>
      </c>
      <c r="K164" s="480">
        <f>+'Ötv''siz Deniz'!K164+'Ötv''li Deniz'!K164</f>
        <v>0</v>
      </c>
      <c r="L164" s="480">
        <f>+'Ötv''siz Deniz'!L164+'Ötv''li Deniz'!L164</f>
        <v>0</v>
      </c>
      <c r="M164" s="480">
        <f>+'Ötv''siz Deniz'!M164+'Ötv''li Deniz'!M164</f>
        <v>0</v>
      </c>
      <c r="N164" s="480">
        <f>+'Ötv''siz Deniz'!N164+'Ötv''li Deniz'!N164</f>
        <v>0</v>
      </c>
      <c r="O164" s="481">
        <f>+'Ötv''siz Deniz'!O164+'Ötv''li Deniz'!O164</f>
        <v>0</v>
      </c>
      <c r="P164" s="394">
        <f t="shared" si="108"/>
        <v>0</v>
      </c>
      <c r="Q164" s="482"/>
    </row>
    <row r="165" spans="1:17">
      <c r="A165" s="483" t="s">
        <v>57</v>
      </c>
      <c r="B165" s="1834">
        <f>+'Ötv''siz Deniz'!B165+'Ötv''li Deniz'!B165</f>
        <v>0</v>
      </c>
      <c r="C165" s="1835">
        <f>+'Ötv''siz Deniz'!C165+'Ötv''li Deniz'!C165</f>
        <v>0</v>
      </c>
      <c r="D165" s="486">
        <f>+'Ötv''siz Deniz'!D165+'Ötv''li Deniz'!D165</f>
        <v>0</v>
      </c>
      <c r="E165" s="487">
        <f>+'Ötv''siz Deniz'!E165+'Ötv''li Deniz'!E165</f>
        <v>0</v>
      </c>
      <c r="F165" s="487">
        <f>+'Ötv''siz Deniz'!F165+'Ötv''li Deniz'!F165</f>
        <v>0</v>
      </c>
      <c r="G165" s="487">
        <f>+'Ötv''siz Deniz'!G165+'Ötv''li Deniz'!G165</f>
        <v>0</v>
      </c>
      <c r="H165" s="487">
        <f>+'Ötv''siz Deniz'!H165+'Ötv''li Deniz'!H165</f>
        <v>0</v>
      </c>
      <c r="I165" s="487">
        <f>+'Ötv''siz Deniz'!I165+'Ötv''li Deniz'!I165</f>
        <v>0</v>
      </c>
      <c r="J165" s="487">
        <f>+'Ötv''siz Deniz'!J165+'Ötv''li Deniz'!J165</f>
        <v>0</v>
      </c>
      <c r="K165" s="487">
        <f>+'Ötv''siz Deniz'!K165+'Ötv''li Deniz'!K165</f>
        <v>0</v>
      </c>
      <c r="L165" s="487">
        <f>+'Ötv''siz Deniz'!L165+'Ötv''li Deniz'!L165</f>
        <v>0</v>
      </c>
      <c r="M165" s="487">
        <f>+'Ötv''siz Deniz'!M165+'Ötv''li Deniz'!M165</f>
        <v>0</v>
      </c>
      <c r="N165" s="487">
        <f>+'Ötv''siz Deniz'!N165+'Ötv''li Deniz'!N165</f>
        <v>0</v>
      </c>
      <c r="O165" s="488">
        <f>+'Ötv''siz Deniz'!O165+'Ötv''li Deniz'!O165</f>
        <v>0</v>
      </c>
      <c r="P165" s="391">
        <f t="shared" si="108"/>
        <v>0</v>
      </c>
      <c r="Q165" s="489"/>
    </row>
    <row r="166" spans="1:17">
      <c r="A166" s="476" t="s">
        <v>58</v>
      </c>
      <c r="B166" s="1832">
        <f>+'Ötv''siz Deniz'!B166+'Ötv''li Deniz'!B166</f>
        <v>0</v>
      </c>
      <c r="C166" s="1833">
        <f>+'Ötv''siz Deniz'!C166+'Ötv''li Deniz'!C166</f>
        <v>0</v>
      </c>
      <c r="D166" s="479">
        <f>+'Ötv''siz Deniz'!D166+'Ötv''li Deniz'!D166</f>
        <v>0</v>
      </c>
      <c r="E166" s="480">
        <f>+'Ötv''siz Deniz'!E166+'Ötv''li Deniz'!E166</f>
        <v>0</v>
      </c>
      <c r="F166" s="480">
        <f>+'Ötv''siz Deniz'!F166+'Ötv''li Deniz'!F166</f>
        <v>0</v>
      </c>
      <c r="G166" s="480">
        <f>+'Ötv''siz Deniz'!G166+'Ötv''li Deniz'!G166</f>
        <v>0</v>
      </c>
      <c r="H166" s="480">
        <f>+'Ötv''siz Deniz'!H166+'Ötv''li Deniz'!H166</f>
        <v>0</v>
      </c>
      <c r="I166" s="480">
        <f>+'Ötv''siz Deniz'!I166+'Ötv''li Deniz'!I166</f>
        <v>0</v>
      </c>
      <c r="J166" s="480">
        <f>+'Ötv''siz Deniz'!J166+'Ötv''li Deniz'!J166</f>
        <v>0</v>
      </c>
      <c r="K166" s="480">
        <f>+'Ötv''siz Deniz'!K166+'Ötv''li Deniz'!K166</f>
        <v>0</v>
      </c>
      <c r="L166" s="480">
        <f>+'Ötv''siz Deniz'!L166+'Ötv''li Deniz'!L166</f>
        <v>0</v>
      </c>
      <c r="M166" s="480">
        <f>+'Ötv''siz Deniz'!M166+'Ötv''li Deniz'!M166</f>
        <v>0</v>
      </c>
      <c r="N166" s="480">
        <f>+'Ötv''siz Deniz'!N166+'Ötv''li Deniz'!N166</f>
        <v>0</v>
      </c>
      <c r="O166" s="481">
        <f>+'Ötv''siz Deniz'!O166+'Ötv''li Deniz'!O166</f>
        <v>0</v>
      </c>
      <c r="P166" s="394">
        <f t="shared" si="108"/>
        <v>0</v>
      </c>
      <c r="Q166" s="482"/>
    </row>
    <row r="167" spans="1:17">
      <c r="A167" s="483" t="s">
        <v>59</v>
      </c>
      <c r="B167" s="1834">
        <f>+'Ötv''siz Deniz'!B167+'Ötv''li Deniz'!B167</f>
        <v>0</v>
      </c>
      <c r="C167" s="1835">
        <f>+'Ötv''siz Deniz'!C167+'Ötv''li Deniz'!C167</f>
        <v>0</v>
      </c>
      <c r="D167" s="486">
        <f>+'Ötv''siz Deniz'!D167+'Ötv''li Deniz'!D167</f>
        <v>0</v>
      </c>
      <c r="E167" s="487">
        <f>+'Ötv''siz Deniz'!E167+'Ötv''li Deniz'!E167</f>
        <v>0</v>
      </c>
      <c r="F167" s="487">
        <f>+'Ötv''siz Deniz'!F167+'Ötv''li Deniz'!F167</f>
        <v>0</v>
      </c>
      <c r="G167" s="487">
        <f>+'Ötv''siz Deniz'!G167+'Ötv''li Deniz'!G167</f>
        <v>0</v>
      </c>
      <c r="H167" s="487">
        <f>+'Ötv''siz Deniz'!H167+'Ötv''li Deniz'!H167</f>
        <v>0</v>
      </c>
      <c r="I167" s="487">
        <f>+'Ötv''siz Deniz'!I167+'Ötv''li Deniz'!I167</f>
        <v>0</v>
      </c>
      <c r="J167" s="487">
        <f>+'Ötv''siz Deniz'!J167+'Ötv''li Deniz'!J167</f>
        <v>0</v>
      </c>
      <c r="K167" s="487">
        <f>+'Ötv''siz Deniz'!K167+'Ötv''li Deniz'!K167</f>
        <v>0</v>
      </c>
      <c r="L167" s="487">
        <f>+'Ötv''siz Deniz'!L167+'Ötv''li Deniz'!L167</f>
        <v>0</v>
      </c>
      <c r="M167" s="487">
        <f>+'Ötv''siz Deniz'!M167+'Ötv''li Deniz'!M167</f>
        <v>0</v>
      </c>
      <c r="N167" s="487">
        <f>+'Ötv''siz Deniz'!N167+'Ötv''li Deniz'!N167</f>
        <v>0</v>
      </c>
      <c r="O167" s="488">
        <f>+'Ötv''siz Deniz'!O167+'Ötv''li Deniz'!O167</f>
        <v>0</v>
      </c>
      <c r="P167" s="391">
        <f t="shared" si="108"/>
        <v>0</v>
      </c>
      <c r="Q167" s="489"/>
    </row>
    <row r="168" spans="1:17">
      <c r="A168" s="476" t="s">
        <v>60</v>
      </c>
      <c r="B168" s="1832">
        <f>+'Ötv''siz Deniz'!B168+'Ötv''li Deniz'!B168</f>
        <v>0</v>
      </c>
      <c r="C168" s="1833">
        <f>+'Ötv''siz Deniz'!C168+'Ötv''li Deniz'!C168</f>
        <v>0</v>
      </c>
      <c r="D168" s="479">
        <f>+'Ötv''siz Deniz'!D168+'Ötv''li Deniz'!D168</f>
        <v>0</v>
      </c>
      <c r="E168" s="480">
        <f>+'Ötv''siz Deniz'!E168+'Ötv''li Deniz'!E168</f>
        <v>0</v>
      </c>
      <c r="F168" s="480">
        <f>+'Ötv''siz Deniz'!F168+'Ötv''li Deniz'!F168</f>
        <v>0</v>
      </c>
      <c r="G168" s="480">
        <f>+'Ötv''siz Deniz'!G168+'Ötv''li Deniz'!G168</f>
        <v>0</v>
      </c>
      <c r="H168" s="480">
        <f>+'Ötv''siz Deniz'!H168+'Ötv''li Deniz'!H168</f>
        <v>0</v>
      </c>
      <c r="I168" s="480">
        <f>+'Ötv''siz Deniz'!I168+'Ötv''li Deniz'!I168</f>
        <v>0</v>
      </c>
      <c r="J168" s="480">
        <f>+'Ötv''siz Deniz'!J168+'Ötv''li Deniz'!J168</f>
        <v>0</v>
      </c>
      <c r="K168" s="480">
        <f>+'Ötv''siz Deniz'!K168+'Ötv''li Deniz'!K168</f>
        <v>0</v>
      </c>
      <c r="L168" s="480">
        <f>+'Ötv''siz Deniz'!L168+'Ötv''li Deniz'!L168</f>
        <v>0</v>
      </c>
      <c r="M168" s="480">
        <f>+'Ötv''siz Deniz'!M168+'Ötv''li Deniz'!M168</f>
        <v>0</v>
      </c>
      <c r="N168" s="480">
        <f>+'Ötv''siz Deniz'!N168+'Ötv''li Deniz'!N168</f>
        <v>0</v>
      </c>
      <c r="O168" s="481">
        <f>+'Ötv''siz Deniz'!O168+'Ötv''li Deniz'!O168</f>
        <v>0</v>
      </c>
      <c r="P168" s="394">
        <f t="shared" si="108"/>
        <v>0</v>
      </c>
      <c r="Q168" s="482"/>
    </row>
    <row r="169" spans="1:17">
      <c r="A169" s="483" t="s">
        <v>61</v>
      </c>
      <c r="B169" s="1834">
        <f>+'Ötv''siz Deniz'!B169+'Ötv''li Deniz'!B169</f>
        <v>0</v>
      </c>
      <c r="C169" s="1835">
        <f>+'Ötv''siz Deniz'!C169+'Ötv''li Deniz'!C169</f>
        <v>0</v>
      </c>
      <c r="D169" s="486">
        <f>+'Ötv''siz Deniz'!D169+'Ötv''li Deniz'!D169</f>
        <v>0</v>
      </c>
      <c r="E169" s="487">
        <f>+'Ötv''siz Deniz'!E169+'Ötv''li Deniz'!E169</f>
        <v>0</v>
      </c>
      <c r="F169" s="487">
        <f>+'Ötv''siz Deniz'!F169+'Ötv''li Deniz'!F169</f>
        <v>0</v>
      </c>
      <c r="G169" s="487">
        <f>+'Ötv''siz Deniz'!G169+'Ötv''li Deniz'!G169</f>
        <v>0</v>
      </c>
      <c r="H169" s="487">
        <f>+'Ötv''siz Deniz'!H169+'Ötv''li Deniz'!H169</f>
        <v>0</v>
      </c>
      <c r="I169" s="487">
        <f>+'Ötv''siz Deniz'!I169+'Ötv''li Deniz'!I169</f>
        <v>0</v>
      </c>
      <c r="J169" s="487">
        <f>+'Ötv''siz Deniz'!J169+'Ötv''li Deniz'!J169</f>
        <v>0</v>
      </c>
      <c r="K169" s="487">
        <f>+'Ötv''siz Deniz'!K169+'Ötv''li Deniz'!K169</f>
        <v>0</v>
      </c>
      <c r="L169" s="487">
        <f>+'Ötv''siz Deniz'!L169+'Ötv''li Deniz'!L169</f>
        <v>0</v>
      </c>
      <c r="M169" s="487">
        <f>+'Ötv''siz Deniz'!M169+'Ötv''li Deniz'!M169</f>
        <v>0</v>
      </c>
      <c r="N169" s="487">
        <f>+'Ötv''siz Deniz'!N169+'Ötv''li Deniz'!N169</f>
        <v>0</v>
      </c>
      <c r="O169" s="488">
        <f>+'Ötv''siz Deniz'!O169+'Ötv''li Deniz'!O169</f>
        <v>0</v>
      </c>
      <c r="P169" s="391">
        <f t="shared" si="108"/>
        <v>0</v>
      </c>
      <c r="Q169" s="489"/>
    </row>
    <row r="170" spans="1:17">
      <c r="A170" s="476" t="s">
        <v>62</v>
      </c>
      <c r="B170" s="1832">
        <f>+'Ötv''siz Deniz'!B170+'Ötv''li Deniz'!B170</f>
        <v>0</v>
      </c>
      <c r="C170" s="1833">
        <f>+'Ötv''siz Deniz'!C170+'Ötv''li Deniz'!C170</f>
        <v>0</v>
      </c>
      <c r="D170" s="479">
        <f>+'Ötv''siz Deniz'!D170+'Ötv''li Deniz'!D170</f>
        <v>0</v>
      </c>
      <c r="E170" s="480">
        <f>+'Ötv''siz Deniz'!E170+'Ötv''li Deniz'!E170</f>
        <v>0</v>
      </c>
      <c r="F170" s="480">
        <f>+'Ötv''siz Deniz'!F170+'Ötv''li Deniz'!F170</f>
        <v>0</v>
      </c>
      <c r="G170" s="480">
        <f>+'Ötv''siz Deniz'!G170+'Ötv''li Deniz'!G170</f>
        <v>0</v>
      </c>
      <c r="H170" s="480">
        <f>+'Ötv''siz Deniz'!H170+'Ötv''li Deniz'!H170</f>
        <v>0</v>
      </c>
      <c r="I170" s="480">
        <f>+'Ötv''siz Deniz'!I170+'Ötv''li Deniz'!I170</f>
        <v>0</v>
      </c>
      <c r="J170" s="480">
        <f>+'Ötv''siz Deniz'!J170+'Ötv''li Deniz'!J170</f>
        <v>0</v>
      </c>
      <c r="K170" s="480">
        <f>+'Ötv''siz Deniz'!K170+'Ötv''li Deniz'!K170</f>
        <v>0</v>
      </c>
      <c r="L170" s="480">
        <f>+'Ötv''siz Deniz'!L170+'Ötv''li Deniz'!L170</f>
        <v>0</v>
      </c>
      <c r="M170" s="480">
        <f>+'Ötv''siz Deniz'!M170+'Ötv''li Deniz'!M170</f>
        <v>0</v>
      </c>
      <c r="N170" s="480">
        <f>+'Ötv''siz Deniz'!N170+'Ötv''li Deniz'!N170</f>
        <v>0</v>
      </c>
      <c r="O170" s="481">
        <f>+'Ötv''siz Deniz'!O170+'Ötv''li Deniz'!O170</f>
        <v>0</v>
      </c>
      <c r="P170" s="394">
        <f t="shared" si="108"/>
        <v>0</v>
      </c>
      <c r="Q170" s="482"/>
    </row>
    <row r="171" spans="1:17">
      <c r="A171" s="483" t="s">
        <v>63</v>
      </c>
      <c r="B171" s="1834">
        <f>+'Ötv''siz Deniz'!B171+'Ötv''li Deniz'!B171</f>
        <v>0</v>
      </c>
      <c r="C171" s="1835">
        <f>+'Ötv''siz Deniz'!C171+'Ötv''li Deniz'!C171</f>
        <v>0</v>
      </c>
      <c r="D171" s="486">
        <f>+'Ötv''siz Deniz'!D171+'Ötv''li Deniz'!D171</f>
        <v>0</v>
      </c>
      <c r="E171" s="487">
        <f>+'Ötv''siz Deniz'!E171+'Ötv''li Deniz'!E171</f>
        <v>0</v>
      </c>
      <c r="F171" s="487">
        <f>+'Ötv''siz Deniz'!F171+'Ötv''li Deniz'!F171</f>
        <v>0</v>
      </c>
      <c r="G171" s="487">
        <f>+'Ötv''siz Deniz'!G171+'Ötv''li Deniz'!G171</f>
        <v>0</v>
      </c>
      <c r="H171" s="487">
        <f>+'Ötv''siz Deniz'!H171+'Ötv''li Deniz'!H171</f>
        <v>0</v>
      </c>
      <c r="I171" s="487">
        <f>+'Ötv''siz Deniz'!I171+'Ötv''li Deniz'!I171</f>
        <v>0</v>
      </c>
      <c r="J171" s="487">
        <f>+'Ötv''siz Deniz'!J171+'Ötv''li Deniz'!J171</f>
        <v>0</v>
      </c>
      <c r="K171" s="487">
        <f>+'Ötv''siz Deniz'!K171+'Ötv''li Deniz'!K171</f>
        <v>0</v>
      </c>
      <c r="L171" s="487">
        <f>+'Ötv''siz Deniz'!L171+'Ötv''li Deniz'!L171</f>
        <v>0</v>
      </c>
      <c r="M171" s="487">
        <f>+'Ötv''siz Deniz'!M171+'Ötv''li Deniz'!M171</f>
        <v>0</v>
      </c>
      <c r="N171" s="487">
        <f>+'Ötv''siz Deniz'!N171+'Ötv''li Deniz'!N171</f>
        <v>0</v>
      </c>
      <c r="O171" s="488">
        <f>+'Ötv''siz Deniz'!O171+'Ötv''li Deniz'!O171</f>
        <v>0</v>
      </c>
      <c r="P171" s="391">
        <f t="shared" si="108"/>
        <v>0</v>
      </c>
      <c r="Q171" s="489"/>
    </row>
    <row r="172" spans="1:17">
      <c r="A172" s="476" t="s">
        <v>66</v>
      </c>
      <c r="B172" s="1832">
        <f>+'Ötv''siz Deniz'!B172+'Ötv''li Deniz'!B172</f>
        <v>0</v>
      </c>
      <c r="C172" s="1833">
        <f>+'Ötv''siz Deniz'!C172+'Ötv''li Deniz'!C172</f>
        <v>0</v>
      </c>
      <c r="D172" s="479">
        <f>+'Ötv''siz Deniz'!D172+'Ötv''li Deniz'!D172</f>
        <v>0</v>
      </c>
      <c r="E172" s="480">
        <f>+'Ötv''siz Deniz'!E172+'Ötv''li Deniz'!E172</f>
        <v>0</v>
      </c>
      <c r="F172" s="480">
        <f>+'Ötv''siz Deniz'!F172+'Ötv''li Deniz'!F172</f>
        <v>0</v>
      </c>
      <c r="G172" s="480">
        <f>+'Ötv''siz Deniz'!G172+'Ötv''li Deniz'!G172</f>
        <v>0</v>
      </c>
      <c r="H172" s="480">
        <f>+'Ötv''siz Deniz'!H172+'Ötv''li Deniz'!H172</f>
        <v>0</v>
      </c>
      <c r="I172" s="480">
        <f>+'Ötv''siz Deniz'!I172+'Ötv''li Deniz'!I172</f>
        <v>0</v>
      </c>
      <c r="J172" s="480">
        <f>+'Ötv''siz Deniz'!J172+'Ötv''li Deniz'!J172</f>
        <v>0</v>
      </c>
      <c r="K172" s="480">
        <f>+'Ötv''siz Deniz'!K172+'Ötv''li Deniz'!K172</f>
        <v>0</v>
      </c>
      <c r="L172" s="480">
        <f>+'Ötv''siz Deniz'!L172+'Ötv''li Deniz'!L172</f>
        <v>0</v>
      </c>
      <c r="M172" s="480">
        <f>+'Ötv''siz Deniz'!M172+'Ötv''li Deniz'!M172</f>
        <v>0</v>
      </c>
      <c r="N172" s="480">
        <f>+'Ötv''siz Deniz'!N172+'Ötv''li Deniz'!N172</f>
        <v>0</v>
      </c>
      <c r="O172" s="481">
        <f>+'Ötv''siz Deniz'!O172+'Ötv''li Deniz'!O172</f>
        <v>0</v>
      </c>
      <c r="P172" s="394">
        <f>SUM(D172:O172)</f>
        <v>0</v>
      </c>
      <c r="Q172" s="482"/>
    </row>
    <row r="173" spans="1:17" ht="15" thickBot="1">
      <c r="A173" s="490" t="s">
        <v>64</v>
      </c>
      <c r="B173" s="1836">
        <f>+'Ötv''siz Deniz'!B173+'Ötv''li Deniz'!B173</f>
        <v>0</v>
      </c>
      <c r="C173" s="1837">
        <f>+'Ötv''siz Deniz'!C173+'Ötv''li Deniz'!C173</f>
        <v>0</v>
      </c>
      <c r="D173" s="493">
        <f>+'Ötv''siz Deniz'!D173+'Ötv''li Deniz'!D173</f>
        <v>0</v>
      </c>
      <c r="E173" s="494">
        <f>+'Ötv''siz Deniz'!E173+'Ötv''li Deniz'!E173</f>
        <v>0</v>
      </c>
      <c r="F173" s="494">
        <f>+'Ötv''siz Deniz'!F173+'Ötv''li Deniz'!F173</f>
        <v>0</v>
      </c>
      <c r="G173" s="494">
        <f>+'Ötv''siz Deniz'!G173+'Ötv''li Deniz'!G173</f>
        <v>0</v>
      </c>
      <c r="H173" s="494">
        <f>+'Ötv''siz Deniz'!H173+'Ötv''li Deniz'!H173</f>
        <v>0</v>
      </c>
      <c r="I173" s="494">
        <f>+'Ötv''siz Deniz'!I173+'Ötv''li Deniz'!I173</f>
        <v>0</v>
      </c>
      <c r="J173" s="494">
        <f>+'Ötv''siz Deniz'!J173+'Ötv''li Deniz'!J173</f>
        <v>0</v>
      </c>
      <c r="K173" s="494">
        <f>+'Ötv''siz Deniz'!K173+'Ötv''li Deniz'!K173</f>
        <v>0</v>
      </c>
      <c r="L173" s="494">
        <f>+'Ötv''siz Deniz'!L173+'Ötv''li Deniz'!L173</f>
        <v>0</v>
      </c>
      <c r="M173" s="494">
        <f>+'Ötv''siz Deniz'!M173+'Ötv''li Deniz'!M173</f>
        <v>0</v>
      </c>
      <c r="N173" s="494">
        <f>+'Ötv''siz Deniz'!N173+'Ötv''li Deniz'!N173</f>
        <v>0</v>
      </c>
      <c r="O173" s="495">
        <f>+'Ötv''siz Deniz'!O173+'Ötv''li Deniz'!O173</f>
        <v>0</v>
      </c>
      <c r="P173" s="496">
        <f t="shared" si="108"/>
        <v>0</v>
      </c>
      <c r="Q173" s="497"/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7" t="s">
        <v>677</v>
      </c>
      <c r="E175" s="2378"/>
      <c r="F175" s="2378"/>
      <c r="G175" s="2378"/>
      <c r="H175" s="2378"/>
      <c r="I175" s="2378"/>
      <c r="J175" s="2378"/>
      <c r="K175" s="2378"/>
      <c r="L175" s="2378"/>
      <c r="M175" s="2378"/>
      <c r="N175" s="2378"/>
      <c r="O175" s="2378"/>
      <c r="P175" s="2379"/>
      <c r="Q175" s="937" t="s">
        <v>638</v>
      </c>
    </row>
    <row r="176" spans="1:17" ht="30.75" customHeight="1" thickBot="1">
      <c r="A176" s="498"/>
      <c r="B176" s="357" t="s">
        <v>657</v>
      </c>
      <c r="C176" s="357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941" t="s">
        <v>619</v>
      </c>
    </row>
    <row r="177" spans="1:22" ht="21" customHeight="1">
      <c r="A177" s="502" t="s">
        <v>68</v>
      </c>
      <c r="B177" s="503">
        <f>B44</f>
        <v>0</v>
      </c>
      <c r="C177" s="1280">
        <f>C44</f>
        <v>0</v>
      </c>
      <c r="D177" s="505">
        <f>D44</f>
        <v>0</v>
      </c>
      <c r="E177" s="472">
        <f t="shared" ref="E177:O177" si="109">E44</f>
        <v>0</v>
      </c>
      <c r="F177" s="472">
        <f t="shared" si="109"/>
        <v>0</v>
      </c>
      <c r="G177" s="472">
        <f t="shared" si="109"/>
        <v>0</v>
      </c>
      <c r="H177" s="472">
        <f t="shared" si="109"/>
        <v>0</v>
      </c>
      <c r="I177" s="472">
        <f t="shared" si="109"/>
        <v>0</v>
      </c>
      <c r="J177" s="472">
        <f t="shared" si="109"/>
        <v>0</v>
      </c>
      <c r="K177" s="472">
        <f t="shared" si="109"/>
        <v>0</v>
      </c>
      <c r="L177" s="472">
        <f t="shared" si="109"/>
        <v>0</v>
      </c>
      <c r="M177" s="472">
        <f t="shared" si="109"/>
        <v>0</v>
      </c>
      <c r="N177" s="472">
        <f t="shared" si="109"/>
        <v>0</v>
      </c>
      <c r="O177" s="473">
        <f t="shared" si="109"/>
        <v>0</v>
      </c>
      <c r="P177" s="474">
        <f>P44</f>
        <v>0</v>
      </c>
      <c r="Q177" s="506" t="str">
        <f>IF(P177=0,"-",P177/C177-1)</f>
        <v>-</v>
      </c>
      <c r="R177" s="353">
        <f>+'Ötv''siz Deniz'!P177+'Ötv''li Deniz'!P177</f>
        <v>0</v>
      </c>
    </row>
    <row r="178" spans="1:22" ht="21" customHeight="1">
      <c r="A178" s="476" t="s">
        <v>69</v>
      </c>
      <c r="B178" s="507">
        <f>B67</f>
        <v>0</v>
      </c>
      <c r="C178" s="1281">
        <f>C67</f>
        <v>0</v>
      </c>
      <c r="D178" s="509">
        <f t="shared" ref="D178:P178" si="110">D67</f>
        <v>0</v>
      </c>
      <c r="E178" s="480">
        <f t="shared" si="110"/>
        <v>0</v>
      </c>
      <c r="F178" s="480">
        <f t="shared" si="110"/>
        <v>0</v>
      </c>
      <c r="G178" s="480">
        <f t="shared" si="110"/>
        <v>0</v>
      </c>
      <c r="H178" s="480">
        <f t="shared" si="110"/>
        <v>0</v>
      </c>
      <c r="I178" s="480">
        <f t="shared" si="110"/>
        <v>0</v>
      </c>
      <c r="J178" s="480">
        <f t="shared" si="110"/>
        <v>0</v>
      </c>
      <c r="K178" s="480">
        <f t="shared" si="110"/>
        <v>0</v>
      </c>
      <c r="L178" s="480">
        <f t="shared" si="110"/>
        <v>0</v>
      </c>
      <c r="M178" s="480">
        <f t="shared" si="110"/>
        <v>0</v>
      </c>
      <c r="N178" s="480">
        <f t="shared" si="110"/>
        <v>0</v>
      </c>
      <c r="O178" s="481">
        <f t="shared" si="110"/>
        <v>0</v>
      </c>
      <c r="P178" s="394">
        <f t="shared" si="110"/>
        <v>0</v>
      </c>
      <c r="Q178" s="510" t="str">
        <f>IF(P178=0,"-",P178/C178-1)</f>
        <v>-</v>
      </c>
      <c r="R178" s="353">
        <f>+'Ötv''siz Deniz'!P178+'Ötv''li Deniz'!P178</f>
        <v>0</v>
      </c>
    </row>
    <row r="179" spans="1:22" ht="21" customHeight="1">
      <c r="A179" s="483" t="s">
        <v>512</v>
      </c>
      <c r="B179" s="1824">
        <f>+'Ötv''siz Deniz'!B179+'Ötv''li Deniz'!B179</f>
        <v>0</v>
      </c>
      <c r="C179" s="1828">
        <f>+'Ötv''siz Deniz'!C179+'Ötv''li Deniz'!C179</f>
        <v>0</v>
      </c>
      <c r="D179" s="1824">
        <f>+'Ötv''siz Deniz'!D179+'Ötv''li Deniz'!D179</f>
        <v>0</v>
      </c>
      <c r="E179" s="1825">
        <f>+'Ötv''siz Deniz'!E179+'Ötv''li Deniz'!E179</f>
        <v>0</v>
      </c>
      <c r="F179" s="1825">
        <f>+'Ötv''siz Deniz'!F179+'Ötv''li Deniz'!F179</f>
        <v>0</v>
      </c>
      <c r="G179" s="1825">
        <f>+'Ötv''siz Deniz'!G179+'Ötv''li Deniz'!G179</f>
        <v>0</v>
      </c>
      <c r="H179" s="1825">
        <f>+'Ötv''siz Deniz'!H179+'Ötv''li Deniz'!H179</f>
        <v>0</v>
      </c>
      <c r="I179" s="1825">
        <f>+'Ötv''siz Deniz'!I179+'Ötv''li Deniz'!I179</f>
        <v>0</v>
      </c>
      <c r="J179" s="1825">
        <f>+'Ötv''siz Deniz'!J179+'Ötv''li Deniz'!J179</f>
        <v>0</v>
      </c>
      <c r="K179" s="1825">
        <f>+'Ötv''siz Deniz'!K179+'Ötv''li Deniz'!K179</f>
        <v>0</v>
      </c>
      <c r="L179" s="1825">
        <f>+'Ötv''siz Deniz'!L179+'Ötv''li Deniz'!L179</f>
        <v>0</v>
      </c>
      <c r="M179" s="1825">
        <f>+'Ötv''siz Deniz'!M179+'Ötv''li Deniz'!M179</f>
        <v>0</v>
      </c>
      <c r="N179" s="1825">
        <f>+'Ötv''siz Deniz'!N179+'Ötv''li Deniz'!N179</f>
        <v>0</v>
      </c>
      <c r="O179" s="1826">
        <f>+'Ötv''siz Deniz'!O179+'Ötv''li Deniz'!O179</f>
        <v>0</v>
      </c>
      <c r="P179" s="1827">
        <f>+'Ötv''siz Deniz'!P179+'Ötv''li Deniz'!P179</f>
        <v>0</v>
      </c>
      <c r="Q179" s="514" t="str">
        <f t="shared" ref="Q179" si="111">IF(P179=0,"-",P179/C179-1)</f>
        <v>-</v>
      </c>
    </row>
    <row r="180" spans="1:22" ht="21" customHeight="1">
      <c r="A180" s="483" t="s">
        <v>70</v>
      </c>
      <c r="B180" s="511">
        <f>B90-B179</f>
        <v>0</v>
      </c>
      <c r="C180" s="1282">
        <f t="shared" ref="C180:P180" si="112">C90-C179</f>
        <v>0</v>
      </c>
      <c r="D180" s="513">
        <f t="shared" si="112"/>
        <v>0</v>
      </c>
      <c r="E180" s="487">
        <f t="shared" si="112"/>
        <v>0</v>
      </c>
      <c r="F180" s="487">
        <f t="shared" si="112"/>
        <v>0</v>
      </c>
      <c r="G180" s="487">
        <f t="shared" si="112"/>
        <v>0</v>
      </c>
      <c r="H180" s="487">
        <f t="shared" si="112"/>
        <v>0</v>
      </c>
      <c r="I180" s="487">
        <f t="shared" si="112"/>
        <v>0</v>
      </c>
      <c r="J180" s="487">
        <f t="shared" si="112"/>
        <v>0</v>
      </c>
      <c r="K180" s="487">
        <f t="shared" si="112"/>
        <v>0</v>
      </c>
      <c r="L180" s="487">
        <f t="shared" si="112"/>
        <v>0</v>
      </c>
      <c r="M180" s="487">
        <f t="shared" si="112"/>
        <v>0</v>
      </c>
      <c r="N180" s="487">
        <f t="shared" si="112"/>
        <v>0</v>
      </c>
      <c r="O180" s="488">
        <f t="shared" si="112"/>
        <v>0</v>
      </c>
      <c r="P180" s="391">
        <f t="shared" si="112"/>
        <v>0</v>
      </c>
      <c r="Q180" s="514" t="str">
        <f>IF(P180=0,"-",P180/C180-1)</f>
        <v>-</v>
      </c>
      <c r="R180" s="353">
        <f>+'Ötv''siz Deniz'!P180+'Ötv''li Deniz'!P180</f>
        <v>0</v>
      </c>
    </row>
    <row r="181" spans="1:22" ht="21" customHeight="1">
      <c r="A181" s="476" t="s">
        <v>71</v>
      </c>
      <c r="B181" s="507">
        <f>B113</f>
        <v>0</v>
      </c>
      <c r="C181" s="1281">
        <f t="shared" ref="C181:P181" si="113">C113</f>
        <v>0</v>
      </c>
      <c r="D181" s="509">
        <f t="shared" si="113"/>
        <v>0</v>
      </c>
      <c r="E181" s="480">
        <f t="shared" si="113"/>
        <v>0</v>
      </c>
      <c r="F181" s="480">
        <f t="shared" si="113"/>
        <v>0</v>
      </c>
      <c r="G181" s="480">
        <f t="shared" si="113"/>
        <v>0</v>
      </c>
      <c r="H181" s="480">
        <f t="shared" si="113"/>
        <v>0</v>
      </c>
      <c r="I181" s="480">
        <f t="shared" si="113"/>
        <v>0</v>
      </c>
      <c r="J181" s="480">
        <f t="shared" si="113"/>
        <v>0</v>
      </c>
      <c r="K181" s="480">
        <f t="shared" si="113"/>
        <v>0</v>
      </c>
      <c r="L181" s="480">
        <f t="shared" si="113"/>
        <v>0</v>
      </c>
      <c r="M181" s="480">
        <f t="shared" si="113"/>
        <v>0</v>
      </c>
      <c r="N181" s="480">
        <f t="shared" si="113"/>
        <v>0</v>
      </c>
      <c r="O181" s="481">
        <f t="shared" si="113"/>
        <v>0</v>
      </c>
      <c r="P181" s="394">
        <f t="shared" si="113"/>
        <v>0</v>
      </c>
      <c r="Q181" s="510" t="str">
        <f t="shared" ref="Q181:Q187" si="114">IF(P181=0,"-",P181/C181-1)</f>
        <v>-</v>
      </c>
      <c r="R181" s="353">
        <f>+'Ötv''siz Deniz'!P181+'Ötv''li Deniz'!P181</f>
        <v>0</v>
      </c>
    </row>
    <row r="182" spans="1:22" ht="21" customHeight="1">
      <c r="A182" s="483" t="s">
        <v>36</v>
      </c>
      <c r="B182" s="511">
        <f>B136</f>
        <v>0</v>
      </c>
      <c r="C182" s="1282">
        <f t="shared" ref="C182:O182" si="115">C136</f>
        <v>0</v>
      </c>
      <c r="D182" s="513">
        <f t="shared" si="115"/>
        <v>0</v>
      </c>
      <c r="E182" s="487">
        <f t="shared" si="115"/>
        <v>0</v>
      </c>
      <c r="F182" s="487">
        <f t="shared" si="115"/>
        <v>0</v>
      </c>
      <c r="G182" s="487">
        <f t="shared" si="115"/>
        <v>0</v>
      </c>
      <c r="H182" s="487">
        <f t="shared" si="115"/>
        <v>0</v>
      </c>
      <c r="I182" s="487">
        <f t="shared" si="115"/>
        <v>0</v>
      </c>
      <c r="J182" s="487">
        <f t="shared" si="115"/>
        <v>0</v>
      </c>
      <c r="K182" s="487">
        <f t="shared" si="115"/>
        <v>0</v>
      </c>
      <c r="L182" s="487">
        <f t="shared" si="115"/>
        <v>0</v>
      </c>
      <c r="M182" s="487">
        <f t="shared" si="115"/>
        <v>0</v>
      </c>
      <c r="N182" s="487">
        <f t="shared" si="115"/>
        <v>0</v>
      </c>
      <c r="O182" s="488">
        <f t="shared" si="115"/>
        <v>0</v>
      </c>
      <c r="P182" s="391">
        <f>P136</f>
        <v>0</v>
      </c>
      <c r="Q182" s="514" t="str">
        <f>IF(P182=0,"-",P182/C182-1)</f>
        <v>-</v>
      </c>
      <c r="R182" s="353">
        <f>+'Ötv''siz Deniz'!P182+'Ötv''li Deniz'!P182</f>
        <v>0</v>
      </c>
    </row>
    <row r="183" spans="1:22" s="639" customFormat="1" ht="21" customHeight="1">
      <c r="A183" s="632" t="s">
        <v>73</v>
      </c>
      <c r="B183" s="633" t="e">
        <f>B182/B180</f>
        <v>#DIV/0!</v>
      </c>
      <c r="C183" s="1283" t="e">
        <f t="shared" ref="C183:O183" si="116">C182/C180</f>
        <v>#DIV/0!</v>
      </c>
      <c r="D183" s="634" t="e">
        <f t="shared" si="116"/>
        <v>#DIV/0!</v>
      </c>
      <c r="E183" s="635" t="e">
        <f t="shared" si="116"/>
        <v>#DIV/0!</v>
      </c>
      <c r="F183" s="635" t="e">
        <f t="shared" si="116"/>
        <v>#DIV/0!</v>
      </c>
      <c r="G183" s="635" t="e">
        <f t="shared" si="116"/>
        <v>#DIV/0!</v>
      </c>
      <c r="H183" s="635" t="e">
        <f t="shared" si="116"/>
        <v>#DIV/0!</v>
      </c>
      <c r="I183" s="635" t="e">
        <f t="shared" si="116"/>
        <v>#DIV/0!</v>
      </c>
      <c r="J183" s="635" t="e">
        <f t="shared" si="116"/>
        <v>#DIV/0!</v>
      </c>
      <c r="K183" s="635" t="e">
        <f t="shared" si="116"/>
        <v>#DIV/0!</v>
      </c>
      <c r="L183" s="635" t="e">
        <f t="shared" si="116"/>
        <v>#DIV/0!</v>
      </c>
      <c r="M183" s="635" t="e">
        <f t="shared" si="116"/>
        <v>#DIV/0!</v>
      </c>
      <c r="N183" s="635" t="e">
        <f t="shared" si="116"/>
        <v>#DIV/0!</v>
      </c>
      <c r="O183" s="636" t="e">
        <f t="shared" si="116"/>
        <v>#DIV/0!</v>
      </c>
      <c r="P183" s="637" t="e">
        <f>P182/P180</f>
        <v>#DIV/0!</v>
      </c>
      <c r="Q183" s="638" t="e">
        <f t="shared" si="114"/>
        <v>#DIV/0!</v>
      </c>
      <c r="R183" s="639" t="e">
        <f>+'Ötv''siz Deniz'!P183+'Ötv''li Deniz'!P183</f>
        <v>#DIV/0!</v>
      </c>
      <c r="S183" s="352"/>
      <c r="T183" s="352"/>
      <c r="U183" s="352"/>
      <c r="V183" s="352"/>
    </row>
    <row r="184" spans="1:22" ht="21" customHeight="1">
      <c r="A184" s="483" t="s">
        <v>75</v>
      </c>
      <c r="B184" s="511">
        <f>B140</f>
        <v>0</v>
      </c>
      <c r="C184" s="1282">
        <f t="shared" ref="C184:P184" si="117">C140</f>
        <v>0</v>
      </c>
      <c r="D184" s="513">
        <f>D140</f>
        <v>0</v>
      </c>
      <c r="E184" s="487">
        <f t="shared" si="117"/>
        <v>0</v>
      </c>
      <c r="F184" s="487">
        <f t="shared" si="117"/>
        <v>0</v>
      </c>
      <c r="G184" s="487">
        <f t="shared" si="117"/>
        <v>0</v>
      </c>
      <c r="H184" s="487">
        <f t="shared" si="117"/>
        <v>0</v>
      </c>
      <c r="I184" s="487">
        <f t="shared" si="117"/>
        <v>0</v>
      </c>
      <c r="J184" s="487">
        <f t="shared" si="117"/>
        <v>0</v>
      </c>
      <c r="K184" s="487">
        <f t="shared" si="117"/>
        <v>0</v>
      </c>
      <c r="L184" s="487">
        <f t="shared" si="117"/>
        <v>0</v>
      </c>
      <c r="M184" s="487">
        <f t="shared" si="117"/>
        <v>0</v>
      </c>
      <c r="N184" s="487">
        <f t="shared" si="117"/>
        <v>0</v>
      </c>
      <c r="O184" s="487">
        <f t="shared" si="117"/>
        <v>0</v>
      </c>
      <c r="P184" s="391">
        <f t="shared" si="117"/>
        <v>0</v>
      </c>
      <c r="Q184" s="514" t="str">
        <f t="shared" si="114"/>
        <v>-</v>
      </c>
      <c r="R184" s="353">
        <f>+'Ötv''siz Deniz'!P184+'Ötv''li Deniz'!P184</f>
        <v>0</v>
      </c>
    </row>
    <row r="185" spans="1:22" s="642" customFormat="1" ht="21" customHeight="1">
      <c r="A185" s="640" t="s">
        <v>74</v>
      </c>
      <c r="B185" s="641" t="e">
        <f t="shared" ref="B185:P185" si="118">B184/B180</f>
        <v>#DIV/0!</v>
      </c>
      <c r="C185" s="1284" t="e">
        <f t="shared" si="118"/>
        <v>#DIV/0!</v>
      </c>
      <c r="D185" s="526" t="e">
        <f t="shared" si="118"/>
        <v>#DIV/0!</v>
      </c>
      <c r="E185" s="527" t="e">
        <f t="shared" si="118"/>
        <v>#DIV/0!</v>
      </c>
      <c r="F185" s="527" t="e">
        <f t="shared" si="118"/>
        <v>#DIV/0!</v>
      </c>
      <c r="G185" s="527" t="e">
        <f t="shared" si="118"/>
        <v>#DIV/0!</v>
      </c>
      <c r="H185" s="527" t="e">
        <f t="shared" si="118"/>
        <v>#DIV/0!</v>
      </c>
      <c r="I185" s="527" t="e">
        <f t="shared" si="118"/>
        <v>#DIV/0!</v>
      </c>
      <c r="J185" s="527" t="e">
        <f t="shared" si="118"/>
        <v>#DIV/0!</v>
      </c>
      <c r="K185" s="527" t="e">
        <f t="shared" si="118"/>
        <v>#DIV/0!</v>
      </c>
      <c r="L185" s="527" t="e">
        <f t="shared" si="118"/>
        <v>#DIV/0!</v>
      </c>
      <c r="M185" s="527" t="e">
        <f t="shared" si="118"/>
        <v>#DIV/0!</v>
      </c>
      <c r="N185" s="527" t="e">
        <f t="shared" si="118"/>
        <v>#DIV/0!</v>
      </c>
      <c r="O185" s="528" t="e">
        <f t="shared" si="118"/>
        <v>#DIV/0!</v>
      </c>
      <c r="P185" s="529" t="e">
        <f t="shared" si="118"/>
        <v>#DIV/0!</v>
      </c>
      <c r="Q185" s="530" t="e">
        <f>IF(P185=0,"-",P185/C185-1)</f>
        <v>#DIV/0!</v>
      </c>
      <c r="R185" s="631" t="e">
        <f>+'Ötv''siz Deniz'!P185+'Ötv''li Deniz'!P185</f>
        <v>#DIV/0!</v>
      </c>
      <c r="S185" s="531"/>
      <c r="T185" s="531"/>
      <c r="U185" s="531"/>
      <c r="V185" s="531"/>
    </row>
    <row r="186" spans="1:22" s="281" customFormat="1" ht="21" customHeight="1" thickBot="1">
      <c r="A186" s="532" t="s">
        <v>79</v>
      </c>
      <c r="B186" s="533">
        <f>B182-B184</f>
        <v>0</v>
      </c>
      <c r="C186" s="534">
        <f t="shared" ref="C186" si="119">C182-C184</f>
        <v>0</v>
      </c>
      <c r="D186" s="535">
        <f>D182-D184/1000</f>
        <v>0</v>
      </c>
      <c r="E186" s="536">
        <f t="shared" ref="E186:P186" si="120">E182-E184/1000</f>
        <v>0</v>
      </c>
      <c r="F186" s="536">
        <f t="shared" si="120"/>
        <v>0</v>
      </c>
      <c r="G186" s="536">
        <f t="shared" si="120"/>
        <v>0</v>
      </c>
      <c r="H186" s="536">
        <f t="shared" si="120"/>
        <v>0</v>
      </c>
      <c r="I186" s="536">
        <f t="shared" si="120"/>
        <v>0</v>
      </c>
      <c r="J186" s="536">
        <f t="shared" si="120"/>
        <v>0</v>
      </c>
      <c r="K186" s="536">
        <f t="shared" si="120"/>
        <v>0</v>
      </c>
      <c r="L186" s="536">
        <f t="shared" si="120"/>
        <v>0</v>
      </c>
      <c r="M186" s="536">
        <f t="shared" si="120"/>
        <v>0</v>
      </c>
      <c r="N186" s="536">
        <f t="shared" si="120"/>
        <v>0</v>
      </c>
      <c r="O186" s="537">
        <f t="shared" si="120"/>
        <v>0</v>
      </c>
      <c r="P186" s="496">
        <f t="shared" si="120"/>
        <v>0</v>
      </c>
      <c r="Q186" s="538" t="str">
        <f t="shared" si="114"/>
        <v>-</v>
      </c>
      <c r="R186" s="353">
        <f>+'Ötv''siz Deniz'!P186+'Ötv''li Deniz'!P186</f>
        <v>0</v>
      </c>
    </row>
    <row r="187" spans="1:22" s="281" customFormat="1" ht="21" customHeight="1" thickBot="1">
      <c r="A187" s="539" t="s">
        <v>80</v>
      </c>
      <c r="B187" s="540" t="e">
        <f>B186/B180</f>
        <v>#DIV/0!</v>
      </c>
      <c r="C187" s="1285" t="e">
        <f t="shared" ref="C187:P187" si="121">C186/C180</f>
        <v>#DIV/0!</v>
      </c>
      <c r="D187" s="542" t="e">
        <f t="shared" si="121"/>
        <v>#DIV/0!</v>
      </c>
      <c r="E187" s="543" t="e">
        <f t="shared" si="121"/>
        <v>#DIV/0!</v>
      </c>
      <c r="F187" s="543" t="e">
        <f t="shared" si="121"/>
        <v>#DIV/0!</v>
      </c>
      <c r="G187" s="543" t="e">
        <f t="shared" si="121"/>
        <v>#DIV/0!</v>
      </c>
      <c r="H187" s="543" t="e">
        <f t="shared" si="121"/>
        <v>#DIV/0!</v>
      </c>
      <c r="I187" s="543" t="e">
        <f t="shared" si="121"/>
        <v>#DIV/0!</v>
      </c>
      <c r="J187" s="543" t="e">
        <f t="shared" si="121"/>
        <v>#DIV/0!</v>
      </c>
      <c r="K187" s="543" t="e">
        <f t="shared" si="121"/>
        <v>#DIV/0!</v>
      </c>
      <c r="L187" s="543" t="e">
        <f t="shared" si="121"/>
        <v>#DIV/0!</v>
      </c>
      <c r="M187" s="543" t="e">
        <f t="shared" si="121"/>
        <v>#DIV/0!</v>
      </c>
      <c r="N187" s="543" t="e">
        <f t="shared" si="121"/>
        <v>#DIV/0!</v>
      </c>
      <c r="O187" s="544" t="e">
        <f t="shared" si="121"/>
        <v>#DIV/0!</v>
      </c>
      <c r="P187" s="545" t="e">
        <f t="shared" si="121"/>
        <v>#DIV/0!</v>
      </c>
      <c r="Q187" s="546" t="e">
        <f t="shared" si="114"/>
        <v>#DIV/0!</v>
      </c>
      <c r="R187" s="353" t="e">
        <f>+'Ötv''siz Deniz'!P187+'Ötv''li Deniz'!P187</f>
        <v>#DIV/0!</v>
      </c>
    </row>
  </sheetData>
  <mergeCells count="16">
    <mergeCell ref="B2:C2"/>
    <mergeCell ref="D2:P2"/>
    <mergeCell ref="B23:C23"/>
    <mergeCell ref="D23:P23"/>
    <mergeCell ref="B46:C46"/>
    <mergeCell ref="D46:P46"/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</mergeCells>
  <pageMargins left="0.25" right="0.25" top="0.75" bottom="0.75" header="0.3" footer="0.3"/>
  <pageSetup paperSize="9" scale="73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V187"/>
  <sheetViews>
    <sheetView zoomScale="85" zoomScaleNormal="85" workbookViewId="0">
      <selection activeCell="B30" sqref="B30"/>
    </sheetView>
  </sheetViews>
  <sheetFormatPr defaultColWidth="9.109375" defaultRowHeight="14.4"/>
  <cols>
    <col min="1" max="1" width="32.5546875" style="352" customWidth="1"/>
    <col min="2" max="2" width="13.44140625" style="352" customWidth="1"/>
    <col min="3" max="3" width="11.88671875" style="352" customWidth="1"/>
    <col min="4" max="4" width="10.88671875" style="352" bestFit="1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7" width="10.109375" style="352" bestFit="1" customWidth="1"/>
    <col min="18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7" t="s">
        <v>637</v>
      </c>
      <c r="E2" s="2378"/>
      <c r="F2" s="2378"/>
      <c r="G2" s="2378"/>
      <c r="H2" s="2378"/>
      <c r="I2" s="2378"/>
      <c r="J2" s="2378"/>
      <c r="K2" s="2378"/>
      <c r="L2" s="2378"/>
      <c r="M2" s="2378"/>
      <c r="N2" s="2378"/>
      <c r="O2" s="2378"/>
      <c r="P2" s="2379"/>
      <c r="Q2" s="355" t="s">
        <v>679</v>
      </c>
    </row>
    <row r="3" spans="1:22" ht="30.75" customHeight="1" thickBot="1">
      <c r="A3" s="356"/>
      <c r="B3" s="357" t="s">
        <v>657</v>
      </c>
      <c r="C3" s="357" t="s">
        <v>663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367" t="str">
        <f t="shared" ref="Q4:Q16" si="3">IF(P4=0,"-",P4/C4-1)</f>
        <v>-</v>
      </c>
    </row>
    <row r="5" spans="1:22" ht="16.5" customHeight="1">
      <c r="A5" s="368" t="s">
        <v>15</v>
      </c>
      <c r="B5" s="369">
        <v>0</v>
      </c>
      <c r="C5" s="370">
        <f>+B5/10*12</f>
        <v>0</v>
      </c>
      <c r="D5" s="371"/>
      <c r="E5" s="372"/>
      <c r="F5" s="372"/>
      <c r="G5" s="372"/>
      <c r="H5" s="373"/>
      <c r="I5" s="373"/>
      <c r="J5" s="373"/>
      <c r="K5" s="373"/>
      <c r="L5" s="373"/>
      <c r="M5" s="373"/>
      <c r="N5" s="373"/>
      <c r="O5" s="374"/>
      <c r="P5" s="369">
        <f t="shared" si="2"/>
        <v>0</v>
      </c>
      <c r="Q5" s="375" t="str">
        <f t="shared" si="3"/>
        <v>-</v>
      </c>
      <c r="S5" s="376"/>
      <c r="T5" s="376"/>
      <c r="U5" s="376"/>
      <c r="V5" s="376"/>
    </row>
    <row r="6" spans="1:22" ht="16.5" hidden="1" customHeight="1">
      <c r="A6" s="377" t="s">
        <v>16</v>
      </c>
      <c r="B6" s="378"/>
      <c r="C6" s="379"/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384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+C6+C5</f>
        <v>0</v>
      </c>
      <c r="D7" s="388">
        <f>SUM(D5:D6)</f>
        <v>0</v>
      </c>
      <c r="E7" s="389">
        <f t="shared" ref="E7:O7" si="4">SUM(E5:E6)</f>
        <v>0</v>
      </c>
      <c r="F7" s="389">
        <f t="shared" si="4"/>
        <v>0</v>
      </c>
      <c r="G7" s="389">
        <f t="shared" si="4"/>
        <v>0</v>
      </c>
      <c r="H7" s="389">
        <f t="shared" si="4"/>
        <v>0</v>
      </c>
      <c r="I7" s="389">
        <f t="shared" si="4"/>
        <v>0</v>
      </c>
      <c r="J7" s="389">
        <f t="shared" si="4"/>
        <v>0</v>
      </c>
      <c r="K7" s="389">
        <f t="shared" si="4"/>
        <v>0</v>
      </c>
      <c r="L7" s="389">
        <f t="shared" si="4"/>
        <v>0</v>
      </c>
      <c r="M7" s="389">
        <f t="shared" si="4"/>
        <v>0</v>
      </c>
      <c r="N7" s="389">
        <f t="shared" si="4"/>
        <v>0</v>
      </c>
      <c r="O7" s="390">
        <f t="shared" si="4"/>
        <v>0</v>
      </c>
      <c r="P7" s="391">
        <f t="shared" si="2"/>
        <v>0</v>
      </c>
      <c r="Q7" s="392" t="str">
        <f t="shared" si="3"/>
        <v>-</v>
      </c>
      <c r="R7" s="352"/>
    </row>
    <row r="8" spans="1:22" ht="16.5" customHeight="1">
      <c r="A8" s="393" t="s">
        <v>17</v>
      </c>
      <c r="B8" s="1448"/>
      <c r="C8" s="398">
        <f>+B8/10*12</f>
        <v>0</v>
      </c>
      <c r="D8" s="396"/>
      <c r="E8" s="397"/>
      <c r="F8" s="397"/>
      <c r="G8" s="397"/>
      <c r="H8" s="397"/>
      <c r="I8" s="397"/>
      <c r="J8" s="397"/>
      <c r="K8" s="397"/>
      <c r="L8" s="397"/>
      <c r="M8" s="397"/>
      <c r="N8" s="397"/>
      <c r="O8" s="398"/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2177"/>
      <c r="C9" s="370">
        <f>B9/10*12</f>
        <v>0</v>
      </c>
      <c r="D9" s="402"/>
      <c r="E9" s="403"/>
      <c r="F9" s="403"/>
      <c r="G9" s="403"/>
      <c r="H9" s="403"/>
      <c r="I9" s="403"/>
      <c r="J9" s="403"/>
      <c r="K9" s="403"/>
      <c r="L9" s="403"/>
      <c r="M9" s="403"/>
      <c r="N9" s="403"/>
      <c r="O9" s="404"/>
      <c r="P9" s="386">
        <f t="shared" si="2"/>
        <v>0</v>
      </c>
      <c r="Q9" s="405" t="str">
        <f t="shared" si="3"/>
        <v>-</v>
      </c>
      <c r="R9" s="352" t="e">
        <f>+P9/P13</f>
        <v>#DIV/0!</v>
      </c>
    </row>
    <row r="10" spans="1:22" ht="16.5" hidden="1" customHeight="1">
      <c r="A10" s="406" t="s">
        <v>82</v>
      </c>
      <c r="B10" s="394"/>
      <c r="C10" s="370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384" t="str">
        <f t="shared" si="3"/>
        <v>-</v>
      </c>
    </row>
    <row r="11" spans="1:22" ht="16.5" customHeight="1">
      <c r="A11" s="400" t="s">
        <v>83</v>
      </c>
      <c r="B11" s="408"/>
      <c r="C11" s="370"/>
      <c r="D11" s="402">
        <f>+'DAĞITICI-ÖTV''SİZ-İHALE HEDEF'!C10</f>
        <v>0</v>
      </c>
      <c r="E11" s="403">
        <f>+'DAĞITICI-ÖTV''SİZ-İHALE HEDEF'!D10</f>
        <v>0</v>
      </c>
      <c r="F11" s="403">
        <f>+'DAĞITICI-ÖTV''SİZ-İHALE HEDEF'!E10</f>
        <v>0</v>
      </c>
      <c r="G11" s="403">
        <f>+'DAĞITICI-ÖTV''SİZ-İHALE HEDEF'!F10</f>
        <v>0</v>
      </c>
      <c r="H11" s="403">
        <f>+'DAĞITICI-ÖTV''SİZ-İHALE HEDEF'!G10</f>
        <v>0</v>
      </c>
      <c r="I11" s="403">
        <f>+'DAĞITICI-ÖTV''SİZ-İHALE HEDEF'!H10</f>
        <v>0</v>
      </c>
      <c r="J11" s="403">
        <f>+'DAĞITICI-ÖTV''SİZ-İHALE HEDEF'!I10</f>
        <v>0</v>
      </c>
      <c r="K11" s="403">
        <f>+'DAĞITICI-ÖTV''SİZ-İHALE HEDEF'!J10</f>
        <v>0</v>
      </c>
      <c r="L11" s="403">
        <f>+'DAĞITICI-ÖTV''SİZ-İHALE HEDEF'!K10</f>
        <v>0</v>
      </c>
      <c r="M11" s="403">
        <f>+'DAĞITICI-ÖTV''SİZ-İHALE HEDEF'!L10</f>
        <v>0</v>
      </c>
      <c r="N11" s="403">
        <f>+'DAĞITICI-ÖTV''SİZ-İHALE HEDEF'!M10</f>
        <v>0</v>
      </c>
      <c r="O11" s="404">
        <f>+'DAĞITICI-ÖTV''SİZ-İHALE HEDEF'!N10</f>
        <v>0</v>
      </c>
      <c r="P11" s="386">
        <f t="shared" si="2"/>
        <v>0</v>
      </c>
      <c r="Q11" s="405" t="str">
        <f t="shared" si="3"/>
        <v>-</v>
      </c>
      <c r="R11" s="352" t="e">
        <f>+P11/P13</f>
        <v>#DIV/0!</v>
      </c>
    </row>
    <row r="12" spans="1:22" ht="16.5" hidden="1" customHeight="1">
      <c r="A12" s="406" t="s">
        <v>84</v>
      </c>
      <c r="B12" s="378"/>
      <c r="C12" s="379"/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384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11">
        <f>SUM(B9:B12)</f>
        <v>0</v>
      </c>
      <c r="C13" s="412">
        <f>SUM(C9:C12)</f>
        <v>0</v>
      </c>
      <c r="D13" s="413">
        <f>SUM(D9:D12)</f>
        <v>0</v>
      </c>
      <c r="E13" s="414">
        <f t="shared" ref="E13:O13" si="5">SUM(E9:E12)</f>
        <v>0</v>
      </c>
      <c r="F13" s="414">
        <f t="shared" si="5"/>
        <v>0</v>
      </c>
      <c r="G13" s="414">
        <f t="shared" si="5"/>
        <v>0</v>
      </c>
      <c r="H13" s="414">
        <f t="shared" si="5"/>
        <v>0</v>
      </c>
      <c r="I13" s="414">
        <f t="shared" si="5"/>
        <v>0</v>
      </c>
      <c r="J13" s="414">
        <f t="shared" si="5"/>
        <v>0</v>
      </c>
      <c r="K13" s="414">
        <f t="shared" si="5"/>
        <v>0</v>
      </c>
      <c r="L13" s="414">
        <f t="shared" si="5"/>
        <v>0</v>
      </c>
      <c r="M13" s="414">
        <f t="shared" si="5"/>
        <v>0</v>
      </c>
      <c r="N13" s="414">
        <f t="shared" si="5"/>
        <v>0</v>
      </c>
      <c r="O13" s="412">
        <f t="shared" si="5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6">SUM(B15:B16)</f>
        <v>0</v>
      </c>
      <c r="C14" s="364">
        <f t="shared" si="6"/>
        <v>0</v>
      </c>
      <c r="D14" s="417">
        <f>SUM(D15:D16)</f>
        <v>0</v>
      </c>
      <c r="E14" s="418">
        <f t="shared" ref="E14:O14" si="7">SUM(E15:E16)</f>
        <v>0</v>
      </c>
      <c r="F14" s="418">
        <f t="shared" si="7"/>
        <v>0</v>
      </c>
      <c r="G14" s="418">
        <f t="shared" si="7"/>
        <v>0</v>
      </c>
      <c r="H14" s="418">
        <f t="shared" si="7"/>
        <v>0</v>
      </c>
      <c r="I14" s="418">
        <f t="shared" si="7"/>
        <v>0</v>
      </c>
      <c r="J14" s="418">
        <f t="shared" si="7"/>
        <v>0</v>
      </c>
      <c r="K14" s="418">
        <f t="shared" si="7"/>
        <v>0</v>
      </c>
      <c r="L14" s="418">
        <f t="shared" si="7"/>
        <v>0</v>
      </c>
      <c r="M14" s="418">
        <f t="shared" si="7"/>
        <v>0</v>
      </c>
      <c r="N14" s="418">
        <f t="shared" si="7"/>
        <v>0</v>
      </c>
      <c r="O14" s="419">
        <f t="shared" si="7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>
        <v>0</v>
      </c>
      <c r="C15" s="370">
        <f>+B15/10*12</f>
        <v>0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>
        <v>0</v>
      </c>
      <c r="C16" s="370">
        <f>+B16/10*12</f>
        <v>0</v>
      </c>
      <c r="D16" s="433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5"/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:C17" si="8">SUM(B18:B19)</f>
        <v>0</v>
      </c>
      <c r="C17" s="364">
        <f t="shared" si="8"/>
        <v>0</v>
      </c>
      <c r="D17" s="417">
        <f>SUM(D18:D19)</f>
        <v>0</v>
      </c>
      <c r="E17" s="418">
        <f t="shared" ref="E17:O17" si="9">SUM(E18:E19)</f>
        <v>0</v>
      </c>
      <c r="F17" s="418">
        <f t="shared" si="9"/>
        <v>0</v>
      </c>
      <c r="G17" s="418">
        <f t="shared" si="9"/>
        <v>0</v>
      </c>
      <c r="H17" s="418">
        <f t="shared" si="9"/>
        <v>0</v>
      </c>
      <c r="I17" s="418">
        <f t="shared" si="9"/>
        <v>0</v>
      </c>
      <c r="J17" s="418">
        <f t="shared" si="9"/>
        <v>0</v>
      </c>
      <c r="K17" s="418">
        <f t="shared" si="9"/>
        <v>0</v>
      </c>
      <c r="L17" s="418">
        <f t="shared" si="9"/>
        <v>0</v>
      </c>
      <c r="M17" s="418">
        <f t="shared" si="9"/>
        <v>0</v>
      </c>
      <c r="N17" s="418">
        <f t="shared" si="9"/>
        <v>0</v>
      </c>
      <c r="O17" s="419">
        <f t="shared" si="9"/>
        <v>0</v>
      </c>
      <c r="P17" s="420">
        <f t="shared" si="2"/>
        <v>0</v>
      </c>
      <c r="Q17" s="421" t="str">
        <f>IF(P17=0,"-",P17/C17-1)</f>
        <v>-</v>
      </c>
    </row>
    <row r="18" spans="1:22" ht="16.5" customHeight="1">
      <c r="A18" s="422" t="s">
        <v>106</v>
      </c>
      <c r="B18" s="423"/>
      <c r="C18" s="370">
        <f>+B18/10*12</f>
        <v>0</v>
      </c>
      <c r="D18" s="425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7"/>
      <c r="P18" s="428">
        <f t="shared" si="2"/>
        <v>0</v>
      </c>
      <c r="Q18" s="429" t="str">
        <f>IF(P18=0,"-",P18/C18-1)</f>
        <v>-</v>
      </c>
    </row>
    <row r="19" spans="1:22" ht="16.5" customHeight="1" thickBot="1">
      <c r="A19" s="438" t="s">
        <v>105</v>
      </c>
      <c r="B19" s="439">
        <v>0</v>
      </c>
      <c r="C19" s="1447">
        <f>+B19/10*12</f>
        <v>0</v>
      </c>
      <c r="D19" s="441"/>
      <c r="E19" s="442"/>
      <c r="F19" s="442"/>
      <c r="G19" s="442"/>
      <c r="H19" s="442"/>
      <c r="I19" s="442"/>
      <c r="J19" s="442"/>
      <c r="K19" s="442"/>
      <c r="L19" s="442"/>
      <c r="M19" s="442"/>
      <c r="N19" s="442"/>
      <c r="O19" s="443"/>
      <c r="P19" s="444">
        <f t="shared" si="2"/>
        <v>0</v>
      </c>
      <c r="Q19" s="445" t="str">
        <f>IF(P19=0,"-",P19/C19-1)</f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/>
    </row>
    <row r="21" spans="1:22" ht="22.5" customHeight="1" thickBot="1">
      <c r="A21" s="362" t="s">
        <v>85</v>
      </c>
      <c r="B21" s="363"/>
      <c r="C21" s="364"/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>IF(P21=0,"-",P21/C21-1)</f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7" t="s">
        <v>672</v>
      </c>
      <c r="E23" s="2378">
        <v>0</v>
      </c>
      <c r="F23" s="2378">
        <v>0</v>
      </c>
      <c r="G23" s="2378">
        <v>0</v>
      </c>
      <c r="H23" s="2378">
        <v>0</v>
      </c>
      <c r="I23" s="2378">
        <v>0</v>
      </c>
      <c r="J23" s="2378">
        <v>0</v>
      </c>
      <c r="K23" s="2378">
        <v>0</v>
      </c>
      <c r="L23" s="2378">
        <v>0</v>
      </c>
      <c r="M23" s="2378">
        <v>0</v>
      </c>
      <c r="N23" s="2378">
        <v>0</v>
      </c>
      <c r="O23" s="2378">
        <v>0</v>
      </c>
      <c r="P23" s="2379">
        <v>0</v>
      </c>
      <c r="Q23" s="355" t="s">
        <v>679</v>
      </c>
    </row>
    <row r="24" spans="1:22" ht="30.75" customHeight="1" thickBot="1">
      <c r="A24" s="356"/>
      <c r="B24" s="357" t="s">
        <v>657</v>
      </c>
      <c r="C24" s="357" t="s">
        <v>663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 t="shared" ref="C25:O25" si="10">C28+C29+C34</f>
        <v>0</v>
      </c>
      <c r="D25" s="365">
        <f t="shared" si="10"/>
        <v>0</v>
      </c>
      <c r="E25" s="366">
        <f t="shared" si="10"/>
        <v>0</v>
      </c>
      <c r="F25" s="366">
        <f t="shared" si="10"/>
        <v>0</v>
      </c>
      <c r="G25" s="366">
        <f t="shared" si="10"/>
        <v>0</v>
      </c>
      <c r="H25" s="366">
        <f t="shared" si="10"/>
        <v>0</v>
      </c>
      <c r="I25" s="366">
        <f t="shared" si="10"/>
        <v>0</v>
      </c>
      <c r="J25" s="366">
        <f t="shared" si="10"/>
        <v>0</v>
      </c>
      <c r="K25" s="366">
        <f t="shared" si="10"/>
        <v>0</v>
      </c>
      <c r="L25" s="366">
        <f t="shared" si="10"/>
        <v>0</v>
      </c>
      <c r="M25" s="366">
        <f t="shared" si="10"/>
        <v>0</v>
      </c>
      <c r="N25" s="366">
        <f t="shared" si="10"/>
        <v>0</v>
      </c>
      <c r="O25" s="364">
        <f t="shared" si="10"/>
        <v>0</v>
      </c>
      <c r="P25" s="363">
        <f t="shared" ref="P25:P44" si="11">SUM(D25:O25)</f>
        <v>0</v>
      </c>
      <c r="Q25" s="367" t="str">
        <f t="shared" ref="Q25:Q40" si="12">IF(P25=0,"-",P25/C25-1)</f>
        <v>-</v>
      </c>
    </row>
    <row r="26" spans="1:22" ht="16.5" customHeight="1">
      <c r="A26" s="368" t="s">
        <v>15</v>
      </c>
      <c r="B26" s="369">
        <f>B5*'Satış Fiyat'!B5</f>
        <v>0</v>
      </c>
      <c r="C26" s="370">
        <f>C5*'Satış Fiyat'!C5</f>
        <v>0</v>
      </c>
      <c r="D26" s="371">
        <f>D5*'Satış Fiyat'!D5</f>
        <v>0</v>
      </c>
      <c r="E26" s="372">
        <f>E5*'Satış Fiyat'!E5</f>
        <v>0</v>
      </c>
      <c r="F26" s="372">
        <f>F5*'Satış Fiyat'!F5</f>
        <v>0</v>
      </c>
      <c r="G26" s="372">
        <f>G5*'Satış Fiyat'!G5</f>
        <v>0</v>
      </c>
      <c r="H26" s="373">
        <f>H5*'Satış Fiyat'!H5</f>
        <v>0</v>
      </c>
      <c r="I26" s="373">
        <f>I5*'Satış Fiyat'!I5</f>
        <v>0</v>
      </c>
      <c r="J26" s="373">
        <f>J5*'Satış Fiyat'!J5</f>
        <v>0</v>
      </c>
      <c r="K26" s="373">
        <f>K5*'Satış Fiyat'!K5</f>
        <v>0</v>
      </c>
      <c r="L26" s="373">
        <f>L5*'Satış Fiyat'!L5</f>
        <v>0</v>
      </c>
      <c r="M26" s="373">
        <f>M5*'Satış Fiyat'!M5</f>
        <v>0</v>
      </c>
      <c r="N26" s="373">
        <f>N5*'Satış Fiyat'!N5</f>
        <v>0</v>
      </c>
      <c r="O26" s="374">
        <f>O5*'Satış Fiyat'!O5</f>
        <v>0</v>
      </c>
      <c r="P26" s="369">
        <f t="shared" si="11"/>
        <v>0</v>
      </c>
      <c r="Q26" s="375" t="str">
        <f t="shared" si="12"/>
        <v>-</v>
      </c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Fiyat'!B6</f>
        <v>0</v>
      </c>
      <c r="C27" s="379">
        <f>C6*'Satış Fiyat'!C6</f>
        <v>0</v>
      </c>
      <c r="D27" s="380">
        <f>D6*'Satış Fiyat'!D6</f>
        <v>0</v>
      </c>
      <c r="E27" s="381">
        <f>E6*'Satış Fiyat'!E6</f>
        <v>0</v>
      </c>
      <c r="F27" s="381">
        <f>F6*'Satış Fiyat'!F6</f>
        <v>0</v>
      </c>
      <c r="G27" s="381">
        <f>G6*'Satış Fiyat'!G6</f>
        <v>0</v>
      </c>
      <c r="H27" s="382">
        <f>H6*'Satış Fiyat'!H6</f>
        <v>0</v>
      </c>
      <c r="I27" s="382">
        <f>I6*'Satış Fiyat'!I6</f>
        <v>0</v>
      </c>
      <c r="J27" s="382">
        <f>J6*'Satış Fiyat'!J6</f>
        <v>0</v>
      </c>
      <c r="K27" s="382">
        <f>K6*'Satış Fiyat'!K6</f>
        <v>0</v>
      </c>
      <c r="L27" s="382">
        <f>L6*'Satış Fiyat'!L6</f>
        <v>0</v>
      </c>
      <c r="M27" s="382">
        <f>M6*'Satış Fiyat'!M6</f>
        <v>0</v>
      </c>
      <c r="N27" s="382">
        <f>N6*'Satış Fiyat'!N6</f>
        <v>0</v>
      </c>
      <c r="O27" s="383">
        <f>O6*'Satış Fiyat'!O6</f>
        <v>0</v>
      </c>
      <c r="P27" s="378">
        <f t="shared" si="11"/>
        <v>0</v>
      </c>
      <c r="Q27" s="384" t="str">
        <f t="shared" si="12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3">SUM(D26:D27)</f>
        <v>0</v>
      </c>
      <c r="E28" s="389">
        <f t="shared" si="13"/>
        <v>0</v>
      </c>
      <c r="F28" s="389">
        <f t="shared" si="13"/>
        <v>0</v>
      </c>
      <c r="G28" s="389">
        <f t="shared" si="13"/>
        <v>0</v>
      </c>
      <c r="H28" s="389">
        <f t="shared" si="13"/>
        <v>0</v>
      </c>
      <c r="I28" s="389">
        <f t="shared" si="13"/>
        <v>0</v>
      </c>
      <c r="J28" s="389">
        <f t="shared" si="13"/>
        <v>0</v>
      </c>
      <c r="K28" s="389">
        <f t="shared" si="13"/>
        <v>0</v>
      </c>
      <c r="L28" s="389">
        <f t="shared" si="13"/>
        <v>0</v>
      </c>
      <c r="M28" s="389">
        <f t="shared" si="13"/>
        <v>0</v>
      </c>
      <c r="N28" s="389">
        <f t="shared" si="13"/>
        <v>0</v>
      </c>
      <c r="O28" s="390">
        <f t="shared" si="13"/>
        <v>0</v>
      </c>
      <c r="P28" s="391">
        <f t="shared" si="11"/>
        <v>0</v>
      </c>
      <c r="Q28" s="449" t="str">
        <f t="shared" si="12"/>
        <v>-</v>
      </c>
    </row>
    <row r="29" spans="1:22" ht="16.5" customHeight="1">
      <c r="A29" s="393" t="s">
        <v>17</v>
      </c>
      <c r="B29" s="394">
        <f>B8*'Satış Fiyat'!B8</f>
        <v>0</v>
      </c>
      <c r="C29" s="395">
        <f>C8*'Satış Fiyat'!C8</f>
        <v>0</v>
      </c>
      <c r="D29" s="396">
        <f>D8*'Satış Fiyat'!D8</f>
        <v>0</v>
      </c>
      <c r="E29" s="397">
        <f>E8*'Satış Fiyat'!E8</f>
        <v>0</v>
      </c>
      <c r="F29" s="397">
        <f>F8*'Satış Fiyat'!F8</f>
        <v>0</v>
      </c>
      <c r="G29" s="397">
        <f>G8*'Satış Fiyat'!G8</f>
        <v>0</v>
      </c>
      <c r="H29" s="397">
        <f>H8*'Satış Fiyat'!H8</f>
        <v>0</v>
      </c>
      <c r="I29" s="397">
        <f>I8*'Satış Fiyat'!I8</f>
        <v>0</v>
      </c>
      <c r="J29" s="397">
        <f>J8*'Satış Fiyat'!J8</f>
        <v>0</v>
      </c>
      <c r="K29" s="397">
        <f>K8*'Satış Fiyat'!K8</f>
        <v>0</v>
      </c>
      <c r="L29" s="397">
        <f>L8*'Satış Fiyat'!L8</f>
        <v>0</v>
      </c>
      <c r="M29" s="397">
        <f>M8*'Satış Fiyat'!M8</f>
        <v>0</v>
      </c>
      <c r="N29" s="397">
        <f>N8*'Satış Fiyat'!N8</f>
        <v>0</v>
      </c>
      <c r="O29" s="398">
        <f>O8*'Satış Fiyat'!O8</f>
        <v>0</v>
      </c>
      <c r="P29" s="399">
        <f t="shared" si="11"/>
        <v>0</v>
      </c>
      <c r="Q29" s="384" t="str">
        <f t="shared" si="12"/>
        <v>-</v>
      </c>
    </row>
    <row r="30" spans="1:22" ht="16.5" customHeight="1">
      <c r="A30" s="400" t="s">
        <v>81</v>
      </c>
      <c r="B30" s="2177"/>
      <c r="C30" s="370">
        <f>B30/10*12</f>
        <v>0</v>
      </c>
      <c r="D30" s="1563">
        <f>D9*'DAĞITICI-ÖTV''SİZ-İHALE HEDEF'!C51</f>
        <v>0</v>
      </c>
      <c r="E30" s="1560">
        <f>E9*'DAĞITICI-ÖTV''SİZ-İHALE HEDEF'!D51</f>
        <v>0</v>
      </c>
      <c r="F30" s="1560">
        <f>F9*'DAĞITICI-ÖTV''SİZ-İHALE HEDEF'!E51</f>
        <v>0</v>
      </c>
      <c r="G30" s="1560">
        <f>G9*'DAĞITICI-ÖTV''SİZ-İHALE HEDEF'!F51</f>
        <v>0</v>
      </c>
      <c r="H30" s="1560">
        <f>H9*'DAĞITICI-ÖTV''SİZ-İHALE HEDEF'!G51</f>
        <v>0</v>
      </c>
      <c r="I30" s="1560">
        <f>I9*'DAĞITICI-ÖTV''SİZ-İHALE HEDEF'!H51</f>
        <v>0</v>
      </c>
      <c r="J30" s="1560">
        <f>J9*'DAĞITICI-ÖTV''SİZ-İHALE HEDEF'!I51</f>
        <v>0</v>
      </c>
      <c r="K30" s="1560">
        <f>K9*'DAĞITICI-ÖTV''SİZ-İHALE HEDEF'!J51</f>
        <v>0</v>
      </c>
      <c r="L30" s="1560">
        <f>L9*'DAĞITICI-ÖTV''SİZ-İHALE HEDEF'!K51</f>
        <v>0</v>
      </c>
      <c r="M30" s="1560">
        <f>M9*'DAĞITICI-ÖTV''SİZ-İHALE HEDEF'!L51</f>
        <v>0</v>
      </c>
      <c r="N30" s="1560">
        <f>N9*'DAĞITICI-ÖTV''SİZ-İHALE HEDEF'!M51</f>
        <v>0</v>
      </c>
      <c r="O30" s="387">
        <f>O9*'DAĞITICI-ÖTV''SİZ-İHALE HEDEF'!N51</f>
        <v>0</v>
      </c>
      <c r="P30" s="386">
        <f>SUM(D30:O30)</f>
        <v>0</v>
      </c>
      <c r="Q30" s="405" t="str">
        <f t="shared" si="12"/>
        <v>-</v>
      </c>
    </row>
    <row r="31" spans="1:22" ht="16.5" customHeight="1">
      <c r="A31" s="406" t="s">
        <v>82</v>
      </c>
      <c r="B31" s="394">
        <f>B10*'Satış Fiyat'!B10</f>
        <v>0</v>
      </c>
      <c r="C31" s="395">
        <f>C10*'Satış Fiyat'!C10</f>
        <v>0</v>
      </c>
      <c r="D31" s="396">
        <f>D10*'Satış Fiyat'!D10</f>
        <v>0</v>
      </c>
      <c r="E31" s="397">
        <f>E10*'Satış Fiyat'!E10</f>
        <v>0</v>
      </c>
      <c r="F31" s="397">
        <f>F10*'Satış Fiyat'!F10</f>
        <v>0</v>
      </c>
      <c r="G31" s="397">
        <f>G10*'Satış Fiyat'!G10</f>
        <v>0</v>
      </c>
      <c r="H31" s="397">
        <f>H10*'Satış Fiyat'!H10</f>
        <v>0</v>
      </c>
      <c r="I31" s="397">
        <f>I10*'Satış Fiyat'!I10</f>
        <v>0</v>
      </c>
      <c r="J31" s="397">
        <f>J10*'Satış Fiyat'!J10</f>
        <v>0</v>
      </c>
      <c r="K31" s="397">
        <f>K10*'Satış Fiyat'!K10</f>
        <v>0</v>
      </c>
      <c r="L31" s="397">
        <f>L10*'Satış Fiyat'!L10</f>
        <v>0</v>
      </c>
      <c r="M31" s="397">
        <f>M10*'Satış Fiyat'!M10</f>
        <v>0</v>
      </c>
      <c r="N31" s="397">
        <f>N10*'Satış Fiyat'!N10</f>
        <v>0</v>
      </c>
      <c r="O31" s="398">
        <f>O10*'Satış Fiyat'!O10</f>
        <v>0</v>
      </c>
      <c r="P31" s="399">
        <f t="shared" si="11"/>
        <v>0</v>
      </c>
      <c r="Q31" s="384" t="str">
        <f t="shared" si="12"/>
        <v>-</v>
      </c>
    </row>
    <row r="32" spans="1:22" ht="16.5" customHeight="1">
      <c r="A32" s="400" t="s">
        <v>83</v>
      </c>
      <c r="B32" s="408"/>
      <c r="C32" s="409"/>
      <c r="D32" s="402">
        <f>D11*'DAĞITICI-ÖTV''SİZ-İHALE HEDEF'!C52</f>
        <v>0</v>
      </c>
      <c r="E32" s="403">
        <f>E11*'DAĞITICI-ÖTV''SİZ-İHALE HEDEF'!D52</f>
        <v>0</v>
      </c>
      <c r="F32" s="389">
        <f>F11*'DAĞITICI-ÖTV''SİZ-İHALE HEDEF'!E52</f>
        <v>0</v>
      </c>
      <c r="G32" s="403">
        <f>G11*'DAĞITICI-ÖTV''SİZ-İHALE HEDEF'!F52</f>
        <v>0</v>
      </c>
      <c r="H32" s="403">
        <f>H11*'DAĞITICI-ÖTV''SİZ-İHALE HEDEF'!G52</f>
        <v>0</v>
      </c>
      <c r="I32" s="403">
        <f>I11*'DAĞITICI-ÖTV''SİZ-İHALE HEDEF'!H52</f>
        <v>0</v>
      </c>
      <c r="J32" s="403">
        <f>J11*'DAĞITICI-ÖTV''SİZ-İHALE HEDEF'!I52</f>
        <v>0</v>
      </c>
      <c r="K32" s="403">
        <f>K11*'DAĞITICI-ÖTV''SİZ-İHALE HEDEF'!J52</f>
        <v>0</v>
      </c>
      <c r="L32" s="403">
        <f>L11*'DAĞITICI-ÖTV''SİZ-İHALE HEDEF'!K52</f>
        <v>0</v>
      </c>
      <c r="M32" s="403">
        <f>M11*'DAĞITICI-ÖTV''SİZ-İHALE HEDEF'!L52</f>
        <v>0</v>
      </c>
      <c r="N32" s="403">
        <f>N11*'DAĞITICI-ÖTV''SİZ-İHALE HEDEF'!M52</f>
        <v>0</v>
      </c>
      <c r="O32" s="404">
        <f>O11*'DAĞITICI-ÖTV''SİZ-İHALE HEDEF'!N52</f>
        <v>0</v>
      </c>
      <c r="P32" s="386">
        <f t="shared" si="11"/>
        <v>0</v>
      </c>
      <c r="Q32" s="405" t="str">
        <f t="shared" si="12"/>
        <v>-</v>
      </c>
    </row>
    <row r="33" spans="1:22" ht="16.5" hidden="1" customHeight="1">
      <c r="A33" s="406" t="s">
        <v>84</v>
      </c>
      <c r="B33" s="378">
        <f>B12*'Satış Fiyat'!B12</f>
        <v>0</v>
      </c>
      <c r="C33" s="379">
        <f>C12*'Satış Fiyat'!C12</f>
        <v>0</v>
      </c>
      <c r="D33" s="407">
        <f>D12*'Satış Fiyat'!D12</f>
        <v>0</v>
      </c>
      <c r="E33" s="382">
        <f>E12*'Satış Fiyat'!E12</f>
        <v>0</v>
      </c>
      <c r="F33" s="382">
        <f>F12*'Satış Fiyat'!F12</f>
        <v>0</v>
      </c>
      <c r="G33" s="382">
        <f>G12*'Satış Fiyat'!G12</f>
        <v>0</v>
      </c>
      <c r="H33" s="382">
        <f>H12*'Satış Fiyat'!H12</f>
        <v>0</v>
      </c>
      <c r="I33" s="381">
        <f>I12*'Satış Fiyat'!I12</f>
        <v>0</v>
      </c>
      <c r="J33" s="381">
        <f>J12*'Satış Fiyat'!J12</f>
        <v>0</v>
      </c>
      <c r="K33" s="382">
        <f>K12*'Satış Fiyat'!K12</f>
        <v>0</v>
      </c>
      <c r="L33" s="382">
        <f>L12*'Satış Fiyat'!L12</f>
        <v>0</v>
      </c>
      <c r="M33" s="382">
        <f>M12*'Satış Fiyat'!M12</f>
        <v>0</v>
      </c>
      <c r="N33" s="382">
        <f>N12*'Satış Fiyat'!N12</f>
        <v>0</v>
      </c>
      <c r="O33" s="383">
        <f>O12*'Satış Fiyat'!O12</f>
        <v>0</v>
      </c>
      <c r="P33" s="399">
        <f t="shared" si="11"/>
        <v>0</v>
      </c>
      <c r="Q33" s="384" t="str">
        <f t="shared" si="12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4">SUM(E30:E33)</f>
        <v>0</v>
      </c>
      <c r="F34" s="414">
        <f t="shared" si="14"/>
        <v>0</v>
      </c>
      <c r="G34" s="414">
        <f t="shared" si="14"/>
        <v>0</v>
      </c>
      <c r="H34" s="414">
        <f t="shared" si="14"/>
        <v>0</v>
      </c>
      <c r="I34" s="414">
        <f t="shared" si="14"/>
        <v>0</v>
      </c>
      <c r="J34" s="414">
        <f t="shared" si="14"/>
        <v>0</v>
      </c>
      <c r="K34" s="414">
        <f t="shared" si="14"/>
        <v>0</v>
      </c>
      <c r="L34" s="414">
        <f t="shared" si="14"/>
        <v>0</v>
      </c>
      <c r="M34" s="414">
        <f t="shared" si="14"/>
        <v>0</v>
      </c>
      <c r="N34" s="414">
        <f t="shared" si="14"/>
        <v>0</v>
      </c>
      <c r="O34" s="412">
        <f t="shared" si="14"/>
        <v>0</v>
      </c>
      <c r="P34" s="411">
        <f t="shared" si="11"/>
        <v>0</v>
      </c>
      <c r="Q34" s="415" t="str">
        <f t="shared" si="12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:O35" si="15">SUM(C36:C37)</f>
        <v>0</v>
      </c>
      <c r="D35" s="417">
        <f t="shared" si="15"/>
        <v>0</v>
      </c>
      <c r="E35" s="418">
        <f t="shared" si="15"/>
        <v>0</v>
      </c>
      <c r="F35" s="418">
        <f t="shared" si="15"/>
        <v>0</v>
      </c>
      <c r="G35" s="418">
        <f t="shared" si="15"/>
        <v>0</v>
      </c>
      <c r="H35" s="418">
        <f t="shared" si="15"/>
        <v>0</v>
      </c>
      <c r="I35" s="418">
        <f t="shared" si="15"/>
        <v>0</v>
      </c>
      <c r="J35" s="418">
        <f t="shared" si="15"/>
        <v>0</v>
      </c>
      <c r="K35" s="418">
        <f t="shared" si="15"/>
        <v>0</v>
      </c>
      <c r="L35" s="418">
        <f t="shared" si="15"/>
        <v>0</v>
      </c>
      <c r="M35" s="418">
        <f t="shared" si="15"/>
        <v>0</v>
      </c>
      <c r="N35" s="418">
        <f t="shared" si="15"/>
        <v>0</v>
      </c>
      <c r="O35" s="419">
        <f t="shared" si="15"/>
        <v>0</v>
      </c>
      <c r="P35" s="420">
        <f t="shared" si="11"/>
        <v>0</v>
      </c>
      <c r="Q35" s="421" t="str">
        <f t="shared" si="12"/>
        <v>-</v>
      </c>
    </row>
    <row r="36" spans="1:22" ht="16.5" customHeight="1">
      <c r="A36" s="422" t="s">
        <v>19</v>
      </c>
      <c r="B36" s="423">
        <f>B15*'Satış Fiyat'!B15</f>
        <v>0</v>
      </c>
      <c r="C36" s="424">
        <f>C15*'Satış Fiyat'!C15</f>
        <v>0</v>
      </c>
      <c r="D36" s="425">
        <f>D15*'Satış Fiyat'!D15</f>
        <v>0</v>
      </c>
      <c r="E36" s="426">
        <f>E15*'Satış Fiyat'!E15</f>
        <v>0</v>
      </c>
      <c r="F36" s="426">
        <f>F15*'Satış Fiyat'!F15</f>
        <v>0</v>
      </c>
      <c r="G36" s="426">
        <f>G15*'Satış Fiyat'!G15</f>
        <v>0</v>
      </c>
      <c r="H36" s="426">
        <f>H15*'Satış Fiyat'!H15</f>
        <v>0</v>
      </c>
      <c r="I36" s="426">
        <f>I15*'Satış Fiyat'!I15</f>
        <v>0</v>
      </c>
      <c r="J36" s="426">
        <f>J15*'Satış Fiyat'!J15</f>
        <v>0</v>
      </c>
      <c r="K36" s="426">
        <f>K15*'Satış Fiyat'!K15</f>
        <v>0</v>
      </c>
      <c r="L36" s="426">
        <f>L15*'Satış Fiyat'!L15</f>
        <v>0</v>
      </c>
      <c r="M36" s="426">
        <f>M15*'Satış Fiyat'!M15</f>
        <v>0</v>
      </c>
      <c r="N36" s="426">
        <f>N15*'Satış Fiyat'!N15</f>
        <v>0</v>
      </c>
      <c r="O36" s="427">
        <f>O15*'Satış Fiyat'!O15</f>
        <v>0</v>
      </c>
      <c r="P36" s="428">
        <f t="shared" si="11"/>
        <v>0</v>
      </c>
      <c r="Q36" s="429" t="str">
        <f t="shared" si="12"/>
        <v>-</v>
      </c>
    </row>
    <row r="37" spans="1:22" ht="16.5" customHeight="1" thickBot="1">
      <c r="A37" s="430" t="s">
        <v>20</v>
      </c>
      <c r="B37" s="431">
        <f>B16*'Satış Fiyat'!B16</f>
        <v>0</v>
      </c>
      <c r="C37" s="432">
        <f>C16*'Satış Fiyat'!C16</f>
        <v>0</v>
      </c>
      <c r="D37" s="433">
        <f>D16*'Satış Fiyat'!D16</f>
        <v>0</v>
      </c>
      <c r="E37" s="434">
        <f>E16*'Satış Fiyat'!E16</f>
        <v>0</v>
      </c>
      <c r="F37" s="434">
        <f>F16*'Satış Fiyat'!F16</f>
        <v>0</v>
      </c>
      <c r="G37" s="434">
        <f>G16*'Satış Fiyat'!G16</f>
        <v>0</v>
      </c>
      <c r="H37" s="434">
        <f>H16*'Satış Fiyat'!H16</f>
        <v>0</v>
      </c>
      <c r="I37" s="434">
        <f>I16*'Satış Fiyat'!I16</f>
        <v>0</v>
      </c>
      <c r="J37" s="434">
        <f>J16*'Satış Fiyat'!J16</f>
        <v>0</v>
      </c>
      <c r="K37" s="434">
        <f>K16*'Satış Fiyat'!K16</f>
        <v>0</v>
      </c>
      <c r="L37" s="434">
        <f>L16*'Satış Fiyat'!L16</f>
        <v>0</v>
      </c>
      <c r="M37" s="434">
        <f>M16*'Satış Fiyat'!M16</f>
        <v>0</v>
      </c>
      <c r="N37" s="434">
        <f>N16*'Satış Fiyat'!N16</f>
        <v>0</v>
      </c>
      <c r="O37" s="435">
        <f>O16*'Satış Fiyat'!O16</f>
        <v>0</v>
      </c>
      <c r="P37" s="436">
        <f t="shared" si="11"/>
        <v>0</v>
      </c>
      <c r="Q37" s="437" t="str">
        <f t="shared" si="12"/>
        <v>-</v>
      </c>
    </row>
    <row r="38" spans="1:22" ht="22.5" customHeight="1" thickBot="1">
      <c r="A38" s="362" t="s">
        <v>30</v>
      </c>
      <c r="B38" s="363">
        <f t="shared" ref="B38:O38" si="16">SUM(B39:B40)</f>
        <v>0</v>
      </c>
      <c r="C38" s="416">
        <f t="shared" si="16"/>
        <v>0</v>
      </c>
      <c r="D38" s="417">
        <f t="shared" si="16"/>
        <v>0</v>
      </c>
      <c r="E38" s="418">
        <f t="shared" si="16"/>
        <v>0</v>
      </c>
      <c r="F38" s="418">
        <f t="shared" si="16"/>
        <v>0</v>
      </c>
      <c r="G38" s="418">
        <f t="shared" si="16"/>
        <v>0</v>
      </c>
      <c r="H38" s="418">
        <f t="shared" si="16"/>
        <v>0</v>
      </c>
      <c r="I38" s="418">
        <f t="shared" si="16"/>
        <v>0</v>
      </c>
      <c r="J38" s="418">
        <f t="shared" si="16"/>
        <v>0</v>
      </c>
      <c r="K38" s="418">
        <f t="shared" si="16"/>
        <v>0</v>
      </c>
      <c r="L38" s="418">
        <f t="shared" si="16"/>
        <v>0</v>
      </c>
      <c r="M38" s="418">
        <f t="shared" si="16"/>
        <v>0</v>
      </c>
      <c r="N38" s="418">
        <f t="shared" si="16"/>
        <v>0</v>
      </c>
      <c r="O38" s="419">
        <f t="shared" si="16"/>
        <v>0</v>
      </c>
      <c r="P38" s="420">
        <f t="shared" si="11"/>
        <v>0</v>
      </c>
      <c r="Q38" s="421" t="str">
        <f t="shared" si="12"/>
        <v>-</v>
      </c>
    </row>
    <row r="39" spans="1:22" ht="16.5" customHeight="1">
      <c r="A39" s="422" t="s">
        <v>106</v>
      </c>
      <c r="B39" s="423">
        <f>B18*'Satış Fiyat'!B18</f>
        <v>0</v>
      </c>
      <c r="C39" s="424">
        <f>C18*'Satış Fiyat'!C18</f>
        <v>0</v>
      </c>
      <c r="D39" s="425">
        <f>D18*'Satış Fiyat'!D18</f>
        <v>0</v>
      </c>
      <c r="E39" s="426">
        <f>E18*'Satış Fiyat'!E18</f>
        <v>0</v>
      </c>
      <c r="F39" s="426">
        <f>F18*'Satış Fiyat'!F18</f>
        <v>0</v>
      </c>
      <c r="G39" s="426">
        <f>G18*'Satış Fiyat'!G18</f>
        <v>0</v>
      </c>
      <c r="H39" s="426">
        <f>H18*'Satış Fiyat'!H18</f>
        <v>0</v>
      </c>
      <c r="I39" s="426">
        <f>I18*'Satış Fiyat'!I18</f>
        <v>0</v>
      </c>
      <c r="J39" s="426">
        <f>J18*'Satış Fiyat'!J18</f>
        <v>0</v>
      </c>
      <c r="K39" s="426">
        <f>K18*'Satış Fiyat'!K18</f>
        <v>0</v>
      </c>
      <c r="L39" s="426">
        <f>L18*'Satış Fiyat'!L18</f>
        <v>0</v>
      </c>
      <c r="M39" s="426">
        <f>M18*'Satış Fiyat'!M18</f>
        <v>0</v>
      </c>
      <c r="N39" s="426">
        <f>N18*'Satış Fiyat'!N18</f>
        <v>0</v>
      </c>
      <c r="O39" s="427">
        <f>O18*'Satış Fiyat'!O18</f>
        <v>0</v>
      </c>
      <c r="P39" s="428">
        <f t="shared" si="11"/>
        <v>0</v>
      </c>
      <c r="Q39" s="429" t="str">
        <f t="shared" si="12"/>
        <v>-</v>
      </c>
    </row>
    <row r="40" spans="1:22" ht="16.5" customHeight="1" thickBot="1">
      <c r="A40" s="438" t="s">
        <v>105</v>
      </c>
      <c r="B40" s="439">
        <f>B19*'Satış Fiyat'!B19</f>
        <v>0</v>
      </c>
      <c r="C40" s="440">
        <f>C19*'Satış Fiyat'!C19</f>
        <v>0</v>
      </c>
      <c r="D40" s="441">
        <f>D19*'Satış Fiyat'!D19</f>
        <v>0</v>
      </c>
      <c r="E40" s="442">
        <f>E19*'Satış Fiyat'!E19</f>
        <v>0</v>
      </c>
      <c r="F40" s="442">
        <f>F19*'Satış Fiyat'!F19</f>
        <v>0</v>
      </c>
      <c r="G40" s="442">
        <f>G19*'Satış Fiyat'!G19</f>
        <v>0</v>
      </c>
      <c r="H40" s="442">
        <f>H19*'Satış Fiyat'!H19</f>
        <v>0</v>
      </c>
      <c r="I40" s="442">
        <f>I19*'Satış Fiyat'!I19</f>
        <v>0</v>
      </c>
      <c r="J40" s="442">
        <f>J19*'Satış Fiyat'!J19</f>
        <v>0</v>
      </c>
      <c r="K40" s="442">
        <f>K19*'Satış Fiyat'!K19</f>
        <v>0</v>
      </c>
      <c r="L40" s="442">
        <f>L19*'Satış Fiyat'!L19</f>
        <v>0</v>
      </c>
      <c r="M40" s="442">
        <f>M19*'Satış Fiyat'!M19</f>
        <v>0</v>
      </c>
      <c r="N40" s="442">
        <f>N19*'Satış Fiyat'!N19</f>
        <v>0</v>
      </c>
      <c r="O40" s="443">
        <f>O19*'Satış Fiyat'!O19</f>
        <v>0</v>
      </c>
      <c r="P40" s="444">
        <f t="shared" si="11"/>
        <v>0</v>
      </c>
      <c r="Q40" s="445" t="str">
        <f t="shared" si="12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>
        <f>B21*'Satış Fiyat'!B21</f>
        <v>0</v>
      </c>
      <c r="C42" s="364">
        <f>C21*'Satış Fiyat'!C21</f>
        <v>0</v>
      </c>
      <c r="D42" s="365">
        <f>D21*'Satış Fiyat'!D21</f>
        <v>0</v>
      </c>
      <c r="E42" s="366">
        <f>E21*'Satış Fiyat'!E21</f>
        <v>0</v>
      </c>
      <c r="F42" s="366">
        <f>F21*'Satış Fiyat'!F21</f>
        <v>0</v>
      </c>
      <c r="G42" s="366">
        <f>G21*'Satış Fiyat'!G21</f>
        <v>0</v>
      </c>
      <c r="H42" s="366">
        <f>H21*'Satış Fiyat'!H21</f>
        <v>0</v>
      </c>
      <c r="I42" s="366">
        <f>I21*'Satış Fiyat'!I21</f>
        <v>0</v>
      </c>
      <c r="J42" s="366">
        <f>J21*'Satış Fiyat'!J21</f>
        <v>0</v>
      </c>
      <c r="K42" s="366">
        <f>K21*'Satış Fiyat'!K21</f>
        <v>0</v>
      </c>
      <c r="L42" s="366">
        <f>L21*'Satış Fiyat'!L21</f>
        <v>0</v>
      </c>
      <c r="M42" s="366">
        <f>M21*'Satış Fiyat'!M21</f>
        <v>0</v>
      </c>
      <c r="N42" s="366">
        <f>N21*'Satış Fiyat'!N21</f>
        <v>0</v>
      </c>
      <c r="O42" s="448">
        <f>O21*'Satış Fiyat'!O21</f>
        <v>0</v>
      </c>
      <c r="P42" s="363">
        <f t="shared" si="11"/>
        <v>0</v>
      </c>
      <c r="Q42" s="367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1"/>
        <v>0</v>
      </c>
      <c r="Q43" s="453"/>
      <c r="R43" s="352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:O44" si="17">+C25+C35+C38+C42</f>
        <v>0</v>
      </c>
      <c r="D44" s="365">
        <f t="shared" si="17"/>
        <v>0</v>
      </c>
      <c r="E44" s="366">
        <f t="shared" si="17"/>
        <v>0</v>
      </c>
      <c r="F44" s="366">
        <f t="shared" si="17"/>
        <v>0</v>
      </c>
      <c r="G44" s="366">
        <f>+G25+G35+G38+G42</f>
        <v>0</v>
      </c>
      <c r="H44" s="366">
        <f t="shared" si="17"/>
        <v>0</v>
      </c>
      <c r="I44" s="366">
        <f t="shared" si="17"/>
        <v>0</v>
      </c>
      <c r="J44" s="366">
        <f t="shared" si="17"/>
        <v>0</v>
      </c>
      <c r="K44" s="366">
        <f t="shared" si="17"/>
        <v>0</v>
      </c>
      <c r="L44" s="366">
        <f t="shared" si="17"/>
        <v>0</v>
      </c>
      <c r="M44" s="366">
        <f t="shared" si="17"/>
        <v>0</v>
      </c>
      <c r="N44" s="366">
        <f t="shared" si="17"/>
        <v>0</v>
      </c>
      <c r="O44" s="364">
        <f t="shared" si="17"/>
        <v>0</v>
      </c>
      <c r="P44" s="363">
        <f t="shared" si="11"/>
        <v>0</v>
      </c>
      <c r="Q44" s="367" t="str">
        <f>IF(P44=0,"-",P44/C44-1)</f>
        <v>-</v>
      </c>
      <c r="R44" s="352"/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  <c r="R45" s="352"/>
    </row>
    <row r="46" spans="1:22" ht="33" customHeight="1" thickBot="1">
      <c r="A46" s="354"/>
      <c r="B46" s="2372" t="s">
        <v>668</v>
      </c>
      <c r="C46" s="2373"/>
      <c r="D46" s="2377" t="s">
        <v>673</v>
      </c>
      <c r="E46" s="2378">
        <v>0</v>
      </c>
      <c r="F46" s="2378">
        <v>0</v>
      </c>
      <c r="G46" s="2378">
        <v>0</v>
      </c>
      <c r="H46" s="2378">
        <v>0</v>
      </c>
      <c r="I46" s="2378">
        <v>0</v>
      </c>
      <c r="J46" s="2378">
        <v>0</v>
      </c>
      <c r="K46" s="2378">
        <v>0</v>
      </c>
      <c r="L46" s="2378">
        <v>0</v>
      </c>
      <c r="M46" s="2378">
        <v>0</v>
      </c>
      <c r="N46" s="2378">
        <v>0</v>
      </c>
      <c r="O46" s="2378">
        <v>0</v>
      </c>
      <c r="P46" s="2379">
        <v>0</v>
      </c>
      <c r="Q46" s="355" t="s">
        <v>679</v>
      </c>
    </row>
    <row r="47" spans="1:22" ht="30.75" customHeight="1" thickBot="1">
      <c r="A47" s="356"/>
      <c r="B47" s="357" t="s">
        <v>657</v>
      </c>
      <c r="C47" s="357" t="s">
        <v>663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:O48" si="18">C51+C52+C57</f>
        <v>0</v>
      </c>
      <c r="D48" s="365">
        <f t="shared" si="18"/>
        <v>0</v>
      </c>
      <c r="E48" s="366">
        <f t="shared" si="18"/>
        <v>0</v>
      </c>
      <c r="F48" s="366">
        <f t="shared" si="18"/>
        <v>0</v>
      </c>
      <c r="G48" s="366">
        <f t="shared" si="18"/>
        <v>0</v>
      </c>
      <c r="H48" s="366">
        <f t="shared" si="18"/>
        <v>0</v>
      </c>
      <c r="I48" s="366">
        <f t="shared" si="18"/>
        <v>0</v>
      </c>
      <c r="J48" s="366">
        <f t="shared" si="18"/>
        <v>0</v>
      </c>
      <c r="K48" s="366">
        <f t="shared" si="18"/>
        <v>0</v>
      </c>
      <c r="L48" s="366">
        <f t="shared" si="18"/>
        <v>0</v>
      </c>
      <c r="M48" s="366">
        <f t="shared" si="18"/>
        <v>0</v>
      </c>
      <c r="N48" s="366">
        <f t="shared" si="18"/>
        <v>0</v>
      </c>
      <c r="O48" s="364">
        <f t="shared" si="18"/>
        <v>0</v>
      </c>
      <c r="P48" s="363">
        <f t="shared" ref="P48:P67" si="19">SUM(D48:O48)</f>
        <v>0</v>
      </c>
      <c r="Q48" s="367" t="str">
        <f t="shared" ref="Q48:Q63" si="20"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/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21">+$T$49*H26</f>
        <v>0</v>
      </c>
      <c r="I49" s="373">
        <f>+$T$49*I26</f>
        <v>0</v>
      </c>
      <c r="J49" s="373">
        <f>+$U$49*J26</f>
        <v>0</v>
      </c>
      <c r="K49" s="373">
        <f t="shared" ref="K49" si="22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19"/>
        <v>0</v>
      </c>
      <c r="Q49" s="375" t="str">
        <f t="shared" si="20"/>
        <v>-</v>
      </c>
      <c r="S49" s="457"/>
      <c r="T49" s="457"/>
      <c r="U49" s="457"/>
      <c r="V49" s="457"/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3">+$S$50*E27</f>
        <v>0</v>
      </c>
      <c r="F50" s="382">
        <f t="shared" si="23"/>
        <v>0</v>
      </c>
      <c r="G50" s="382">
        <f t="shared" si="23"/>
        <v>0</v>
      </c>
      <c r="H50" s="382">
        <f t="shared" si="23"/>
        <v>0</v>
      </c>
      <c r="I50" s="382">
        <f t="shared" si="23"/>
        <v>0</v>
      </c>
      <c r="J50" s="382">
        <f t="shared" si="23"/>
        <v>0</v>
      </c>
      <c r="K50" s="382">
        <f t="shared" si="23"/>
        <v>0</v>
      </c>
      <c r="L50" s="382">
        <f t="shared" si="23"/>
        <v>0</v>
      </c>
      <c r="M50" s="382">
        <f t="shared" si="23"/>
        <v>0</v>
      </c>
      <c r="N50" s="382">
        <f t="shared" si="23"/>
        <v>0</v>
      </c>
      <c r="O50" s="383">
        <f t="shared" si="23"/>
        <v>0</v>
      </c>
      <c r="P50" s="378">
        <f t="shared" si="19"/>
        <v>0</v>
      </c>
      <c r="Q50" s="384" t="str">
        <f t="shared" si="20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24">SUM(E49:E50)</f>
        <v>0</v>
      </c>
      <c r="F51" s="389">
        <f t="shared" si="24"/>
        <v>0</v>
      </c>
      <c r="G51" s="389">
        <f>SUM(G49:G50)</f>
        <v>0</v>
      </c>
      <c r="H51" s="389">
        <f t="shared" ref="H51" si="25">SUM(H49:H50)</f>
        <v>0</v>
      </c>
      <c r="I51" s="389">
        <f>SUM(I49:I50)</f>
        <v>0</v>
      </c>
      <c r="J51" s="389">
        <f>SUM(J49:J50)</f>
        <v>0</v>
      </c>
      <c r="K51" s="389">
        <f t="shared" ref="K51" si="26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19"/>
        <v>0</v>
      </c>
      <c r="Q51" s="449" t="str">
        <f t="shared" si="20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27">+$S$52*E29</f>
        <v>0</v>
      </c>
      <c r="F52" s="397">
        <f>+$S$52*F29</f>
        <v>0</v>
      </c>
      <c r="G52" s="397">
        <f>+$T$52*G29</f>
        <v>0</v>
      </c>
      <c r="H52" s="397">
        <f t="shared" ref="H52" si="28">+$T$52*H29</f>
        <v>0</v>
      </c>
      <c r="I52" s="397">
        <f>+$T$52*I29</f>
        <v>0</v>
      </c>
      <c r="J52" s="397">
        <f>+$U$52*J29</f>
        <v>0</v>
      </c>
      <c r="K52" s="397">
        <f t="shared" ref="K52" si="29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19"/>
        <v>0</v>
      </c>
      <c r="Q52" s="384" t="str">
        <f t="shared" si="20"/>
        <v>-</v>
      </c>
      <c r="S52" s="460"/>
      <c r="T52" s="460"/>
      <c r="U52" s="460"/>
      <c r="V52" s="460"/>
    </row>
    <row r="53" spans="1:22" ht="16.5" customHeight="1">
      <c r="A53" s="400" t="s">
        <v>81</v>
      </c>
      <c r="B53" s="2177"/>
      <c r="C53" s="401"/>
      <c r="D53" s="402">
        <f>+$S$53*D30</f>
        <v>0</v>
      </c>
      <c r="E53" s="403">
        <f t="shared" ref="E53:F53" si="30">+$S$53*E30</f>
        <v>0</v>
      </c>
      <c r="F53" s="403">
        <f t="shared" si="30"/>
        <v>0</v>
      </c>
      <c r="G53" s="403">
        <f>+$T$53*G30</f>
        <v>0</v>
      </c>
      <c r="H53" s="403">
        <f t="shared" ref="H53" si="31">+$T$53*H30</f>
        <v>0</v>
      </c>
      <c r="I53" s="403">
        <f>+$T$53*I30</f>
        <v>0</v>
      </c>
      <c r="J53" s="403">
        <f>+$U$53*J30</f>
        <v>0</v>
      </c>
      <c r="K53" s="403">
        <f t="shared" ref="K53" si="32">+$U$53*K30</f>
        <v>0</v>
      </c>
      <c r="L53" s="403">
        <f>+$U$53*L30</f>
        <v>0</v>
      </c>
      <c r="M53" s="403">
        <f>+$V$53*M30</f>
        <v>0</v>
      </c>
      <c r="N53" s="403">
        <f t="shared" ref="N53" si="33">+$V$53*N30</f>
        <v>0</v>
      </c>
      <c r="O53" s="404">
        <f>+$V$53*O30</f>
        <v>0</v>
      </c>
      <c r="P53" s="386">
        <f t="shared" si="19"/>
        <v>0</v>
      </c>
      <c r="Q53" s="405" t="str">
        <f t="shared" si="20"/>
        <v>-</v>
      </c>
      <c r="S53" s="461"/>
      <c r="T53" s="461"/>
      <c r="U53" s="461"/>
      <c r="V53" s="461"/>
    </row>
    <row r="54" spans="1:22" ht="16.5" hidden="1" customHeight="1">
      <c r="A54" s="406" t="s">
        <v>82</v>
      </c>
      <c r="B54" s="394"/>
      <c r="C54" s="395"/>
      <c r="D54" s="407">
        <f t="shared" ref="D54:O54" si="34">+$S$54*D31</f>
        <v>0</v>
      </c>
      <c r="E54" s="382">
        <f t="shared" si="34"/>
        <v>0</v>
      </c>
      <c r="F54" s="382">
        <f t="shared" si="34"/>
        <v>0</v>
      </c>
      <c r="G54" s="382">
        <f t="shared" si="34"/>
        <v>0</v>
      </c>
      <c r="H54" s="382">
        <f t="shared" si="34"/>
        <v>0</v>
      </c>
      <c r="I54" s="382">
        <f t="shared" si="34"/>
        <v>0</v>
      </c>
      <c r="J54" s="382">
        <f t="shared" si="34"/>
        <v>0</v>
      </c>
      <c r="K54" s="382">
        <f t="shared" si="34"/>
        <v>0</v>
      </c>
      <c r="L54" s="382">
        <f t="shared" si="34"/>
        <v>0</v>
      </c>
      <c r="M54" s="382">
        <f t="shared" si="34"/>
        <v>0</v>
      </c>
      <c r="N54" s="382">
        <f t="shared" si="34"/>
        <v>0</v>
      </c>
      <c r="O54" s="383">
        <f t="shared" si="34"/>
        <v>0</v>
      </c>
      <c r="P54" s="399">
        <f t="shared" si="19"/>
        <v>0</v>
      </c>
      <c r="Q54" s="384" t="str">
        <f t="shared" si="20"/>
        <v>-</v>
      </c>
      <c r="S54" s="460"/>
      <c r="T54" s="460"/>
      <c r="U54" s="460"/>
      <c r="V54" s="460"/>
    </row>
    <row r="55" spans="1:22" ht="16.5" customHeight="1">
      <c r="A55" s="400" t="s">
        <v>83</v>
      </c>
      <c r="B55" s="408"/>
      <c r="C55" s="409"/>
      <c r="D55" s="402">
        <f t="shared" ref="D55:F55" si="35">+$S$55*D32</f>
        <v>0</v>
      </c>
      <c r="E55" s="403">
        <f t="shared" si="35"/>
        <v>0</v>
      </c>
      <c r="F55" s="403">
        <f t="shared" si="35"/>
        <v>0</v>
      </c>
      <c r="G55" s="403">
        <f>+$T$55*G32</f>
        <v>0</v>
      </c>
      <c r="H55" s="403">
        <f t="shared" ref="H55" si="36">+$T$55*H32</f>
        <v>0</v>
      </c>
      <c r="I55" s="403">
        <f>+$T$55*I32</f>
        <v>0</v>
      </c>
      <c r="J55" s="403">
        <f>+$U$55*J32</f>
        <v>0</v>
      </c>
      <c r="K55" s="403">
        <f t="shared" ref="K55" si="37">+$U$55*K32</f>
        <v>0</v>
      </c>
      <c r="L55" s="403">
        <f>+$U$55*L32</f>
        <v>0</v>
      </c>
      <c r="M55" s="403">
        <f>+$V$55*M32</f>
        <v>0</v>
      </c>
      <c r="N55" s="403">
        <f t="shared" ref="N55" si="38">+$V$55*N32</f>
        <v>0</v>
      </c>
      <c r="O55" s="404">
        <f>+$V$55*O32</f>
        <v>0</v>
      </c>
      <c r="P55" s="386">
        <f t="shared" si="19"/>
        <v>0</v>
      </c>
      <c r="Q55" s="405" t="str">
        <f t="shared" si="20"/>
        <v>-</v>
      </c>
      <c r="S55" s="461"/>
      <c r="T55" s="461"/>
      <c r="U55" s="461"/>
      <c r="V55" s="461"/>
    </row>
    <row r="56" spans="1:22" ht="16.5" hidden="1" customHeight="1">
      <c r="A56" s="406" t="s">
        <v>84</v>
      </c>
      <c r="B56" s="378"/>
      <c r="C56" s="379"/>
      <c r="D56" s="407">
        <f t="shared" ref="D56:O56" si="39">+$S$56*D33</f>
        <v>0</v>
      </c>
      <c r="E56" s="382">
        <f t="shared" si="39"/>
        <v>0</v>
      </c>
      <c r="F56" s="382">
        <f t="shared" si="39"/>
        <v>0</v>
      </c>
      <c r="G56" s="382">
        <f t="shared" si="39"/>
        <v>0</v>
      </c>
      <c r="H56" s="382">
        <f t="shared" si="39"/>
        <v>0</v>
      </c>
      <c r="I56" s="382">
        <f t="shared" si="39"/>
        <v>0</v>
      </c>
      <c r="J56" s="382">
        <f t="shared" si="39"/>
        <v>0</v>
      </c>
      <c r="K56" s="382">
        <f t="shared" si="39"/>
        <v>0</v>
      </c>
      <c r="L56" s="382">
        <f t="shared" si="39"/>
        <v>0</v>
      </c>
      <c r="M56" s="382">
        <f t="shared" si="39"/>
        <v>0</v>
      </c>
      <c r="N56" s="382">
        <f t="shared" si="39"/>
        <v>0</v>
      </c>
      <c r="O56" s="383">
        <f t="shared" si="39"/>
        <v>0</v>
      </c>
      <c r="P56" s="399">
        <f t="shared" si="19"/>
        <v>0</v>
      </c>
      <c r="Q56" s="384" t="str">
        <f t="shared" si="20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F57" si="40">SUM(B53:B56)</f>
        <v>0</v>
      </c>
      <c r="C57" s="412">
        <f t="shared" si="40"/>
        <v>0</v>
      </c>
      <c r="D57" s="413">
        <f t="shared" si="40"/>
        <v>0</v>
      </c>
      <c r="E57" s="414">
        <f t="shared" si="40"/>
        <v>0</v>
      </c>
      <c r="F57" s="414">
        <f t="shared" si="40"/>
        <v>0</v>
      </c>
      <c r="G57" s="414">
        <f>SUM(G53:G56)</f>
        <v>0</v>
      </c>
      <c r="H57" s="414">
        <f t="shared" ref="H57" si="41">SUM(H53:H56)</f>
        <v>0</v>
      </c>
      <c r="I57" s="414">
        <f>SUM(I53:I56)</f>
        <v>0</v>
      </c>
      <c r="J57" s="414">
        <f>SUM(J53:J56)</f>
        <v>0</v>
      </c>
      <c r="K57" s="414">
        <f t="shared" ref="K57" si="42">SUM(K53:K56)</f>
        <v>0</v>
      </c>
      <c r="L57" s="414">
        <f>SUM(L53:L56)</f>
        <v>0</v>
      </c>
      <c r="M57" s="414">
        <f>SUM(M53:M56)</f>
        <v>0</v>
      </c>
      <c r="N57" s="414">
        <f t="shared" ref="N57" si="43">SUM(N53:N56)</f>
        <v>0</v>
      </c>
      <c r="O57" s="412">
        <f>SUM(O53:O56)</f>
        <v>0</v>
      </c>
      <c r="P57" s="411">
        <f t="shared" si="19"/>
        <v>0</v>
      </c>
      <c r="Q57" s="415" t="str">
        <f t="shared" si="20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:F58" si="44">SUM(C59:C60)</f>
        <v>0</v>
      </c>
      <c r="D58" s="417">
        <f t="shared" si="44"/>
        <v>0</v>
      </c>
      <c r="E58" s="418">
        <f t="shared" si="44"/>
        <v>0</v>
      </c>
      <c r="F58" s="418">
        <f t="shared" si="44"/>
        <v>0</v>
      </c>
      <c r="G58" s="418">
        <f>SUM(G59:G60)</f>
        <v>0</v>
      </c>
      <c r="H58" s="418">
        <f t="shared" ref="H58" si="45">SUM(H59:H60)</f>
        <v>0</v>
      </c>
      <c r="I58" s="418">
        <f>SUM(I59:I60)</f>
        <v>0</v>
      </c>
      <c r="J58" s="418">
        <f>SUM(J59:J60)</f>
        <v>0</v>
      </c>
      <c r="K58" s="418">
        <f t="shared" ref="K58" si="46">SUM(K59:K60)</f>
        <v>0</v>
      </c>
      <c r="L58" s="418">
        <f>SUM(L59:L60)</f>
        <v>0</v>
      </c>
      <c r="M58" s="418">
        <f>SUM(M59:M60)</f>
        <v>0</v>
      </c>
      <c r="N58" s="418">
        <f t="shared" ref="N58" si="47">SUM(N59:N60)</f>
        <v>0</v>
      </c>
      <c r="O58" s="419">
        <f>SUM(O59:O60)</f>
        <v>0</v>
      </c>
      <c r="P58" s="420">
        <f t="shared" si="19"/>
        <v>0</v>
      </c>
      <c r="Q58" s="421" t="str">
        <f t="shared" si="20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48">+$S$59*E36</f>
        <v>0</v>
      </c>
      <c r="F59" s="426">
        <f t="shared" si="48"/>
        <v>0</v>
      </c>
      <c r="G59" s="426">
        <f>+$T$59*G36</f>
        <v>0</v>
      </c>
      <c r="H59" s="426">
        <f t="shared" ref="H59" si="49">+$T$59*H36</f>
        <v>0</v>
      </c>
      <c r="I59" s="426">
        <f>+$T$59*I36</f>
        <v>0</v>
      </c>
      <c r="J59" s="426">
        <f>+$U$59*J36</f>
        <v>0</v>
      </c>
      <c r="K59" s="426">
        <f t="shared" ref="K59" si="50">+$U$59*K36</f>
        <v>0</v>
      </c>
      <c r="L59" s="426">
        <f>+$U$59*L36</f>
        <v>0</v>
      </c>
      <c r="M59" s="426">
        <f>+$V$59*M36</f>
        <v>0</v>
      </c>
      <c r="N59" s="426">
        <f t="shared" ref="N59" si="51">+$V$59*N36</f>
        <v>0</v>
      </c>
      <c r="O59" s="427">
        <f>+$V$59*O36</f>
        <v>0</v>
      </c>
      <c r="P59" s="428">
        <f t="shared" si="19"/>
        <v>0</v>
      </c>
      <c r="Q59" s="429" t="str">
        <f t="shared" si="20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52">+$S$60*E37</f>
        <v>0</v>
      </c>
      <c r="F60" s="434">
        <f t="shared" si="52"/>
        <v>0</v>
      </c>
      <c r="G60" s="434">
        <f>+$T$60*G37</f>
        <v>0</v>
      </c>
      <c r="H60" s="434">
        <f t="shared" ref="H60" si="53">+$T$60*H37</f>
        <v>0</v>
      </c>
      <c r="I60" s="434">
        <f>+$T$60*I37</f>
        <v>0</v>
      </c>
      <c r="J60" s="434">
        <f>+$U$60*J37</f>
        <v>0</v>
      </c>
      <c r="K60" s="434">
        <f t="shared" ref="K60" si="54">+$U$60*K37</f>
        <v>0</v>
      </c>
      <c r="L60" s="434">
        <f>+$U$60*L37</f>
        <v>0</v>
      </c>
      <c r="M60" s="434">
        <f>+$V$60*M37</f>
        <v>0</v>
      </c>
      <c r="N60" s="434">
        <f t="shared" ref="N60" si="55">+$V$60*N37</f>
        <v>0</v>
      </c>
      <c r="O60" s="435">
        <f>+$V$60*O37</f>
        <v>0</v>
      </c>
      <c r="P60" s="436">
        <f t="shared" si="19"/>
        <v>0</v>
      </c>
      <c r="Q60" s="437" t="str">
        <f t="shared" si="20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F61" si="56">SUM(B62:B63)</f>
        <v>0</v>
      </c>
      <c r="C61" s="416">
        <f t="shared" si="56"/>
        <v>0</v>
      </c>
      <c r="D61" s="417">
        <f t="shared" si="56"/>
        <v>0</v>
      </c>
      <c r="E61" s="418">
        <f t="shared" si="56"/>
        <v>0</v>
      </c>
      <c r="F61" s="418">
        <f t="shared" si="56"/>
        <v>0</v>
      </c>
      <c r="G61" s="418">
        <f>SUM(G62:G63)</f>
        <v>0</v>
      </c>
      <c r="H61" s="418">
        <f t="shared" ref="H61" si="57">SUM(H62:H63)</f>
        <v>0</v>
      </c>
      <c r="I61" s="418">
        <f>SUM(I62:I63)</f>
        <v>0</v>
      </c>
      <c r="J61" s="418">
        <f>SUM(J62:J63)</f>
        <v>0</v>
      </c>
      <c r="K61" s="418">
        <f t="shared" ref="K61" si="58">SUM(K62:K63)</f>
        <v>0</v>
      </c>
      <c r="L61" s="418">
        <f>SUM(L62:L63)</f>
        <v>0</v>
      </c>
      <c r="M61" s="418">
        <f>SUM(M62:M63)</f>
        <v>0</v>
      </c>
      <c r="N61" s="418">
        <f t="shared" ref="N61" si="59">SUM(N62:N63)</f>
        <v>0</v>
      </c>
      <c r="O61" s="419">
        <f>SUM(O62:O63)</f>
        <v>0</v>
      </c>
      <c r="P61" s="420">
        <f t="shared" si="19"/>
        <v>0</v>
      </c>
      <c r="Q61" s="421" t="str">
        <f t="shared" si="20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0">+$S$62*E39</f>
        <v>0</v>
      </c>
      <c r="F62" s="426">
        <f t="shared" si="60"/>
        <v>0</v>
      </c>
      <c r="G62" s="426">
        <f>+$T$62*G39</f>
        <v>0</v>
      </c>
      <c r="H62" s="426">
        <f t="shared" ref="H62" si="61">+$T$62*H39</f>
        <v>0</v>
      </c>
      <c r="I62" s="426">
        <f>+$T$62*I39</f>
        <v>0</v>
      </c>
      <c r="J62" s="426">
        <f>+$U$62*J39</f>
        <v>0</v>
      </c>
      <c r="K62" s="426">
        <f t="shared" ref="K62" si="62">+$U$62*K39</f>
        <v>0</v>
      </c>
      <c r="L62" s="426">
        <f>+$U$62*L39</f>
        <v>0</v>
      </c>
      <c r="M62" s="426">
        <f>+$V$62*M39</f>
        <v>0</v>
      </c>
      <c r="N62" s="426">
        <f t="shared" ref="N62" si="63">+$V$62*N39</f>
        <v>0</v>
      </c>
      <c r="O62" s="427">
        <f>+$V$62*O39</f>
        <v>0</v>
      </c>
      <c r="P62" s="428">
        <f t="shared" si="19"/>
        <v>0</v>
      </c>
      <c r="Q62" s="429" t="str">
        <f t="shared" si="20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64">+$S$63*E40</f>
        <v>0</v>
      </c>
      <c r="F63" s="442">
        <f t="shared" si="64"/>
        <v>0</v>
      </c>
      <c r="G63" s="442">
        <f>+$T$63*G40</f>
        <v>0</v>
      </c>
      <c r="H63" s="442">
        <f t="shared" ref="H63" si="65">+$T$63*H40</f>
        <v>0</v>
      </c>
      <c r="I63" s="442">
        <f>+$T$63*I40</f>
        <v>0</v>
      </c>
      <c r="J63" s="442">
        <f>+$U$63*J40</f>
        <v>0</v>
      </c>
      <c r="K63" s="442">
        <f t="shared" ref="K63" si="66">+$U$63*K40</f>
        <v>0</v>
      </c>
      <c r="L63" s="442">
        <f>+$U$63*L40</f>
        <v>0</v>
      </c>
      <c r="M63" s="442">
        <f>+$V$63*M40</f>
        <v>0</v>
      </c>
      <c r="N63" s="442">
        <f t="shared" ref="N63" si="67">+$V$63*N40</f>
        <v>0</v>
      </c>
      <c r="O63" s="443">
        <f>+$V$63*O40</f>
        <v>0</v>
      </c>
      <c r="P63" s="444">
        <f t="shared" si="19"/>
        <v>0</v>
      </c>
      <c r="Q63" s="445" t="str">
        <f t="shared" si="20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/>
      <c r="D65" s="365">
        <f>+$S$65*D42</f>
        <v>0</v>
      </c>
      <c r="E65" s="366">
        <f t="shared" ref="E65:F65" si="68">+$S$65*E42</f>
        <v>0</v>
      </c>
      <c r="F65" s="366">
        <f t="shared" si="68"/>
        <v>0</v>
      </c>
      <c r="G65" s="366">
        <f>+$T$65*G42</f>
        <v>0</v>
      </c>
      <c r="H65" s="366">
        <f t="shared" ref="H65" si="69">+$T$65*H42</f>
        <v>0</v>
      </c>
      <c r="I65" s="366">
        <f>+$T$65*I42</f>
        <v>0</v>
      </c>
      <c r="J65" s="366">
        <f>+$T$65*J42</f>
        <v>0</v>
      </c>
      <c r="K65" s="366">
        <f t="shared" ref="K65" si="70">+$T$65*K42</f>
        <v>0</v>
      </c>
      <c r="L65" s="366">
        <f>+$U$65*L42</f>
        <v>0</v>
      </c>
      <c r="M65" s="366">
        <f>+$V$65*M42</f>
        <v>0</v>
      </c>
      <c r="N65" s="366">
        <f t="shared" ref="N65" si="71">+$V$65*N42</f>
        <v>0</v>
      </c>
      <c r="O65" s="448">
        <f>+$V$65*O42</f>
        <v>0</v>
      </c>
      <c r="P65" s="363">
        <f t="shared" si="19"/>
        <v>0</v>
      </c>
      <c r="Q65" s="367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19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72">+C48+C58+C61+C65</f>
        <v>0</v>
      </c>
      <c r="D67" s="365">
        <f>+D48+D58+D61+D65</f>
        <v>0</v>
      </c>
      <c r="E67" s="366">
        <f t="shared" ref="E67:F67" si="73">+E48+E58+E61+E65</f>
        <v>0</v>
      </c>
      <c r="F67" s="366">
        <f t="shared" si="73"/>
        <v>0</v>
      </c>
      <c r="G67" s="366">
        <f>+G48+G58+G61+G65</f>
        <v>0</v>
      </c>
      <c r="H67" s="366">
        <f t="shared" ref="H67:I67" si="74">+H48+H58+H61+H65</f>
        <v>0</v>
      </c>
      <c r="I67" s="366">
        <f t="shared" si="74"/>
        <v>0</v>
      </c>
      <c r="J67" s="366">
        <f>+J48+J58+J61+J65</f>
        <v>0</v>
      </c>
      <c r="K67" s="366">
        <f t="shared" ref="K67" si="75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76">+N48+N58+N61+N65</f>
        <v>0</v>
      </c>
      <c r="O67" s="364">
        <f>+O48+O58+O61+O65</f>
        <v>0</v>
      </c>
      <c r="P67" s="363">
        <f t="shared" si="19"/>
        <v>0</v>
      </c>
      <c r="Q67" s="367" t="str">
        <f>IF(P67=0,"-",P67/C67-1)</f>
        <v>-</v>
      </c>
      <c r="R67" s="352"/>
      <c r="S67" s="467">
        <v>0</v>
      </c>
      <c r="T67" s="467">
        <v>0</v>
      </c>
      <c r="U67" s="467">
        <v>0</v>
      </c>
      <c r="V67" s="467">
        <v>0</v>
      </c>
    </row>
    <row r="68" spans="1:22" ht="15" thickBot="1"/>
    <row r="69" spans="1:22" ht="33" customHeight="1" thickBot="1">
      <c r="A69" s="354"/>
      <c r="B69" s="2372" t="s">
        <v>667</v>
      </c>
      <c r="C69" s="2373"/>
      <c r="D69" s="2377" t="s">
        <v>674</v>
      </c>
      <c r="E69" s="2378">
        <v>0</v>
      </c>
      <c r="F69" s="2378">
        <v>0</v>
      </c>
      <c r="G69" s="2378">
        <v>0</v>
      </c>
      <c r="H69" s="2378">
        <v>0</v>
      </c>
      <c r="I69" s="2378">
        <v>0</v>
      </c>
      <c r="J69" s="2378">
        <v>0</v>
      </c>
      <c r="K69" s="2378">
        <v>0</v>
      </c>
      <c r="L69" s="2378">
        <v>0</v>
      </c>
      <c r="M69" s="2378">
        <v>0</v>
      </c>
      <c r="N69" s="2378">
        <v>0</v>
      </c>
      <c r="O69" s="2378">
        <v>0</v>
      </c>
      <c r="P69" s="2379">
        <v>0</v>
      </c>
      <c r="Q69" s="355" t="s">
        <v>679</v>
      </c>
    </row>
    <row r="70" spans="1:22" ht="30.75" customHeight="1" thickBot="1">
      <c r="A70" s="356"/>
      <c r="B70" s="357" t="s">
        <v>657</v>
      </c>
      <c r="C70" s="357" t="s">
        <v>663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:O71" si="77">C74+C75+C80</f>
        <v>0</v>
      </c>
      <c r="D71" s="365">
        <f t="shared" si="77"/>
        <v>0</v>
      </c>
      <c r="E71" s="366">
        <f t="shared" si="77"/>
        <v>0</v>
      </c>
      <c r="F71" s="366">
        <f t="shared" si="77"/>
        <v>0</v>
      </c>
      <c r="G71" s="366">
        <f t="shared" si="77"/>
        <v>0</v>
      </c>
      <c r="H71" s="366">
        <f t="shared" si="77"/>
        <v>0</v>
      </c>
      <c r="I71" s="366">
        <f t="shared" si="77"/>
        <v>0</v>
      </c>
      <c r="J71" s="366">
        <f t="shared" si="77"/>
        <v>0</v>
      </c>
      <c r="K71" s="366">
        <f t="shared" si="77"/>
        <v>0</v>
      </c>
      <c r="L71" s="366">
        <f t="shared" si="77"/>
        <v>0</v>
      </c>
      <c r="M71" s="366">
        <f t="shared" si="77"/>
        <v>0</v>
      </c>
      <c r="N71" s="366">
        <f t="shared" si="77"/>
        <v>0</v>
      </c>
      <c r="O71" s="364">
        <f t="shared" si="77"/>
        <v>0</v>
      </c>
      <c r="P71" s="363">
        <f>SUM(D71:O71)</f>
        <v>0</v>
      </c>
      <c r="Q71" s="367" t="str">
        <f t="shared" ref="Q71:Q86" si="78">IF(P71=0,"-",P71/C71-1)</f>
        <v>-</v>
      </c>
    </row>
    <row r="72" spans="1:22" ht="16.5" customHeight="1">
      <c r="A72" s="368" t="s">
        <v>15</v>
      </c>
      <c r="B72" s="369">
        <f t="shared" ref="B72:O73" si="79">+B26-B49</f>
        <v>0</v>
      </c>
      <c r="C72" s="370">
        <f t="shared" si="79"/>
        <v>0</v>
      </c>
      <c r="D72" s="371">
        <f t="shared" si="79"/>
        <v>0</v>
      </c>
      <c r="E72" s="372">
        <f t="shared" si="79"/>
        <v>0</v>
      </c>
      <c r="F72" s="372">
        <f t="shared" si="79"/>
        <v>0</v>
      </c>
      <c r="G72" s="372">
        <f t="shared" si="79"/>
        <v>0</v>
      </c>
      <c r="H72" s="373">
        <f t="shared" si="79"/>
        <v>0</v>
      </c>
      <c r="I72" s="373">
        <f t="shared" si="79"/>
        <v>0</v>
      </c>
      <c r="J72" s="373">
        <f t="shared" si="79"/>
        <v>0</v>
      </c>
      <c r="K72" s="373">
        <f t="shared" si="79"/>
        <v>0</v>
      </c>
      <c r="L72" s="373">
        <f t="shared" si="79"/>
        <v>0</v>
      </c>
      <c r="M72" s="373">
        <f t="shared" si="79"/>
        <v>0</v>
      </c>
      <c r="N72" s="373">
        <f t="shared" si="79"/>
        <v>0</v>
      </c>
      <c r="O72" s="374">
        <f t="shared" si="79"/>
        <v>0</v>
      </c>
      <c r="P72" s="369">
        <f t="shared" ref="P72:P90" si="80">SUM(D72:O72)</f>
        <v>0</v>
      </c>
      <c r="Q72" s="375" t="str">
        <f t="shared" si="78"/>
        <v>-</v>
      </c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79"/>
        <v>0</v>
      </c>
      <c r="C73" s="379">
        <f t="shared" si="79"/>
        <v>0</v>
      </c>
      <c r="D73" s="380">
        <f t="shared" si="79"/>
        <v>0</v>
      </c>
      <c r="E73" s="381">
        <f t="shared" si="79"/>
        <v>0</v>
      </c>
      <c r="F73" s="381">
        <f t="shared" si="79"/>
        <v>0</v>
      </c>
      <c r="G73" s="381">
        <f t="shared" si="79"/>
        <v>0</v>
      </c>
      <c r="H73" s="382">
        <f t="shared" si="79"/>
        <v>0</v>
      </c>
      <c r="I73" s="382">
        <f t="shared" si="79"/>
        <v>0</v>
      </c>
      <c r="J73" s="382">
        <f t="shared" si="79"/>
        <v>0</v>
      </c>
      <c r="K73" s="382">
        <f t="shared" si="79"/>
        <v>0</v>
      </c>
      <c r="L73" s="382">
        <f t="shared" si="79"/>
        <v>0</v>
      </c>
      <c r="M73" s="382">
        <f t="shared" si="79"/>
        <v>0</v>
      </c>
      <c r="N73" s="382">
        <f t="shared" si="79"/>
        <v>0</v>
      </c>
      <c r="O73" s="383">
        <f t="shared" si="79"/>
        <v>0</v>
      </c>
      <c r="P73" s="378">
        <f t="shared" si="80"/>
        <v>0</v>
      </c>
      <c r="Q73" s="384" t="str">
        <f t="shared" si="78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81">SUM(D72:D73)</f>
        <v>0</v>
      </c>
      <c r="E74" s="389">
        <f t="shared" si="81"/>
        <v>0</v>
      </c>
      <c r="F74" s="389">
        <f t="shared" si="81"/>
        <v>0</v>
      </c>
      <c r="G74" s="389">
        <f t="shared" si="81"/>
        <v>0</v>
      </c>
      <c r="H74" s="389">
        <f t="shared" si="81"/>
        <v>0</v>
      </c>
      <c r="I74" s="389">
        <f t="shared" si="81"/>
        <v>0</v>
      </c>
      <c r="J74" s="389">
        <f t="shared" si="81"/>
        <v>0</v>
      </c>
      <c r="K74" s="389">
        <f t="shared" si="81"/>
        <v>0</v>
      </c>
      <c r="L74" s="389">
        <f t="shared" si="81"/>
        <v>0</v>
      </c>
      <c r="M74" s="389">
        <f t="shared" si="81"/>
        <v>0</v>
      </c>
      <c r="N74" s="389">
        <f t="shared" si="81"/>
        <v>0</v>
      </c>
      <c r="O74" s="390">
        <f t="shared" si="81"/>
        <v>0</v>
      </c>
      <c r="P74" s="391">
        <f t="shared" si="80"/>
        <v>0</v>
      </c>
      <c r="Q74" s="449" t="str">
        <f t="shared" si="78"/>
        <v>-</v>
      </c>
    </row>
    <row r="75" spans="1:22" ht="16.5" customHeight="1">
      <c r="A75" s="393" t="s">
        <v>17</v>
      </c>
      <c r="B75" s="394">
        <f t="shared" ref="B75:O79" si="82">+B29-B52</f>
        <v>0</v>
      </c>
      <c r="C75" s="395">
        <f t="shared" si="82"/>
        <v>0</v>
      </c>
      <c r="D75" s="396">
        <f t="shared" si="82"/>
        <v>0</v>
      </c>
      <c r="E75" s="397">
        <f t="shared" si="82"/>
        <v>0</v>
      </c>
      <c r="F75" s="397">
        <f t="shared" si="82"/>
        <v>0</v>
      </c>
      <c r="G75" s="397">
        <f t="shared" si="82"/>
        <v>0</v>
      </c>
      <c r="H75" s="397">
        <f t="shared" si="82"/>
        <v>0</v>
      </c>
      <c r="I75" s="397">
        <f t="shared" si="82"/>
        <v>0</v>
      </c>
      <c r="J75" s="397">
        <f t="shared" si="82"/>
        <v>0</v>
      </c>
      <c r="K75" s="397">
        <f t="shared" si="82"/>
        <v>0</v>
      </c>
      <c r="L75" s="397">
        <f t="shared" si="82"/>
        <v>0</v>
      </c>
      <c r="M75" s="397">
        <f t="shared" si="82"/>
        <v>0</v>
      </c>
      <c r="N75" s="397">
        <f t="shared" si="82"/>
        <v>0</v>
      </c>
      <c r="O75" s="398">
        <f t="shared" si="82"/>
        <v>0</v>
      </c>
      <c r="P75" s="399">
        <f t="shared" si="80"/>
        <v>0</v>
      </c>
      <c r="Q75" s="384" t="str">
        <f t="shared" si="78"/>
        <v>-</v>
      </c>
    </row>
    <row r="76" spans="1:22" ht="16.5" customHeight="1">
      <c r="A76" s="400" t="s">
        <v>81</v>
      </c>
      <c r="B76" s="391">
        <f t="shared" si="82"/>
        <v>0</v>
      </c>
      <c r="C76" s="450">
        <f t="shared" si="82"/>
        <v>0</v>
      </c>
      <c r="D76" s="388">
        <f t="shared" si="82"/>
        <v>0</v>
      </c>
      <c r="E76" s="389">
        <f t="shared" si="82"/>
        <v>0</v>
      </c>
      <c r="F76" s="389">
        <f t="shared" si="82"/>
        <v>0</v>
      </c>
      <c r="G76" s="389">
        <f t="shared" si="82"/>
        <v>0</v>
      </c>
      <c r="H76" s="389">
        <f t="shared" si="82"/>
        <v>0</v>
      </c>
      <c r="I76" s="389">
        <f t="shared" si="82"/>
        <v>0</v>
      </c>
      <c r="J76" s="389">
        <f t="shared" si="82"/>
        <v>0</v>
      </c>
      <c r="K76" s="389">
        <f t="shared" si="82"/>
        <v>0</v>
      </c>
      <c r="L76" s="389">
        <f t="shared" si="82"/>
        <v>0</v>
      </c>
      <c r="M76" s="389">
        <f t="shared" si="82"/>
        <v>0</v>
      </c>
      <c r="N76" s="389">
        <f t="shared" si="82"/>
        <v>0</v>
      </c>
      <c r="O76" s="390">
        <f t="shared" si="82"/>
        <v>0</v>
      </c>
      <c r="P76" s="386">
        <f t="shared" si="80"/>
        <v>0</v>
      </c>
      <c r="Q76" s="405" t="str">
        <f t="shared" si="78"/>
        <v>-</v>
      </c>
    </row>
    <row r="77" spans="1:22" ht="16.5" hidden="1" customHeight="1">
      <c r="A77" s="406" t="s">
        <v>82</v>
      </c>
      <c r="B77" s="394">
        <f t="shared" si="82"/>
        <v>0</v>
      </c>
      <c r="C77" s="395">
        <f t="shared" si="82"/>
        <v>0</v>
      </c>
      <c r="D77" s="396">
        <f t="shared" si="82"/>
        <v>0</v>
      </c>
      <c r="E77" s="397">
        <f t="shared" si="82"/>
        <v>0</v>
      </c>
      <c r="F77" s="397">
        <f t="shared" si="82"/>
        <v>0</v>
      </c>
      <c r="G77" s="397">
        <f t="shared" si="82"/>
        <v>0</v>
      </c>
      <c r="H77" s="397">
        <f t="shared" si="82"/>
        <v>0</v>
      </c>
      <c r="I77" s="397">
        <f t="shared" si="82"/>
        <v>0</v>
      </c>
      <c r="J77" s="397">
        <f t="shared" si="82"/>
        <v>0</v>
      </c>
      <c r="K77" s="397">
        <f t="shared" si="82"/>
        <v>0</v>
      </c>
      <c r="L77" s="397">
        <f t="shared" si="82"/>
        <v>0</v>
      </c>
      <c r="M77" s="397">
        <f t="shared" si="82"/>
        <v>0</v>
      </c>
      <c r="N77" s="397">
        <f t="shared" si="82"/>
        <v>0</v>
      </c>
      <c r="O77" s="398">
        <f t="shared" si="82"/>
        <v>0</v>
      </c>
      <c r="P77" s="399">
        <f>SUM(D77:O77)</f>
        <v>0</v>
      </c>
      <c r="Q77" s="384" t="str">
        <f t="shared" si="78"/>
        <v>-</v>
      </c>
    </row>
    <row r="78" spans="1:22" ht="16.5" customHeight="1">
      <c r="A78" s="400" t="s">
        <v>83</v>
      </c>
      <c r="B78" s="408">
        <f t="shared" si="82"/>
        <v>0</v>
      </c>
      <c r="C78" s="409">
        <f t="shared" si="82"/>
        <v>0</v>
      </c>
      <c r="D78" s="402">
        <f t="shared" si="82"/>
        <v>0</v>
      </c>
      <c r="E78" s="403">
        <f t="shared" si="82"/>
        <v>0</v>
      </c>
      <c r="F78" s="403">
        <f t="shared" si="82"/>
        <v>0</v>
      </c>
      <c r="G78" s="403">
        <f t="shared" si="82"/>
        <v>0</v>
      </c>
      <c r="H78" s="403">
        <f t="shared" si="82"/>
        <v>0</v>
      </c>
      <c r="I78" s="403">
        <f t="shared" si="82"/>
        <v>0</v>
      </c>
      <c r="J78" s="403">
        <f t="shared" si="82"/>
        <v>0</v>
      </c>
      <c r="K78" s="403">
        <f t="shared" si="82"/>
        <v>0</v>
      </c>
      <c r="L78" s="403">
        <f t="shared" si="82"/>
        <v>0</v>
      </c>
      <c r="M78" s="403">
        <f t="shared" si="82"/>
        <v>0</v>
      </c>
      <c r="N78" s="403">
        <f t="shared" si="82"/>
        <v>0</v>
      </c>
      <c r="O78" s="404">
        <f t="shared" si="82"/>
        <v>0</v>
      </c>
      <c r="P78" s="386">
        <f t="shared" si="80"/>
        <v>0</v>
      </c>
      <c r="Q78" s="405" t="str">
        <f t="shared" si="78"/>
        <v>-</v>
      </c>
    </row>
    <row r="79" spans="1:22" ht="16.5" hidden="1" customHeight="1">
      <c r="A79" s="406" t="s">
        <v>84</v>
      </c>
      <c r="B79" s="378">
        <f t="shared" si="82"/>
        <v>0</v>
      </c>
      <c r="C79" s="379">
        <f t="shared" si="82"/>
        <v>0</v>
      </c>
      <c r="D79" s="407">
        <f t="shared" si="82"/>
        <v>0</v>
      </c>
      <c r="E79" s="382">
        <f t="shared" si="82"/>
        <v>0</v>
      </c>
      <c r="F79" s="382">
        <f t="shared" si="82"/>
        <v>0</v>
      </c>
      <c r="G79" s="382">
        <f t="shared" si="82"/>
        <v>0</v>
      </c>
      <c r="H79" s="382">
        <f t="shared" si="82"/>
        <v>0</v>
      </c>
      <c r="I79" s="381">
        <f t="shared" si="82"/>
        <v>0</v>
      </c>
      <c r="J79" s="381">
        <f t="shared" si="82"/>
        <v>0</v>
      </c>
      <c r="K79" s="382">
        <f t="shared" si="82"/>
        <v>0</v>
      </c>
      <c r="L79" s="382">
        <f t="shared" si="82"/>
        <v>0</v>
      </c>
      <c r="M79" s="382">
        <f t="shared" si="82"/>
        <v>0</v>
      </c>
      <c r="N79" s="382">
        <f t="shared" si="82"/>
        <v>0</v>
      </c>
      <c r="O79" s="383">
        <f t="shared" si="82"/>
        <v>0</v>
      </c>
      <c r="P79" s="399">
        <f t="shared" si="80"/>
        <v>0</v>
      </c>
      <c r="Q79" s="384" t="str">
        <f t="shared" si="78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O80" si="83">SUM(B76:B79)</f>
        <v>0</v>
      </c>
      <c r="C80" s="412">
        <f t="shared" si="83"/>
        <v>0</v>
      </c>
      <c r="D80" s="413">
        <f t="shared" si="83"/>
        <v>0</v>
      </c>
      <c r="E80" s="414">
        <f t="shared" si="83"/>
        <v>0</v>
      </c>
      <c r="F80" s="414">
        <f t="shared" si="83"/>
        <v>0</v>
      </c>
      <c r="G80" s="414">
        <f t="shared" si="83"/>
        <v>0</v>
      </c>
      <c r="H80" s="414">
        <f t="shared" si="83"/>
        <v>0</v>
      </c>
      <c r="I80" s="414">
        <f t="shared" si="83"/>
        <v>0</v>
      </c>
      <c r="J80" s="414">
        <f t="shared" si="83"/>
        <v>0</v>
      </c>
      <c r="K80" s="414">
        <f t="shared" si="83"/>
        <v>0</v>
      </c>
      <c r="L80" s="414">
        <f t="shared" si="83"/>
        <v>0</v>
      </c>
      <c r="M80" s="414">
        <f t="shared" si="83"/>
        <v>0</v>
      </c>
      <c r="N80" s="414">
        <f t="shared" si="83"/>
        <v>0</v>
      </c>
      <c r="O80" s="412">
        <f t="shared" si="83"/>
        <v>0</v>
      </c>
      <c r="P80" s="411">
        <f t="shared" si="80"/>
        <v>0</v>
      </c>
      <c r="Q80" s="415" t="str">
        <f t="shared" si="78"/>
        <v>-</v>
      </c>
    </row>
    <row r="81" spans="1:22" ht="22.5" customHeight="1" thickBot="1">
      <c r="A81" s="362" t="s">
        <v>29</v>
      </c>
      <c r="B81" s="420">
        <f t="shared" ref="B81:O86" si="84">+B35-B58</f>
        <v>0</v>
      </c>
      <c r="C81" s="416">
        <f t="shared" si="84"/>
        <v>0</v>
      </c>
      <c r="D81" s="417">
        <f t="shared" si="84"/>
        <v>0</v>
      </c>
      <c r="E81" s="418">
        <f t="shared" si="84"/>
        <v>0</v>
      </c>
      <c r="F81" s="418">
        <f t="shared" si="84"/>
        <v>0</v>
      </c>
      <c r="G81" s="418">
        <f t="shared" si="84"/>
        <v>0</v>
      </c>
      <c r="H81" s="418">
        <f t="shared" si="84"/>
        <v>0</v>
      </c>
      <c r="I81" s="418">
        <f t="shared" si="84"/>
        <v>0</v>
      </c>
      <c r="J81" s="418">
        <f t="shared" si="84"/>
        <v>0</v>
      </c>
      <c r="K81" s="418">
        <f t="shared" si="84"/>
        <v>0</v>
      </c>
      <c r="L81" s="418">
        <f t="shared" si="84"/>
        <v>0</v>
      </c>
      <c r="M81" s="418">
        <f t="shared" si="84"/>
        <v>0</v>
      </c>
      <c r="N81" s="418">
        <f t="shared" si="84"/>
        <v>0</v>
      </c>
      <c r="O81" s="419">
        <f t="shared" si="84"/>
        <v>0</v>
      </c>
      <c r="P81" s="420">
        <f t="shared" si="80"/>
        <v>0</v>
      </c>
      <c r="Q81" s="421" t="str">
        <f t="shared" si="78"/>
        <v>-</v>
      </c>
    </row>
    <row r="82" spans="1:22" ht="16.5" customHeight="1">
      <c r="A82" s="422" t="s">
        <v>19</v>
      </c>
      <c r="B82" s="423">
        <f t="shared" si="84"/>
        <v>0</v>
      </c>
      <c r="C82" s="424">
        <f t="shared" si="84"/>
        <v>0</v>
      </c>
      <c r="D82" s="425">
        <f t="shared" si="84"/>
        <v>0</v>
      </c>
      <c r="E82" s="426">
        <f t="shared" si="84"/>
        <v>0</v>
      </c>
      <c r="F82" s="426">
        <f t="shared" si="84"/>
        <v>0</v>
      </c>
      <c r="G82" s="426">
        <f t="shared" si="84"/>
        <v>0</v>
      </c>
      <c r="H82" s="426">
        <f t="shared" si="84"/>
        <v>0</v>
      </c>
      <c r="I82" s="426">
        <f t="shared" si="84"/>
        <v>0</v>
      </c>
      <c r="J82" s="426">
        <f t="shared" si="84"/>
        <v>0</v>
      </c>
      <c r="K82" s="426">
        <f t="shared" si="84"/>
        <v>0</v>
      </c>
      <c r="L82" s="426">
        <f t="shared" si="84"/>
        <v>0</v>
      </c>
      <c r="M82" s="426">
        <f t="shared" si="84"/>
        <v>0</v>
      </c>
      <c r="N82" s="426">
        <f t="shared" si="84"/>
        <v>0</v>
      </c>
      <c r="O82" s="427">
        <f t="shared" si="84"/>
        <v>0</v>
      </c>
      <c r="P82" s="428">
        <f t="shared" si="80"/>
        <v>0</v>
      </c>
      <c r="Q82" s="429" t="str">
        <f t="shared" si="78"/>
        <v>-</v>
      </c>
    </row>
    <row r="83" spans="1:22" ht="16.5" customHeight="1" thickBot="1">
      <c r="A83" s="430" t="s">
        <v>20</v>
      </c>
      <c r="B83" s="431">
        <f t="shared" si="84"/>
        <v>0</v>
      </c>
      <c r="C83" s="432">
        <f t="shared" si="84"/>
        <v>0</v>
      </c>
      <c r="D83" s="433">
        <f t="shared" si="84"/>
        <v>0</v>
      </c>
      <c r="E83" s="434">
        <f t="shared" si="84"/>
        <v>0</v>
      </c>
      <c r="F83" s="434">
        <f t="shared" si="84"/>
        <v>0</v>
      </c>
      <c r="G83" s="434">
        <f t="shared" si="84"/>
        <v>0</v>
      </c>
      <c r="H83" s="434">
        <f t="shared" si="84"/>
        <v>0</v>
      </c>
      <c r="I83" s="434">
        <f t="shared" si="84"/>
        <v>0</v>
      </c>
      <c r="J83" s="434">
        <f t="shared" si="84"/>
        <v>0</v>
      </c>
      <c r="K83" s="434">
        <f t="shared" si="84"/>
        <v>0</v>
      </c>
      <c r="L83" s="434">
        <f t="shared" si="84"/>
        <v>0</v>
      </c>
      <c r="M83" s="434">
        <f t="shared" si="84"/>
        <v>0</v>
      </c>
      <c r="N83" s="434">
        <f t="shared" si="84"/>
        <v>0</v>
      </c>
      <c r="O83" s="435">
        <f t="shared" si="84"/>
        <v>0</v>
      </c>
      <c r="P83" s="436">
        <f t="shared" si="80"/>
        <v>0</v>
      </c>
      <c r="Q83" s="437" t="str">
        <f t="shared" si="78"/>
        <v>-</v>
      </c>
    </row>
    <row r="84" spans="1:22" ht="22.5" customHeight="1" thickBot="1">
      <c r="A84" s="362" t="s">
        <v>30</v>
      </c>
      <c r="B84" s="363">
        <f t="shared" si="84"/>
        <v>0</v>
      </c>
      <c r="C84" s="364">
        <f t="shared" si="84"/>
        <v>0</v>
      </c>
      <c r="D84" s="365">
        <f t="shared" si="84"/>
        <v>0</v>
      </c>
      <c r="E84" s="366">
        <f t="shared" si="84"/>
        <v>0</v>
      </c>
      <c r="F84" s="366">
        <f t="shared" si="84"/>
        <v>0</v>
      </c>
      <c r="G84" s="366">
        <f t="shared" si="84"/>
        <v>0</v>
      </c>
      <c r="H84" s="366">
        <f t="shared" si="84"/>
        <v>0</v>
      </c>
      <c r="I84" s="366">
        <f t="shared" si="84"/>
        <v>0</v>
      </c>
      <c r="J84" s="366">
        <f t="shared" si="84"/>
        <v>0</v>
      </c>
      <c r="K84" s="366">
        <f t="shared" si="84"/>
        <v>0</v>
      </c>
      <c r="L84" s="366">
        <f t="shared" si="84"/>
        <v>0</v>
      </c>
      <c r="M84" s="366">
        <f t="shared" si="84"/>
        <v>0</v>
      </c>
      <c r="N84" s="366">
        <f t="shared" si="84"/>
        <v>0</v>
      </c>
      <c r="O84" s="448">
        <f t="shared" si="84"/>
        <v>0</v>
      </c>
      <c r="P84" s="363">
        <f t="shared" si="80"/>
        <v>0</v>
      </c>
      <c r="Q84" s="367" t="str">
        <f t="shared" si="78"/>
        <v>-</v>
      </c>
    </row>
    <row r="85" spans="1:22" ht="16.5" customHeight="1">
      <c r="A85" s="422" t="s">
        <v>106</v>
      </c>
      <c r="B85" s="423">
        <f t="shared" si="84"/>
        <v>0</v>
      </c>
      <c r="C85" s="424">
        <f t="shared" si="84"/>
        <v>0</v>
      </c>
      <c r="D85" s="425">
        <f t="shared" si="84"/>
        <v>0</v>
      </c>
      <c r="E85" s="426">
        <f t="shared" si="84"/>
        <v>0</v>
      </c>
      <c r="F85" s="426">
        <f t="shared" si="84"/>
        <v>0</v>
      </c>
      <c r="G85" s="426">
        <f t="shared" si="84"/>
        <v>0</v>
      </c>
      <c r="H85" s="426">
        <f t="shared" si="84"/>
        <v>0</v>
      </c>
      <c r="I85" s="426">
        <f t="shared" si="84"/>
        <v>0</v>
      </c>
      <c r="J85" s="426">
        <f t="shared" si="84"/>
        <v>0</v>
      </c>
      <c r="K85" s="426">
        <f t="shared" si="84"/>
        <v>0</v>
      </c>
      <c r="L85" s="426">
        <f t="shared" si="84"/>
        <v>0</v>
      </c>
      <c r="M85" s="426">
        <f t="shared" si="84"/>
        <v>0</v>
      </c>
      <c r="N85" s="426">
        <f t="shared" si="84"/>
        <v>0</v>
      </c>
      <c r="O85" s="427">
        <f t="shared" si="84"/>
        <v>0</v>
      </c>
      <c r="P85" s="428">
        <f t="shared" si="80"/>
        <v>0</v>
      </c>
      <c r="Q85" s="429" t="str">
        <f t="shared" si="78"/>
        <v>-</v>
      </c>
    </row>
    <row r="86" spans="1:22" ht="16.5" customHeight="1" thickBot="1">
      <c r="A86" s="438" t="s">
        <v>105</v>
      </c>
      <c r="B86" s="439">
        <f t="shared" si="84"/>
        <v>0</v>
      </c>
      <c r="C86" s="440">
        <f t="shared" si="84"/>
        <v>0</v>
      </c>
      <c r="D86" s="441">
        <f t="shared" si="84"/>
        <v>0</v>
      </c>
      <c r="E86" s="442">
        <f t="shared" si="84"/>
        <v>0</v>
      </c>
      <c r="F86" s="442">
        <f t="shared" si="84"/>
        <v>0</v>
      </c>
      <c r="G86" s="442">
        <f t="shared" si="84"/>
        <v>0</v>
      </c>
      <c r="H86" s="442">
        <f t="shared" si="84"/>
        <v>0</v>
      </c>
      <c r="I86" s="442">
        <f t="shared" si="84"/>
        <v>0</v>
      </c>
      <c r="J86" s="442">
        <f t="shared" si="84"/>
        <v>0</v>
      </c>
      <c r="K86" s="442">
        <f t="shared" si="84"/>
        <v>0</v>
      </c>
      <c r="L86" s="442">
        <f t="shared" si="84"/>
        <v>0</v>
      </c>
      <c r="M86" s="442">
        <f t="shared" si="84"/>
        <v>0</v>
      </c>
      <c r="N86" s="442">
        <f t="shared" si="84"/>
        <v>0</v>
      </c>
      <c r="O86" s="443">
        <f t="shared" si="84"/>
        <v>0</v>
      </c>
      <c r="P86" s="444">
        <f t="shared" si="80"/>
        <v>0</v>
      </c>
      <c r="Q86" s="445" t="str">
        <f t="shared" si="78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O88" si="85">+B42-B65</f>
        <v>0</v>
      </c>
      <c r="C88" s="364">
        <f t="shared" si="85"/>
        <v>0</v>
      </c>
      <c r="D88" s="365">
        <f t="shared" si="85"/>
        <v>0</v>
      </c>
      <c r="E88" s="366">
        <f t="shared" si="85"/>
        <v>0</v>
      </c>
      <c r="F88" s="366">
        <f t="shared" si="85"/>
        <v>0</v>
      </c>
      <c r="G88" s="366">
        <f t="shared" si="85"/>
        <v>0</v>
      </c>
      <c r="H88" s="366">
        <f t="shared" si="85"/>
        <v>0</v>
      </c>
      <c r="I88" s="366">
        <f t="shared" si="85"/>
        <v>0</v>
      </c>
      <c r="J88" s="366">
        <f t="shared" si="85"/>
        <v>0</v>
      </c>
      <c r="K88" s="366">
        <f t="shared" si="85"/>
        <v>0</v>
      </c>
      <c r="L88" s="366">
        <f t="shared" si="85"/>
        <v>0</v>
      </c>
      <c r="M88" s="366">
        <f t="shared" si="85"/>
        <v>0</v>
      </c>
      <c r="N88" s="366">
        <f t="shared" si="85"/>
        <v>0</v>
      </c>
      <c r="O88" s="448">
        <f t="shared" si="85"/>
        <v>0</v>
      </c>
      <c r="P88" s="363">
        <f t="shared" si="80"/>
        <v>0</v>
      </c>
      <c r="Q88" s="367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0"/>
        <v>0</v>
      </c>
      <c r="Q89" s="453"/>
      <c r="R89" s="352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:O90" si="86">+C71+C81+C84+C88</f>
        <v>0</v>
      </c>
      <c r="D90" s="365">
        <f t="shared" si="86"/>
        <v>0</v>
      </c>
      <c r="E90" s="366">
        <f t="shared" si="86"/>
        <v>0</v>
      </c>
      <c r="F90" s="366">
        <f t="shared" si="86"/>
        <v>0</v>
      </c>
      <c r="G90" s="366">
        <f t="shared" si="86"/>
        <v>0</v>
      </c>
      <c r="H90" s="366">
        <f t="shared" si="86"/>
        <v>0</v>
      </c>
      <c r="I90" s="366">
        <f t="shared" si="86"/>
        <v>0</v>
      </c>
      <c r="J90" s="366">
        <f t="shared" si="86"/>
        <v>0</v>
      </c>
      <c r="K90" s="366">
        <f t="shared" si="86"/>
        <v>0</v>
      </c>
      <c r="L90" s="366">
        <f t="shared" si="86"/>
        <v>0</v>
      </c>
      <c r="M90" s="366">
        <f t="shared" si="86"/>
        <v>0</v>
      </c>
      <c r="N90" s="366">
        <f t="shared" si="86"/>
        <v>0</v>
      </c>
      <c r="O90" s="448">
        <f t="shared" si="86"/>
        <v>0</v>
      </c>
      <c r="P90" s="363">
        <f t="shared" si="80"/>
        <v>0</v>
      </c>
      <c r="Q90" s="367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7" t="s">
        <v>680</v>
      </c>
      <c r="E92" s="2378">
        <v>0</v>
      </c>
      <c r="F92" s="2378">
        <v>0</v>
      </c>
      <c r="G92" s="2378">
        <v>0</v>
      </c>
      <c r="H92" s="2378">
        <v>0</v>
      </c>
      <c r="I92" s="2378">
        <v>0</v>
      </c>
      <c r="J92" s="2378">
        <v>0</v>
      </c>
      <c r="K92" s="2378">
        <v>0</v>
      </c>
      <c r="L92" s="2378">
        <v>0</v>
      </c>
      <c r="M92" s="2378">
        <v>0</v>
      </c>
      <c r="N92" s="2378">
        <v>0</v>
      </c>
      <c r="O92" s="2378">
        <v>0</v>
      </c>
      <c r="P92" s="2379">
        <v>0</v>
      </c>
      <c r="Q92" s="355" t="s">
        <v>679</v>
      </c>
    </row>
    <row r="93" spans="1:22" ht="30.75" customHeight="1" thickBot="1">
      <c r="A93" s="356"/>
      <c r="B93" s="357" t="s">
        <v>657</v>
      </c>
      <c r="C93" s="357" t="s">
        <v>663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:P94" si="87">C97+C98+C103</f>
        <v>0</v>
      </c>
      <c r="D94" s="365">
        <f t="shared" si="87"/>
        <v>0</v>
      </c>
      <c r="E94" s="366">
        <f t="shared" si="87"/>
        <v>0</v>
      </c>
      <c r="F94" s="366">
        <f t="shared" si="87"/>
        <v>0</v>
      </c>
      <c r="G94" s="366">
        <f t="shared" si="87"/>
        <v>0</v>
      </c>
      <c r="H94" s="366">
        <f t="shared" si="87"/>
        <v>0</v>
      </c>
      <c r="I94" s="366">
        <f t="shared" si="87"/>
        <v>0</v>
      </c>
      <c r="J94" s="366">
        <f t="shared" si="87"/>
        <v>0</v>
      </c>
      <c r="K94" s="366">
        <f t="shared" si="87"/>
        <v>0</v>
      </c>
      <c r="L94" s="366">
        <f t="shared" si="87"/>
        <v>0</v>
      </c>
      <c r="M94" s="366">
        <f t="shared" si="87"/>
        <v>0</v>
      </c>
      <c r="N94" s="366">
        <f t="shared" si="87"/>
        <v>0</v>
      </c>
      <c r="O94" s="364">
        <f t="shared" si="87"/>
        <v>0</v>
      </c>
      <c r="P94" s="363">
        <f t="shared" si="87"/>
        <v>0</v>
      </c>
      <c r="Q94" s="367" t="str">
        <f t="shared" ref="Q94:Q109" si="88">IF(P94=0,"-",P94/C94-1)</f>
        <v>-</v>
      </c>
    </row>
    <row r="95" spans="1:22" ht="16.5" customHeight="1">
      <c r="A95" s="368" t="s">
        <v>15</v>
      </c>
      <c r="B95" s="369">
        <f>B5*'Alış Fiyat'!B5</f>
        <v>0</v>
      </c>
      <c r="C95" s="370">
        <f>C5*'Alış Fiyat'!C5</f>
        <v>0</v>
      </c>
      <c r="D95" s="371">
        <f>D5*'Alış Fiyat'!D5</f>
        <v>0</v>
      </c>
      <c r="E95" s="372">
        <f>E5*'Alış Fiyat'!E5</f>
        <v>0</v>
      </c>
      <c r="F95" s="372">
        <f>F5*'Alış Fiyat'!F5</f>
        <v>0</v>
      </c>
      <c r="G95" s="372">
        <f>G5*'Alış Fiyat'!G5</f>
        <v>0</v>
      </c>
      <c r="H95" s="373">
        <f>H5*'Alış Fiyat'!H5</f>
        <v>0</v>
      </c>
      <c r="I95" s="373">
        <f>I5*'Alış Fiyat'!I5</f>
        <v>0</v>
      </c>
      <c r="J95" s="373">
        <f>J5*'Alış Fiyat'!J5</f>
        <v>0</v>
      </c>
      <c r="K95" s="373">
        <f>K5*'Alış Fiyat'!K5</f>
        <v>0</v>
      </c>
      <c r="L95" s="373">
        <f>L5*'Alış Fiyat'!L5</f>
        <v>0</v>
      </c>
      <c r="M95" s="373">
        <f>M5*'Alış Fiyat'!M5</f>
        <v>0</v>
      </c>
      <c r="N95" s="373">
        <f>N5*'Alış Fiyat'!N5</f>
        <v>0</v>
      </c>
      <c r="O95" s="374">
        <f>O5*'Alış Fiyat'!O5</f>
        <v>0</v>
      </c>
      <c r="P95" s="369">
        <f t="shared" ref="P95:P102" si="89">SUM(D95:O95)</f>
        <v>0</v>
      </c>
      <c r="Q95" s="375" t="str">
        <f t="shared" si="88"/>
        <v>-</v>
      </c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Fiyat'!B6</f>
        <v>0</v>
      </c>
      <c r="C96" s="379">
        <f>C6*'Alış Fiyat'!C6</f>
        <v>0</v>
      </c>
      <c r="D96" s="380">
        <f>D6*'Alış Fiyat'!D6</f>
        <v>0</v>
      </c>
      <c r="E96" s="381">
        <f>E6*'Alış Fiyat'!E6</f>
        <v>0</v>
      </c>
      <c r="F96" s="381">
        <f>F6*'Alış Fiyat'!F6</f>
        <v>0</v>
      </c>
      <c r="G96" s="381">
        <f>G6*'Alış Fiyat'!G6</f>
        <v>0</v>
      </c>
      <c r="H96" s="382">
        <f>H6*'Alış Fiyat'!H6</f>
        <v>0</v>
      </c>
      <c r="I96" s="382">
        <f>I6*'Alış Fiyat'!I6</f>
        <v>0</v>
      </c>
      <c r="J96" s="382">
        <f>J6*'Alış Fiyat'!J6</f>
        <v>0</v>
      </c>
      <c r="K96" s="382">
        <f>K6*'Alış Fiyat'!K6</f>
        <v>0</v>
      </c>
      <c r="L96" s="382">
        <f>L6*'Alış Fiyat'!L6</f>
        <v>0</v>
      </c>
      <c r="M96" s="382">
        <f>M6*'Alış Fiyat'!M6</f>
        <v>0</v>
      </c>
      <c r="N96" s="382">
        <f>N6*'Alış Fiyat'!N6</f>
        <v>0</v>
      </c>
      <c r="O96" s="383">
        <f>O6*'Alış Fiyat'!O6</f>
        <v>0</v>
      </c>
      <c r="P96" s="378">
        <f t="shared" si="89"/>
        <v>0</v>
      </c>
      <c r="Q96" s="384" t="str">
        <f t="shared" si="88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90">SUM(D95:D96)</f>
        <v>0</v>
      </c>
      <c r="E97" s="389">
        <f t="shared" si="90"/>
        <v>0</v>
      </c>
      <c r="F97" s="389">
        <f t="shared" si="90"/>
        <v>0</v>
      </c>
      <c r="G97" s="389">
        <f t="shared" si="90"/>
        <v>0</v>
      </c>
      <c r="H97" s="389">
        <f t="shared" si="90"/>
        <v>0</v>
      </c>
      <c r="I97" s="389">
        <f t="shared" si="90"/>
        <v>0</v>
      </c>
      <c r="J97" s="389">
        <f t="shared" si="90"/>
        <v>0</v>
      </c>
      <c r="K97" s="389">
        <f t="shared" si="90"/>
        <v>0</v>
      </c>
      <c r="L97" s="389">
        <f t="shared" si="90"/>
        <v>0</v>
      </c>
      <c r="M97" s="389">
        <f t="shared" si="90"/>
        <v>0</v>
      </c>
      <c r="N97" s="389">
        <f t="shared" si="90"/>
        <v>0</v>
      </c>
      <c r="O97" s="390">
        <f t="shared" si="90"/>
        <v>0</v>
      </c>
      <c r="P97" s="391">
        <f t="shared" si="89"/>
        <v>0</v>
      </c>
      <c r="Q97" s="449" t="str">
        <f t="shared" si="88"/>
        <v>-</v>
      </c>
    </row>
    <row r="98" spans="1:22" ht="16.5" customHeight="1">
      <c r="A98" s="393" t="s">
        <v>17</v>
      </c>
      <c r="B98" s="394">
        <f>B8*'Alış Fiyat'!B8</f>
        <v>0</v>
      </c>
      <c r="C98" s="395">
        <f>C8*'Alış Fiyat'!C8</f>
        <v>0</v>
      </c>
      <c r="D98" s="396">
        <f>D8*'Alış Fiyat'!D8</f>
        <v>0</v>
      </c>
      <c r="E98" s="397">
        <f>E8*'Alış Fiyat'!E8</f>
        <v>0</v>
      </c>
      <c r="F98" s="397">
        <f>F8*'Alış Fiyat'!F8</f>
        <v>0</v>
      </c>
      <c r="G98" s="397">
        <f>G8*'Alış Fiyat'!G8</f>
        <v>0</v>
      </c>
      <c r="H98" s="397">
        <f>H8*'Alış Fiyat'!H8</f>
        <v>0</v>
      </c>
      <c r="I98" s="397">
        <f>I8*'Alış Fiyat'!I8</f>
        <v>0</v>
      </c>
      <c r="J98" s="397">
        <f>J8*'Alış Fiyat'!J8</f>
        <v>0</v>
      </c>
      <c r="K98" s="397">
        <f>K8*'Alış Fiyat'!K8</f>
        <v>0</v>
      </c>
      <c r="L98" s="397">
        <f>L8*'Alış Fiyat'!L8</f>
        <v>0</v>
      </c>
      <c r="M98" s="397">
        <f>M8*'Alış Fiyat'!M8</f>
        <v>0</v>
      </c>
      <c r="N98" s="397">
        <f>N8*'Alış Fiyat'!N8</f>
        <v>0</v>
      </c>
      <c r="O98" s="398">
        <f>O8*'Alış Fiyat'!O8</f>
        <v>0</v>
      </c>
      <c r="P98" s="399">
        <f t="shared" si="89"/>
        <v>0</v>
      </c>
      <c r="Q98" s="384" t="str">
        <f t="shared" si="88"/>
        <v>-</v>
      </c>
    </row>
    <row r="99" spans="1:22" ht="16.5" customHeight="1">
      <c r="A99" s="400" t="s">
        <v>81</v>
      </c>
      <c r="B99" s="2177">
        <f>B76/1.07</f>
        <v>0</v>
      </c>
      <c r="C99" s="370">
        <f>B99/10*12</f>
        <v>0</v>
      </c>
      <c r="D99" s="1563">
        <f>D9*'DAĞITICI-ÖTV''SİZ-İHALE HEDEF'!C39</f>
        <v>0</v>
      </c>
      <c r="E99" s="1560">
        <f>E9*'DAĞITICI-ÖTV''SİZ-İHALE HEDEF'!D39</f>
        <v>0</v>
      </c>
      <c r="F99" s="1560">
        <f>F9*'DAĞITICI-ÖTV''SİZ-İHALE HEDEF'!E39</f>
        <v>0</v>
      </c>
      <c r="G99" s="1560">
        <f>G9*'DAĞITICI-ÖTV''SİZ-İHALE HEDEF'!F39</f>
        <v>0</v>
      </c>
      <c r="H99" s="1560">
        <f>H9*'DAĞITICI-ÖTV''SİZ-İHALE HEDEF'!G39</f>
        <v>0</v>
      </c>
      <c r="I99" s="1560">
        <f>I9*'DAĞITICI-ÖTV''SİZ-İHALE HEDEF'!H39</f>
        <v>0</v>
      </c>
      <c r="J99" s="1560">
        <f>J9*'DAĞITICI-ÖTV''SİZ-İHALE HEDEF'!I39</f>
        <v>0</v>
      </c>
      <c r="K99" s="1560">
        <f>K9*'DAĞITICI-ÖTV''SİZ-İHALE HEDEF'!J39</f>
        <v>0</v>
      </c>
      <c r="L99" s="1560">
        <f>L9*'DAĞITICI-ÖTV''SİZ-İHALE HEDEF'!K39</f>
        <v>0</v>
      </c>
      <c r="M99" s="1560">
        <f>M9*'DAĞITICI-ÖTV''SİZ-İHALE HEDEF'!L39</f>
        <v>0</v>
      </c>
      <c r="N99" s="1560">
        <f>N9*'DAĞITICI-ÖTV''SİZ-İHALE HEDEF'!M39</f>
        <v>0</v>
      </c>
      <c r="O99" s="387">
        <f>O9*'DAĞITICI-ÖTV''SİZ-İHALE HEDEF'!N39</f>
        <v>0</v>
      </c>
      <c r="P99" s="386">
        <f t="shared" si="89"/>
        <v>0</v>
      </c>
      <c r="Q99" s="405" t="str">
        <f t="shared" si="88"/>
        <v>-</v>
      </c>
    </row>
    <row r="100" spans="1:22" ht="16.5" hidden="1" customHeight="1">
      <c r="A100" s="406" t="s">
        <v>82</v>
      </c>
      <c r="B100" s="394">
        <f>B10*'Alış Fiyat'!B10</f>
        <v>0</v>
      </c>
      <c r="C100" s="395">
        <f>C10*'Alış Fiyat'!C10</f>
        <v>0</v>
      </c>
      <c r="D100" s="1564">
        <f>D10*'Alış Fiyat'!D10</f>
        <v>0</v>
      </c>
      <c r="E100" s="1561">
        <f>E10*'Alış Fiyat'!E10</f>
        <v>0</v>
      </c>
      <c r="F100" s="1561">
        <f>F10*'Alış Fiyat'!F10</f>
        <v>0</v>
      </c>
      <c r="G100" s="1561">
        <f>G10*'Alış Fiyat'!G10</f>
        <v>0</v>
      </c>
      <c r="H100" s="1561">
        <f>H10*'Alış Fiyat'!H10</f>
        <v>0</v>
      </c>
      <c r="I100" s="1561">
        <f>I10*'Alış Fiyat'!I10</f>
        <v>0</v>
      </c>
      <c r="J100" s="1561">
        <f>J10*'Alış Fiyat'!J10</f>
        <v>0</v>
      </c>
      <c r="K100" s="1561">
        <f>K10*'Alış Fiyat'!K10</f>
        <v>0</v>
      </c>
      <c r="L100" s="1561">
        <f>L10*'Alış Fiyat'!L10</f>
        <v>0</v>
      </c>
      <c r="M100" s="1561">
        <f>M10*'Alış Fiyat'!M10</f>
        <v>0</v>
      </c>
      <c r="N100" s="1561">
        <f>N10*'Alış Fiyat'!N10</f>
        <v>0</v>
      </c>
      <c r="O100" s="1562">
        <f>O10*'Alış Fiyat'!O10</f>
        <v>0</v>
      </c>
      <c r="P100" s="399">
        <f t="shared" si="89"/>
        <v>0</v>
      </c>
      <c r="Q100" s="384" t="str">
        <f t="shared" si="88"/>
        <v>-</v>
      </c>
    </row>
    <row r="101" spans="1:22" ht="16.5" customHeight="1">
      <c r="A101" s="400" t="s">
        <v>83</v>
      </c>
      <c r="B101" s="408"/>
      <c r="C101" s="409"/>
      <c r="D101" s="402">
        <f>D11*'DAĞITICI-ÖTV''SİZ-İHALE HEDEF'!C40</f>
        <v>0</v>
      </c>
      <c r="E101" s="403">
        <f>E11*'DAĞITICI-ÖTV''SİZ-İHALE HEDEF'!D40</f>
        <v>0</v>
      </c>
      <c r="F101" s="403">
        <f>F11*'DAĞITICI-ÖTV''SİZ-İHALE HEDEF'!E40</f>
        <v>0</v>
      </c>
      <c r="G101" s="403">
        <f>G11*'DAĞITICI-ÖTV''SİZ-İHALE HEDEF'!F40</f>
        <v>0</v>
      </c>
      <c r="H101" s="403">
        <f>H11*'DAĞITICI-ÖTV''SİZ-İHALE HEDEF'!G40</f>
        <v>0</v>
      </c>
      <c r="I101" s="403">
        <f>I11*'DAĞITICI-ÖTV''SİZ-İHALE HEDEF'!H40</f>
        <v>0</v>
      </c>
      <c r="J101" s="403">
        <f>J11*'DAĞITICI-ÖTV''SİZ-İHALE HEDEF'!I40</f>
        <v>0</v>
      </c>
      <c r="K101" s="403">
        <f>K11*'DAĞITICI-ÖTV''SİZ-İHALE HEDEF'!J40</f>
        <v>0</v>
      </c>
      <c r="L101" s="403">
        <f>L11*'DAĞITICI-ÖTV''SİZ-İHALE HEDEF'!K40</f>
        <v>0</v>
      </c>
      <c r="M101" s="403">
        <f>M11*'DAĞITICI-ÖTV''SİZ-İHALE HEDEF'!L40</f>
        <v>0</v>
      </c>
      <c r="N101" s="403">
        <f>N11*'DAĞITICI-ÖTV''SİZ-İHALE HEDEF'!M40</f>
        <v>0</v>
      </c>
      <c r="O101" s="404">
        <f>O11*'DAĞITICI-ÖTV''SİZ-İHALE HEDEF'!N40</f>
        <v>0</v>
      </c>
      <c r="P101" s="386">
        <f t="shared" si="89"/>
        <v>0</v>
      </c>
      <c r="Q101" s="405" t="str">
        <f t="shared" si="88"/>
        <v>-</v>
      </c>
    </row>
    <row r="102" spans="1:22" ht="16.5" hidden="1" customHeight="1">
      <c r="A102" s="406" t="s">
        <v>84</v>
      </c>
      <c r="B102" s="378">
        <f>B12*'Alış Fiyat'!B12</f>
        <v>0</v>
      </c>
      <c r="C102" s="379">
        <f>C12*'Alış Fiyat'!C12</f>
        <v>0</v>
      </c>
      <c r="D102" s="407">
        <f>D12*'Alış Fiyat'!D12</f>
        <v>0</v>
      </c>
      <c r="E102" s="382">
        <f>E12*'Alış Fiyat'!E12</f>
        <v>0</v>
      </c>
      <c r="F102" s="382">
        <f>F12*'Alış Fiyat'!F12</f>
        <v>0</v>
      </c>
      <c r="G102" s="382">
        <f>G12*'Alış Fiyat'!G12</f>
        <v>0</v>
      </c>
      <c r="H102" s="382">
        <f>H12*'Alış Fiyat'!H12</f>
        <v>0</v>
      </c>
      <c r="I102" s="381">
        <f>I12*'Alış Fiyat'!I12</f>
        <v>0</v>
      </c>
      <c r="J102" s="381">
        <f>J12*'Alış Fiyat'!J12</f>
        <v>0</v>
      </c>
      <c r="K102" s="382">
        <f>K12*'Alış Fiyat'!K12</f>
        <v>0</v>
      </c>
      <c r="L102" s="382">
        <f>L12*'Alış Fiyat'!L12</f>
        <v>0</v>
      </c>
      <c r="M102" s="382">
        <f>M12*'Alış Fiyat'!M12</f>
        <v>0</v>
      </c>
      <c r="N102" s="382">
        <f>N12*'Alış Fiyat'!N12</f>
        <v>0</v>
      </c>
      <c r="O102" s="383">
        <f>O12*'Alış Fiyat'!O12</f>
        <v>0</v>
      </c>
      <c r="P102" s="399">
        <f t="shared" si="89"/>
        <v>0</v>
      </c>
      <c r="Q102" s="384" t="str">
        <f t="shared" si="88"/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91">SUM(E99:E102)</f>
        <v>0</v>
      </c>
      <c r="F103" s="414">
        <f t="shared" si="91"/>
        <v>0</v>
      </c>
      <c r="G103" s="414">
        <f t="shared" si="91"/>
        <v>0</v>
      </c>
      <c r="H103" s="414">
        <f t="shared" si="91"/>
        <v>0</v>
      </c>
      <c r="I103" s="414">
        <f t="shared" si="91"/>
        <v>0</v>
      </c>
      <c r="J103" s="414">
        <f t="shared" si="91"/>
        <v>0</v>
      </c>
      <c r="K103" s="414">
        <f t="shared" si="91"/>
        <v>0</v>
      </c>
      <c r="L103" s="414">
        <f t="shared" si="91"/>
        <v>0</v>
      </c>
      <c r="M103" s="414">
        <f t="shared" si="91"/>
        <v>0</v>
      </c>
      <c r="N103" s="414">
        <f t="shared" si="91"/>
        <v>0</v>
      </c>
      <c r="O103" s="412">
        <f t="shared" si="91"/>
        <v>0</v>
      </c>
      <c r="P103" s="411">
        <f t="shared" si="91"/>
        <v>0</v>
      </c>
      <c r="Q103" s="415" t="str">
        <f t="shared" si="88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:P104" si="92">SUM(C105:C106)</f>
        <v>0</v>
      </c>
      <c r="D104" s="417">
        <f t="shared" si="92"/>
        <v>0</v>
      </c>
      <c r="E104" s="418">
        <f t="shared" si="92"/>
        <v>0</v>
      </c>
      <c r="F104" s="418">
        <f t="shared" si="92"/>
        <v>0</v>
      </c>
      <c r="G104" s="418">
        <f t="shared" si="92"/>
        <v>0</v>
      </c>
      <c r="H104" s="418">
        <f t="shared" si="92"/>
        <v>0</v>
      </c>
      <c r="I104" s="418">
        <f t="shared" si="92"/>
        <v>0</v>
      </c>
      <c r="J104" s="418">
        <f t="shared" si="92"/>
        <v>0</v>
      </c>
      <c r="K104" s="418">
        <f t="shared" si="92"/>
        <v>0</v>
      </c>
      <c r="L104" s="418">
        <f t="shared" si="92"/>
        <v>0</v>
      </c>
      <c r="M104" s="418">
        <f t="shared" si="92"/>
        <v>0</v>
      </c>
      <c r="N104" s="418">
        <f t="shared" si="92"/>
        <v>0</v>
      </c>
      <c r="O104" s="419">
        <f t="shared" si="92"/>
        <v>0</v>
      </c>
      <c r="P104" s="420">
        <f t="shared" si="92"/>
        <v>0</v>
      </c>
      <c r="Q104" s="421" t="str">
        <f t="shared" si="88"/>
        <v>-</v>
      </c>
    </row>
    <row r="105" spans="1:22" ht="16.5" customHeight="1">
      <c r="A105" s="422" t="s">
        <v>19</v>
      </c>
      <c r="B105" s="423">
        <f>B15*'Alış Fiyat'!B15</f>
        <v>0</v>
      </c>
      <c r="C105" s="424">
        <f>C15*'Alış Fiyat'!C15</f>
        <v>0</v>
      </c>
      <c r="D105" s="425">
        <f>D15*'Alış Fiyat'!D15</f>
        <v>0</v>
      </c>
      <c r="E105" s="426">
        <f>E15*'Alış Fiyat'!E15</f>
        <v>0</v>
      </c>
      <c r="F105" s="426">
        <f>F15*'Alış Fiyat'!F15</f>
        <v>0</v>
      </c>
      <c r="G105" s="426">
        <f>G15*'Alış Fiyat'!G15</f>
        <v>0</v>
      </c>
      <c r="H105" s="426">
        <f>H15*'Alış Fiyat'!H15</f>
        <v>0</v>
      </c>
      <c r="I105" s="426">
        <f>I15*'Alış Fiyat'!I15</f>
        <v>0</v>
      </c>
      <c r="J105" s="426">
        <f>J15*'Alış Fiyat'!J15</f>
        <v>0</v>
      </c>
      <c r="K105" s="426">
        <f>K15*'Alış Fiyat'!K15</f>
        <v>0</v>
      </c>
      <c r="L105" s="426">
        <f>L15*'Alış Fiyat'!L15</f>
        <v>0</v>
      </c>
      <c r="M105" s="426">
        <f>M15*'Alış Fiyat'!M15</f>
        <v>0</v>
      </c>
      <c r="N105" s="426">
        <f>N15*'Alış Fiyat'!N15</f>
        <v>0</v>
      </c>
      <c r="O105" s="427">
        <f>O15*'Alış Fiyat'!O15</f>
        <v>0</v>
      </c>
      <c r="P105" s="428">
        <f>SUM(D105:O105)</f>
        <v>0</v>
      </c>
      <c r="Q105" s="429" t="str">
        <f t="shared" si="88"/>
        <v>-</v>
      </c>
    </row>
    <row r="106" spans="1:22" ht="16.5" customHeight="1" thickBot="1">
      <c r="A106" s="430" t="s">
        <v>20</v>
      </c>
      <c r="B106" s="431">
        <f>B16*'Alış Fiyat'!B16</f>
        <v>0</v>
      </c>
      <c r="C106" s="432">
        <f>C16*'Alış Fiyat'!C16</f>
        <v>0</v>
      </c>
      <c r="D106" s="433">
        <f>D16*'Alış Fiyat'!D16</f>
        <v>0</v>
      </c>
      <c r="E106" s="434">
        <f>E16*'Alış Fiyat'!E16</f>
        <v>0</v>
      </c>
      <c r="F106" s="434">
        <f>F16*'Alış Fiyat'!F16</f>
        <v>0</v>
      </c>
      <c r="G106" s="434">
        <f>G16*'Alış Fiyat'!G16</f>
        <v>0</v>
      </c>
      <c r="H106" s="434">
        <f>H16*'Alış Fiyat'!H16</f>
        <v>0</v>
      </c>
      <c r="I106" s="434">
        <f>I16*'Alış Fiyat'!I16</f>
        <v>0</v>
      </c>
      <c r="J106" s="434">
        <f>J16*'Alış Fiyat'!J16</f>
        <v>0</v>
      </c>
      <c r="K106" s="434">
        <f>K16*'Alış Fiyat'!K16</f>
        <v>0</v>
      </c>
      <c r="L106" s="434">
        <f>L16*'Alış Fiyat'!L16</f>
        <v>0</v>
      </c>
      <c r="M106" s="434">
        <f>M16*'Alış Fiyat'!M16</f>
        <v>0</v>
      </c>
      <c r="N106" s="434">
        <f>N16*'Alış Fiyat'!N16</f>
        <v>0</v>
      </c>
      <c r="O106" s="435">
        <f>O16*'Alış Fiyat'!O16</f>
        <v>0</v>
      </c>
      <c r="P106" s="436">
        <f>SUM(D106:O106)</f>
        <v>0</v>
      </c>
      <c r="Q106" s="437" t="str">
        <f t="shared" si="88"/>
        <v>-</v>
      </c>
    </row>
    <row r="107" spans="1:22" ht="22.5" customHeight="1" thickBot="1">
      <c r="A107" s="362" t="s">
        <v>30</v>
      </c>
      <c r="B107" s="363">
        <f t="shared" ref="B107:P107" si="93">SUM(B108:B109)</f>
        <v>0</v>
      </c>
      <c r="C107" s="416">
        <f t="shared" si="93"/>
        <v>0</v>
      </c>
      <c r="D107" s="417">
        <f t="shared" si="93"/>
        <v>0</v>
      </c>
      <c r="E107" s="418">
        <f t="shared" si="93"/>
        <v>0</v>
      </c>
      <c r="F107" s="418">
        <f t="shared" si="93"/>
        <v>0</v>
      </c>
      <c r="G107" s="418">
        <f t="shared" si="93"/>
        <v>0</v>
      </c>
      <c r="H107" s="418">
        <f t="shared" si="93"/>
        <v>0</v>
      </c>
      <c r="I107" s="418">
        <f t="shared" si="93"/>
        <v>0</v>
      </c>
      <c r="J107" s="418">
        <f t="shared" si="93"/>
        <v>0</v>
      </c>
      <c r="K107" s="418">
        <f t="shared" si="93"/>
        <v>0</v>
      </c>
      <c r="L107" s="418">
        <f t="shared" si="93"/>
        <v>0</v>
      </c>
      <c r="M107" s="418">
        <f t="shared" si="93"/>
        <v>0</v>
      </c>
      <c r="N107" s="418">
        <f t="shared" si="93"/>
        <v>0</v>
      </c>
      <c r="O107" s="419">
        <f t="shared" si="93"/>
        <v>0</v>
      </c>
      <c r="P107" s="420">
        <f t="shared" si="93"/>
        <v>0</v>
      </c>
      <c r="Q107" s="421" t="str">
        <f t="shared" si="88"/>
        <v>-</v>
      </c>
    </row>
    <row r="108" spans="1:22" ht="16.5" customHeight="1">
      <c r="A108" s="422" t="s">
        <v>106</v>
      </c>
      <c r="B108" s="423">
        <f>B18*'Alış Fiyat'!B18</f>
        <v>0</v>
      </c>
      <c r="C108" s="424">
        <f>C18*'Alış Fiyat'!C18</f>
        <v>0</v>
      </c>
      <c r="D108" s="425">
        <f>D18*'Alış Fiyat'!D18</f>
        <v>0</v>
      </c>
      <c r="E108" s="426">
        <f>E18*'Alış Fiyat'!E18</f>
        <v>0</v>
      </c>
      <c r="F108" s="426">
        <f>F18*'Alış Fiyat'!F18</f>
        <v>0</v>
      </c>
      <c r="G108" s="426">
        <f>G18*'Alış Fiyat'!G18</f>
        <v>0</v>
      </c>
      <c r="H108" s="426">
        <f>H18*'Alış Fiyat'!H18</f>
        <v>0</v>
      </c>
      <c r="I108" s="426">
        <f>I18*'Alış Fiyat'!I18</f>
        <v>0</v>
      </c>
      <c r="J108" s="426">
        <f>J18*'Alış Fiyat'!J18</f>
        <v>0</v>
      </c>
      <c r="K108" s="426">
        <f>K18*'Alış Fiyat'!K18</f>
        <v>0</v>
      </c>
      <c r="L108" s="426">
        <f>L18*'Alış Fiyat'!L18</f>
        <v>0</v>
      </c>
      <c r="M108" s="426">
        <f>M18*'Alış Fiyat'!M18</f>
        <v>0</v>
      </c>
      <c r="N108" s="426">
        <f>N18*'Alış Fiyat'!N18</f>
        <v>0</v>
      </c>
      <c r="O108" s="427">
        <f>O18*'Alış Fiyat'!O18</f>
        <v>0</v>
      </c>
      <c r="P108" s="428">
        <f>SUM(D108:O108)</f>
        <v>0</v>
      </c>
      <c r="Q108" s="429" t="str">
        <f t="shared" si="88"/>
        <v>-</v>
      </c>
    </row>
    <row r="109" spans="1:22" ht="16.5" customHeight="1" thickBot="1">
      <c r="A109" s="438" t="s">
        <v>105</v>
      </c>
      <c r="B109" s="439">
        <f>B19*'Alış Fiyat'!B19</f>
        <v>0</v>
      </c>
      <c r="C109" s="440">
        <f>C19*'Alış Fiyat'!C19</f>
        <v>0</v>
      </c>
      <c r="D109" s="441">
        <f>D19*'Alış Fiyat'!D19</f>
        <v>0</v>
      </c>
      <c r="E109" s="442">
        <f>E19*'Alış Fiyat'!E19</f>
        <v>0</v>
      </c>
      <c r="F109" s="442">
        <f>F19*'Alış Fiyat'!F19</f>
        <v>0</v>
      </c>
      <c r="G109" s="442">
        <f>G19*'Alış Fiyat'!G19</f>
        <v>0</v>
      </c>
      <c r="H109" s="442">
        <f>H19*'Alış Fiyat'!H19</f>
        <v>0</v>
      </c>
      <c r="I109" s="442">
        <f>I19*'Alış Fiyat'!I19</f>
        <v>0</v>
      </c>
      <c r="J109" s="442">
        <f>J19*'Alış Fiyat'!J19</f>
        <v>0</v>
      </c>
      <c r="K109" s="442">
        <f>K19*'Alış Fiyat'!K19</f>
        <v>0</v>
      </c>
      <c r="L109" s="442">
        <f>L19*'Alış Fiyat'!L19</f>
        <v>0</v>
      </c>
      <c r="M109" s="442">
        <f>M19*'Alış Fiyat'!M19</f>
        <v>0</v>
      </c>
      <c r="N109" s="442">
        <f>N19*'Alış Fiyat'!N19</f>
        <v>0</v>
      </c>
      <c r="O109" s="443">
        <f>O19*'Alış Fiyat'!O19</f>
        <v>0</v>
      </c>
      <c r="P109" s="444">
        <f>SUM(D109:O109)</f>
        <v>0</v>
      </c>
      <c r="Q109" s="445" t="str">
        <f t="shared" si="88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>
        <f>B21*'Alış Fiyat'!B21</f>
        <v>0</v>
      </c>
      <c r="C111" s="364">
        <f>C21*'Alış Fiyat'!C21</f>
        <v>0</v>
      </c>
      <c r="D111" s="365">
        <f>D21*'Alış Fiyat'!D21</f>
        <v>0</v>
      </c>
      <c r="E111" s="366">
        <f>E21*'Alış Fiyat'!E21</f>
        <v>0</v>
      </c>
      <c r="F111" s="366">
        <f>F21*'Alış Fiyat'!F21</f>
        <v>0</v>
      </c>
      <c r="G111" s="366">
        <f>G21*'Alış Fiyat'!G21</f>
        <v>0</v>
      </c>
      <c r="H111" s="366">
        <f>H21*'Alış Fiyat'!H21</f>
        <v>0</v>
      </c>
      <c r="I111" s="366">
        <f>I21*'Alış Fiyat'!I21</f>
        <v>0</v>
      </c>
      <c r="J111" s="366">
        <f>J21*'Alış Fiyat'!J21</f>
        <v>0</v>
      </c>
      <c r="K111" s="366">
        <f>K21*'Alış Fiyat'!K21</f>
        <v>0</v>
      </c>
      <c r="L111" s="366">
        <f>L21*'Alış Fiyat'!L21</f>
        <v>0</v>
      </c>
      <c r="M111" s="366">
        <f>M21*'Alış Fiyat'!M21</f>
        <v>0</v>
      </c>
      <c r="N111" s="366">
        <f>N21*'Alış Fiyat'!N21</f>
        <v>0</v>
      </c>
      <c r="O111" s="448">
        <f>O21*'Alış Fiyat'!O21</f>
        <v>0</v>
      </c>
      <c r="P111" s="363">
        <f>SUM(D111:O111)</f>
        <v>0</v>
      </c>
      <c r="Q111" s="367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:P113" si="94">+C94+C104+C107+C111</f>
        <v>0</v>
      </c>
      <c r="D113" s="365">
        <f t="shared" si="94"/>
        <v>0</v>
      </c>
      <c r="E113" s="366">
        <f t="shared" si="94"/>
        <v>0</v>
      </c>
      <c r="F113" s="366">
        <f t="shared" si="94"/>
        <v>0</v>
      </c>
      <c r="G113" s="366">
        <f t="shared" si="94"/>
        <v>0</v>
      </c>
      <c r="H113" s="366">
        <f t="shared" si="94"/>
        <v>0</v>
      </c>
      <c r="I113" s="366">
        <f t="shared" si="94"/>
        <v>0</v>
      </c>
      <c r="J113" s="366">
        <f t="shared" si="94"/>
        <v>0</v>
      </c>
      <c r="K113" s="366">
        <f t="shared" si="94"/>
        <v>0</v>
      </c>
      <c r="L113" s="366">
        <f t="shared" si="94"/>
        <v>0</v>
      </c>
      <c r="M113" s="366">
        <f t="shared" si="94"/>
        <v>0</v>
      </c>
      <c r="N113" s="366">
        <f t="shared" si="94"/>
        <v>0</v>
      </c>
      <c r="O113" s="448">
        <f t="shared" si="94"/>
        <v>0</v>
      </c>
      <c r="P113" s="363">
        <f t="shared" si="94"/>
        <v>0</v>
      </c>
      <c r="Q113" s="367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7" t="s">
        <v>676</v>
      </c>
      <c r="E115" s="2378">
        <v>0</v>
      </c>
      <c r="F115" s="2378">
        <v>0</v>
      </c>
      <c r="G115" s="2378">
        <v>0</v>
      </c>
      <c r="H115" s="2378">
        <v>0</v>
      </c>
      <c r="I115" s="2378">
        <v>0</v>
      </c>
      <c r="J115" s="2378">
        <v>0</v>
      </c>
      <c r="K115" s="2378">
        <v>0</v>
      </c>
      <c r="L115" s="2378">
        <v>0</v>
      </c>
      <c r="M115" s="2378">
        <v>0</v>
      </c>
      <c r="N115" s="2378">
        <v>0</v>
      </c>
      <c r="O115" s="2378">
        <v>0</v>
      </c>
      <c r="P115" s="2379">
        <v>0</v>
      </c>
      <c r="Q115" s="355" t="s">
        <v>679</v>
      </c>
    </row>
    <row r="116" spans="1:22" ht="30.75" customHeight="1" thickBot="1">
      <c r="A116" s="356"/>
      <c r="B116" s="357" t="s">
        <v>657</v>
      </c>
      <c r="C116" s="357" t="s">
        <v>663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:P117" si="95">C120+C121+C126</f>
        <v>0</v>
      </c>
      <c r="D117" s="365">
        <f t="shared" si="95"/>
        <v>0</v>
      </c>
      <c r="E117" s="366">
        <f t="shared" si="95"/>
        <v>0</v>
      </c>
      <c r="F117" s="366">
        <f t="shared" si="95"/>
        <v>0</v>
      </c>
      <c r="G117" s="366">
        <f t="shared" si="95"/>
        <v>0</v>
      </c>
      <c r="H117" s="366">
        <f t="shared" si="95"/>
        <v>0</v>
      </c>
      <c r="I117" s="366">
        <f t="shared" si="95"/>
        <v>0</v>
      </c>
      <c r="J117" s="366">
        <f t="shared" si="95"/>
        <v>0</v>
      </c>
      <c r="K117" s="366">
        <f t="shared" si="95"/>
        <v>0</v>
      </c>
      <c r="L117" s="366">
        <f t="shared" si="95"/>
        <v>0</v>
      </c>
      <c r="M117" s="366">
        <f t="shared" si="95"/>
        <v>0</v>
      </c>
      <c r="N117" s="366">
        <f t="shared" si="95"/>
        <v>0</v>
      </c>
      <c r="O117" s="364">
        <f t="shared" si="95"/>
        <v>0</v>
      </c>
      <c r="P117" s="363">
        <f t="shared" si="95"/>
        <v>0</v>
      </c>
      <c r="Q117" s="367" t="str">
        <f t="shared" ref="Q117:Q132" si="96">IF(P117=0,"-",P117/C117-1)</f>
        <v>-</v>
      </c>
    </row>
    <row r="118" spans="1:22" ht="16.5" customHeight="1">
      <c r="A118" s="368" t="s">
        <v>15</v>
      </c>
      <c r="B118" s="369">
        <f t="shared" ref="B118:O119" si="97">+B72-B95</f>
        <v>0</v>
      </c>
      <c r="C118" s="370">
        <f t="shared" si="97"/>
        <v>0</v>
      </c>
      <c r="D118" s="371">
        <f t="shared" si="97"/>
        <v>0</v>
      </c>
      <c r="E118" s="372">
        <f t="shared" si="97"/>
        <v>0</v>
      </c>
      <c r="F118" s="372">
        <f t="shared" si="97"/>
        <v>0</v>
      </c>
      <c r="G118" s="372">
        <f t="shared" si="97"/>
        <v>0</v>
      </c>
      <c r="H118" s="373">
        <f t="shared" si="97"/>
        <v>0</v>
      </c>
      <c r="I118" s="373">
        <f t="shared" si="97"/>
        <v>0</v>
      </c>
      <c r="J118" s="373">
        <f t="shared" si="97"/>
        <v>0</v>
      </c>
      <c r="K118" s="373">
        <f t="shared" si="97"/>
        <v>0</v>
      </c>
      <c r="L118" s="373">
        <f t="shared" si="97"/>
        <v>0</v>
      </c>
      <c r="M118" s="373">
        <f t="shared" si="97"/>
        <v>0</v>
      </c>
      <c r="N118" s="373">
        <f t="shared" si="97"/>
        <v>0</v>
      </c>
      <c r="O118" s="374">
        <f t="shared" si="97"/>
        <v>0</v>
      </c>
      <c r="P118" s="369">
        <f t="shared" ref="P118:P125" si="98">SUM(D118:O118)</f>
        <v>0</v>
      </c>
      <c r="Q118" s="375" t="str">
        <f t="shared" si="96"/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97"/>
        <v>0</v>
      </c>
      <c r="C119" s="379">
        <f t="shared" si="97"/>
        <v>0</v>
      </c>
      <c r="D119" s="380">
        <f t="shared" si="97"/>
        <v>0</v>
      </c>
      <c r="E119" s="381">
        <f t="shared" si="97"/>
        <v>0</v>
      </c>
      <c r="F119" s="381">
        <f t="shared" si="97"/>
        <v>0</v>
      </c>
      <c r="G119" s="381">
        <f t="shared" si="97"/>
        <v>0</v>
      </c>
      <c r="H119" s="382">
        <f t="shared" si="97"/>
        <v>0</v>
      </c>
      <c r="I119" s="382">
        <f t="shared" si="97"/>
        <v>0</v>
      </c>
      <c r="J119" s="382">
        <f t="shared" si="97"/>
        <v>0</v>
      </c>
      <c r="K119" s="382">
        <f t="shared" si="97"/>
        <v>0</v>
      </c>
      <c r="L119" s="382">
        <f t="shared" si="97"/>
        <v>0</v>
      </c>
      <c r="M119" s="382">
        <f t="shared" si="97"/>
        <v>0</v>
      </c>
      <c r="N119" s="382">
        <f t="shared" si="97"/>
        <v>0</v>
      </c>
      <c r="O119" s="383">
        <f t="shared" si="97"/>
        <v>0</v>
      </c>
      <c r="P119" s="378">
        <f t="shared" si="98"/>
        <v>0</v>
      </c>
      <c r="Q119" s="384" t="str">
        <f t="shared" si="96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99">SUM(D118:D119)</f>
        <v>0</v>
      </c>
      <c r="E120" s="389">
        <f t="shared" si="99"/>
        <v>0</v>
      </c>
      <c r="F120" s="389">
        <f t="shared" si="99"/>
        <v>0</v>
      </c>
      <c r="G120" s="389">
        <f t="shared" si="99"/>
        <v>0</v>
      </c>
      <c r="H120" s="389">
        <f t="shared" si="99"/>
        <v>0</v>
      </c>
      <c r="I120" s="389">
        <f t="shared" si="99"/>
        <v>0</v>
      </c>
      <c r="J120" s="389">
        <f t="shared" si="99"/>
        <v>0</v>
      </c>
      <c r="K120" s="389">
        <f t="shared" si="99"/>
        <v>0</v>
      </c>
      <c r="L120" s="389">
        <f t="shared" si="99"/>
        <v>0</v>
      </c>
      <c r="M120" s="389">
        <f t="shared" si="99"/>
        <v>0</v>
      </c>
      <c r="N120" s="389">
        <f t="shared" si="99"/>
        <v>0</v>
      </c>
      <c r="O120" s="390">
        <f t="shared" si="99"/>
        <v>0</v>
      </c>
      <c r="P120" s="391">
        <f>SUM(D120:O120)</f>
        <v>0</v>
      </c>
      <c r="Q120" s="449" t="str">
        <f t="shared" si="96"/>
        <v>-</v>
      </c>
    </row>
    <row r="121" spans="1:22" ht="16.5" customHeight="1">
      <c r="A121" s="393" t="s">
        <v>17</v>
      </c>
      <c r="B121" s="394">
        <f t="shared" ref="B121:O125" si="100">+B75-B98</f>
        <v>0</v>
      </c>
      <c r="C121" s="395">
        <f t="shared" si="100"/>
        <v>0</v>
      </c>
      <c r="D121" s="396">
        <f t="shared" si="100"/>
        <v>0</v>
      </c>
      <c r="E121" s="397">
        <f t="shared" si="100"/>
        <v>0</v>
      </c>
      <c r="F121" s="397">
        <f t="shared" si="100"/>
        <v>0</v>
      </c>
      <c r="G121" s="397">
        <f t="shared" si="100"/>
        <v>0</v>
      </c>
      <c r="H121" s="397">
        <f t="shared" si="100"/>
        <v>0</v>
      </c>
      <c r="I121" s="397">
        <f t="shared" si="100"/>
        <v>0</v>
      </c>
      <c r="J121" s="397">
        <f t="shared" si="100"/>
        <v>0</v>
      </c>
      <c r="K121" s="397">
        <f t="shared" si="100"/>
        <v>0</v>
      </c>
      <c r="L121" s="397">
        <f t="shared" si="100"/>
        <v>0</v>
      </c>
      <c r="M121" s="397">
        <f t="shared" si="100"/>
        <v>0</v>
      </c>
      <c r="N121" s="397">
        <f t="shared" si="100"/>
        <v>0</v>
      </c>
      <c r="O121" s="398">
        <f t="shared" si="100"/>
        <v>0</v>
      </c>
      <c r="P121" s="399">
        <f t="shared" si="98"/>
        <v>0</v>
      </c>
      <c r="Q121" s="384" t="str">
        <f t="shared" si="96"/>
        <v>-</v>
      </c>
    </row>
    <row r="122" spans="1:22" ht="16.5" customHeight="1">
      <c r="A122" s="400" t="s">
        <v>81</v>
      </c>
      <c r="B122" s="391">
        <f t="shared" si="100"/>
        <v>0</v>
      </c>
      <c r="C122" s="450">
        <f t="shared" si="100"/>
        <v>0</v>
      </c>
      <c r="D122" s="402">
        <f t="shared" si="100"/>
        <v>0</v>
      </c>
      <c r="E122" s="403">
        <f t="shared" si="100"/>
        <v>0</v>
      </c>
      <c r="F122" s="403">
        <f t="shared" si="100"/>
        <v>0</v>
      </c>
      <c r="G122" s="403">
        <f t="shared" si="100"/>
        <v>0</v>
      </c>
      <c r="H122" s="403">
        <f t="shared" si="100"/>
        <v>0</v>
      </c>
      <c r="I122" s="403">
        <f t="shared" si="100"/>
        <v>0</v>
      </c>
      <c r="J122" s="403">
        <f t="shared" si="100"/>
        <v>0</v>
      </c>
      <c r="K122" s="403">
        <f t="shared" si="100"/>
        <v>0</v>
      </c>
      <c r="L122" s="403">
        <f t="shared" si="100"/>
        <v>0</v>
      </c>
      <c r="M122" s="403">
        <f t="shared" si="100"/>
        <v>0</v>
      </c>
      <c r="N122" s="403">
        <f t="shared" si="100"/>
        <v>0</v>
      </c>
      <c r="O122" s="404">
        <f t="shared" si="100"/>
        <v>0</v>
      </c>
      <c r="P122" s="386">
        <f t="shared" si="98"/>
        <v>0</v>
      </c>
      <c r="Q122" s="405" t="str">
        <f t="shared" si="96"/>
        <v>-</v>
      </c>
    </row>
    <row r="123" spans="1:22" ht="16.5" hidden="1" customHeight="1">
      <c r="A123" s="406" t="s">
        <v>82</v>
      </c>
      <c r="B123" s="394">
        <f t="shared" si="100"/>
        <v>0</v>
      </c>
      <c r="C123" s="395">
        <f t="shared" si="100"/>
        <v>0</v>
      </c>
      <c r="D123" s="407">
        <f t="shared" si="100"/>
        <v>0</v>
      </c>
      <c r="E123" s="382">
        <f t="shared" si="100"/>
        <v>0</v>
      </c>
      <c r="F123" s="382">
        <f t="shared" si="100"/>
        <v>0</v>
      </c>
      <c r="G123" s="382">
        <f t="shared" si="100"/>
        <v>0</v>
      </c>
      <c r="H123" s="382">
        <f t="shared" si="100"/>
        <v>0</v>
      </c>
      <c r="I123" s="382">
        <f t="shared" si="100"/>
        <v>0</v>
      </c>
      <c r="J123" s="382">
        <f t="shared" si="100"/>
        <v>0</v>
      </c>
      <c r="K123" s="382">
        <f t="shared" si="100"/>
        <v>0</v>
      </c>
      <c r="L123" s="382">
        <f t="shared" si="100"/>
        <v>0</v>
      </c>
      <c r="M123" s="382">
        <f t="shared" si="100"/>
        <v>0</v>
      </c>
      <c r="N123" s="382">
        <f t="shared" si="100"/>
        <v>0</v>
      </c>
      <c r="O123" s="383">
        <f t="shared" si="100"/>
        <v>0</v>
      </c>
      <c r="P123" s="399">
        <f t="shared" si="98"/>
        <v>0</v>
      </c>
      <c r="Q123" s="384" t="str">
        <f t="shared" si="96"/>
        <v>-</v>
      </c>
    </row>
    <row r="124" spans="1:22" ht="16.5" customHeight="1">
      <c r="A124" s="400" t="s">
        <v>83</v>
      </c>
      <c r="B124" s="408">
        <f t="shared" si="100"/>
        <v>0</v>
      </c>
      <c r="C124" s="409">
        <f t="shared" si="100"/>
        <v>0</v>
      </c>
      <c r="D124" s="402">
        <f t="shared" si="100"/>
        <v>0</v>
      </c>
      <c r="E124" s="403">
        <f t="shared" si="100"/>
        <v>0</v>
      </c>
      <c r="F124" s="403">
        <f t="shared" si="100"/>
        <v>0</v>
      </c>
      <c r="G124" s="403">
        <f t="shared" si="100"/>
        <v>0</v>
      </c>
      <c r="H124" s="403">
        <f t="shared" si="100"/>
        <v>0</v>
      </c>
      <c r="I124" s="403">
        <f t="shared" si="100"/>
        <v>0</v>
      </c>
      <c r="J124" s="403">
        <f t="shared" si="100"/>
        <v>0</v>
      </c>
      <c r="K124" s="403">
        <f t="shared" si="100"/>
        <v>0</v>
      </c>
      <c r="L124" s="403">
        <f t="shared" si="100"/>
        <v>0</v>
      </c>
      <c r="M124" s="403">
        <f t="shared" si="100"/>
        <v>0</v>
      </c>
      <c r="N124" s="403">
        <f t="shared" si="100"/>
        <v>0</v>
      </c>
      <c r="O124" s="404">
        <f t="shared" si="100"/>
        <v>0</v>
      </c>
      <c r="P124" s="386">
        <f t="shared" si="98"/>
        <v>0</v>
      </c>
      <c r="Q124" s="405" t="str">
        <f t="shared" si="96"/>
        <v>-</v>
      </c>
    </row>
    <row r="125" spans="1:22" ht="16.5" hidden="1" customHeight="1">
      <c r="A125" s="406" t="s">
        <v>84</v>
      </c>
      <c r="B125" s="378">
        <f t="shared" si="100"/>
        <v>0</v>
      </c>
      <c r="C125" s="379">
        <f t="shared" si="100"/>
        <v>0</v>
      </c>
      <c r="D125" s="407">
        <f t="shared" si="100"/>
        <v>0</v>
      </c>
      <c r="E125" s="382">
        <f t="shared" si="100"/>
        <v>0</v>
      </c>
      <c r="F125" s="382">
        <f t="shared" si="100"/>
        <v>0</v>
      </c>
      <c r="G125" s="382">
        <f t="shared" si="100"/>
        <v>0</v>
      </c>
      <c r="H125" s="382">
        <f t="shared" si="100"/>
        <v>0</v>
      </c>
      <c r="I125" s="381">
        <f t="shared" si="100"/>
        <v>0</v>
      </c>
      <c r="J125" s="381">
        <f t="shared" si="100"/>
        <v>0</v>
      </c>
      <c r="K125" s="382">
        <f t="shared" si="100"/>
        <v>0</v>
      </c>
      <c r="L125" s="382">
        <f t="shared" si="100"/>
        <v>0</v>
      </c>
      <c r="M125" s="382">
        <f t="shared" si="100"/>
        <v>0</v>
      </c>
      <c r="N125" s="382">
        <f t="shared" si="100"/>
        <v>0</v>
      </c>
      <c r="O125" s="383">
        <f t="shared" si="100"/>
        <v>0</v>
      </c>
      <c r="P125" s="399">
        <f t="shared" si="98"/>
        <v>0</v>
      </c>
      <c r="Q125" s="384" t="str">
        <f t="shared" si="96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>SUM(B122:B125)</f>
        <v>0</v>
      </c>
      <c r="C126" s="412">
        <f>SUM(C122:C125)</f>
        <v>0</v>
      </c>
      <c r="D126" s="413">
        <f>SUM(D122:D125)</f>
        <v>0</v>
      </c>
      <c r="E126" s="414">
        <f t="shared" ref="E126:P126" si="101">SUM(E122:E125)</f>
        <v>0</v>
      </c>
      <c r="F126" s="414">
        <f t="shared" si="101"/>
        <v>0</v>
      </c>
      <c r="G126" s="414">
        <f t="shared" si="101"/>
        <v>0</v>
      </c>
      <c r="H126" s="414">
        <f t="shared" si="101"/>
        <v>0</v>
      </c>
      <c r="I126" s="414">
        <f t="shared" si="101"/>
        <v>0</v>
      </c>
      <c r="J126" s="414">
        <f t="shared" si="101"/>
        <v>0</v>
      </c>
      <c r="K126" s="414">
        <f t="shared" si="101"/>
        <v>0</v>
      </c>
      <c r="L126" s="414">
        <f t="shared" si="101"/>
        <v>0</v>
      </c>
      <c r="M126" s="414">
        <f t="shared" si="101"/>
        <v>0</v>
      </c>
      <c r="N126" s="414">
        <f t="shared" si="101"/>
        <v>0</v>
      </c>
      <c r="O126" s="412">
        <f t="shared" si="101"/>
        <v>0</v>
      </c>
      <c r="P126" s="411">
        <f t="shared" si="101"/>
        <v>0</v>
      </c>
      <c r="Q126" s="415" t="str">
        <f t="shared" si="96"/>
        <v>-</v>
      </c>
    </row>
    <row r="127" spans="1:22" ht="22.5" customHeight="1" thickBot="1">
      <c r="A127" s="362" t="s">
        <v>29</v>
      </c>
      <c r="B127" s="420">
        <f t="shared" ref="B127:O129" si="102">+B81-B104</f>
        <v>0</v>
      </c>
      <c r="C127" s="416">
        <f t="shared" si="102"/>
        <v>0</v>
      </c>
      <c r="D127" s="417">
        <f t="shared" si="102"/>
        <v>0</v>
      </c>
      <c r="E127" s="418">
        <f t="shared" si="102"/>
        <v>0</v>
      </c>
      <c r="F127" s="418">
        <f t="shared" si="102"/>
        <v>0</v>
      </c>
      <c r="G127" s="418">
        <f t="shared" si="102"/>
        <v>0</v>
      </c>
      <c r="H127" s="418">
        <f t="shared" si="102"/>
        <v>0</v>
      </c>
      <c r="I127" s="418">
        <f t="shared" si="102"/>
        <v>0</v>
      </c>
      <c r="J127" s="418">
        <f t="shared" si="102"/>
        <v>0</v>
      </c>
      <c r="K127" s="418">
        <f t="shared" si="102"/>
        <v>0</v>
      </c>
      <c r="L127" s="418">
        <f t="shared" si="102"/>
        <v>0</v>
      </c>
      <c r="M127" s="418">
        <f t="shared" si="102"/>
        <v>0</v>
      </c>
      <c r="N127" s="418">
        <f t="shared" si="102"/>
        <v>0</v>
      </c>
      <c r="O127" s="419">
        <f t="shared" si="102"/>
        <v>0</v>
      </c>
      <c r="P127" s="420">
        <f>SUM(P128:P129)</f>
        <v>0</v>
      </c>
      <c r="Q127" s="421" t="str">
        <f t="shared" si="96"/>
        <v>-</v>
      </c>
    </row>
    <row r="128" spans="1:22" ht="16.5" customHeight="1">
      <c r="A128" s="422" t="s">
        <v>19</v>
      </c>
      <c r="B128" s="423">
        <f t="shared" si="102"/>
        <v>0</v>
      </c>
      <c r="C128" s="424">
        <f t="shared" si="102"/>
        <v>0</v>
      </c>
      <c r="D128" s="425">
        <f t="shared" si="102"/>
        <v>0</v>
      </c>
      <c r="E128" s="426">
        <f t="shared" si="102"/>
        <v>0</v>
      </c>
      <c r="F128" s="426">
        <f t="shared" si="102"/>
        <v>0</v>
      </c>
      <c r="G128" s="426">
        <f t="shared" si="102"/>
        <v>0</v>
      </c>
      <c r="H128" s="426">
        <f t="shared" si="102"/>
        <v>0</v>
      </c>
      <c r="I128" s="426">
        <f t="shared" si="102"/>
        <v>0</v>
      </c>
      <c r="J128" s="426">
        <f t="shared" si="102"/>
        <v>0</v>
      </c>
      <c r="K128" s="426">
        <f t="shared" si="102"/>
        <v>0</v>
      </c>
      <c r="L128" s="426">
        <f t="shared" si="102"/>
        <v>0</v>
      </c>
      <c r="M128" s="426">
        <f t="shared" si="102"/>
        <v>0</v>
      </c>
      <c r="N128" s="426">
        <f t="shared" si="102"/>
        <v>0</v>
      </c>
      <c r="O128" s="427">
        <f t="shared" si="102"/>
        <v>0</v>
      </c>
      <c r="P128" s="428">
        <f>SUM(D128:O128)</f>
        <v>0</v>
      </c>
      <c r="Q128" s="429" t="str">
        <f t="shared" si="96"/>
        <v>-</v>
      </c>
    </row>
    <row r="129" spans="1:18" ht="16.5" customHeight="1" thickBot="1">
      <c r="A129" s="430" t="s">
        <v>20</v>
      </c>
      <c r="B129" s="431">
        <f t="shared" si="102"/>
        <v>0</v>
      </c>
      <c r="C129" s="432">
        <f t="shared" si="102"/>
        <v>0</v>
      </c>
      <c r="D129" s="433">
        <f t="shared" si="102"/>
        <v>0</v>
      </c>
      <c r="E129" s="434">
        <f t="shared" si="102"/>
        <v>0</v>
      </c>
      <c r="F129" s="434">
        <f t="shared" si="102"/>
        <v>0</v>
      </c>
      <c r="G129" s="434">
        <f t="shared" si="102"/>
        <v>0</v>
      </c>
      <c r="H129" s="434">
        <f t="shared" si="102"/>
        <v>0</v>
      </c>
      <c r="I129" s="434">
        <f t="shared" si="102"/>
        <v>0</v>
      </c>
      <c r="J129" s="434">
        <f t="shared" si="102"/>
        <v>0</v>
      </c>
      <c r="K129" s="434">
        <f t="shared" si="102"/>
        <v>0</v>
      </c>
      <c r="L129" s="434">
        <f t="shared" si="102"/>
        <v>0</v>
      </c>
      <c r="M129" s="434">
        <f t="shared" si="102"/>
        <v>0</v>
      </c>
      <c r="N129" s="434">
        <f t="shared" si="102"/>
        <v>0</v>
      </c>
      <c r="O129" s="435">
        <f t="shared" si="102"/>
        <v>0</v>
      </c>
      <c r="P129" s="436">
        <f>SUM(D129:O129)</f>
        <v>0</v>
      </c>
      <c r="Q129" s="437" t="str">
        <f t="shared" si="96"/>
        <v>-</v>
      </c>
    </row>
    <row r="130" spans="1:18" ht="22.5" customHeight="1" thickBot="1">
      <c r="A130" s="362" t="s">
        <v>30</v>
      </c>
      <c r="B130" s="363">
        <f t="shared" ref="B130:P130" si="103">SUM(B131:B132)</f>
        <v>0</v>
      </c>
      <c r="C130" s="416">
        <f t="shared" si="103"/>
        <v>0</v>
      </c>
      <c r="D130" s="417">
        <f t="shared" si="103"/>
        <v>0</v>
      </c>
      <c r="E130" s="418">
        <f t="shared" si="103"/>
        <v>0</v>
      </c>
      <c r="F130" s="418">
        <f t="shared" si="103"/>
        <v>0</v>
      </c>
      <c r="G130" s="418">
        <f t="shared" si="103"/>
        <v>0</v>
      </c>
      <c r="H130" s="418">
        <f t="shared" si="103"/>
        <v>0</v>
      </c>
      <c r="I130" s="418">
        <f t="shared" si="103"/>
        <v>0</v>
      </c>
      <c r="J130" s="418">
        <f t="shared" si="103"/>
        <v>0</v>
      </c>
      <c r="K130" s="418">
        <f t="shared" si="103"/>
        <v>0</v>
      </c>
      <c r="L130" s="418">
        <f t="shared" si="103"/>
        <v>0</v>
      </c>
      <c r="M130" s="418">
        <f t="shared" si="103"/>
        <v>0</v>
      </c>
      <c r="N130" s="418">
        <f t="shared" si="103"/>
        <v>0</v>
      </c>
      <c r="O130" s="419">
        <f t="shared" si="103"/>
        <v>0</v>
      </c>
      <c r="P130" s="420">
        <f t="shared" si="103"/>
        <v>0</v>
      </c>
      <c r="Q130" s="421" t="str">
        <f t="shared" si="96"/>
        <v>-</v>
      </c>
    </row>
    <row r="131" spans="1:18" ht="16.5" customHeight="1">
      <c r="A131" s="422" t="s">
        <v>106</v>
      </c>
      <c r="B131" s="423">
        <f t="shared" ref="B131:O132" si="104">+B85-B108</f>
        <v>0</v>
      </c>
      <c r="C131" s="424">
        <f t="shared" si="104"/>
        <v>0</v>
      </c>
      <c r="D131" s="425">
        <f t="shared" si="104"/>
        <v>0</v>
      </c>
      <c r="E131" s="426">
        <f t="shared" si="104"/>
        <v>0</v>
      </c>
      <c r="F131" s="426">
        <f t="shared" si="104"/>
        <v>0</v>
      </c>
      <c r="G131" s="426">
        <f t="shared" si="104"/>
        <v>0</v>
      </c>
      <c r="H131" s="426">
        <f t="shared" si="104"/>
        <v>0</v>
      </c>
      <c r="I131" s="426">
        <f t="shared" si="104"/>
        <v>0</v>
      </c>
      <c r="J131" s="426">
        <f t="shared" si="104"/>
        <v>0</v>
      </c>
      <c r="K131" s="426">
        <f t="shared" si="104"/>
        <v>0</v>
      </c>
      <c r="L131" s="426">
        <f t="shared" si="104"/>
        <v>0</v>
      </c>
      <c r="M131" s="426">
        <f t="shared" si="104"/>
        <v>0</v>
      </c>
      <c r="N131" s="426">
        <f t="shared" si="104"/>
        <v>0</v>
      </c>
      <c r="O131" s="427">
        <f t="shared" si="104"/>
        <v>0</v>
      </c>
      <c r="P131" s="428">
        <f>SUM(D131:O131)</f>
        <v>0</v>
      </c>
      <c r="Q131" s="429" t="str">
        <f t="shared" si="96"/>
        <v>-</v>
      </c>
    </row>
    <row r="132" spans="1:18" ht="16.5" customHeight="1" thickBot="1">
      <c r="A132" s="438" t="s">
        <v>105</v>
      </c>
      <c r="B132" s="439">
        <f t="shared" si="104"/>
        <v>0</v>
      </c>
      <c r="C132" s="440">
        <f t="shared" si="104"/>
        <v>0</v>
      </c>
      <c r="D132" s="441">
        <f t="shared" si="104"/>
        <v>0</v>
      </c>
      <c r="E132" s="442">
        <f t="shared" si="104"/>
        <v>0</v>
      </c>
      <c r="F132" s="442">
        <f t="shared" si="104"/>
        <v>0</v>
      </c>
      <c r="G132" s="442">
        <f t="shared" si="104"/>
        <v>0</v>
      </c>
      <c r="H132" s="442">
        <f t="shared" si="104"/>
        <v>0</v>
      </c>
      <c r="I132" s="442">
        <f t="shared" si="104"/>
        <v>0</v>
      </c>
      <c r="J132" s="442">
        <f t="shared" si="104"/>
        <v>0</v>
      </c>
      <c r="K132" s="442">
        <f t="shared" si="104"/>
        <v>0</v>
      </c>
      <c r="L132" s="442">
        <f t="shared" si="104"/>
        <v>0</v>
      </c>
      <c r="M132" s="442">
        <f t="shared" si="104"/>
        <v>0</v>
      </c>
      <c r="N132" s="442">
        <f t="shared" si="104"/>
        <v>0</v>
      </c>
      <c r="O132" s="443">
        <f t="shared" si="104"/>
        <v>0</v>
      </c>
      <c r="P132" s="444">
        <f>SUM(D132:O132)</f>
        <v>0</v>
      </c>
      <c r="Q132" s="445" t="str">
        <f t="shared" si="96"/>
        <v>-</v>
      </c>
    </row>
    <row r="133" spans="1:18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8" ht="22.5" customHeight="1" thickBot="1">
      <c r="A134" s="362" t="s">
        <v>86</v>
      </c>
      <c r="B134" s="363">
        <f t="shared" ref="B134:O134" si="105">+B88-B111</f>
        <v>0</v>
      </c>
      <c r="C134" s="364">
        <f t="shared" si="105"/>
        <v>0</v>
      </c>
      <c r="D134" s="365">
        <f t="shared" si="105"/>
        <v>0</v>
      </c>
      <c r="E134" s="366">
        <f t="shared" si="105"/>
        <v>0</v>
      </c>
      <c r="F134" s="366">
        <f t="shared" si="105"/>
        <v>0</v>
      </c>
      <c r="G134" s="366">
        <f t="shared" si="105"/>
        <v>0</v>
      </c>
      <c r="H134" s="366">
        <f t="shared" si="105"/>
        <v>0</v>
      </c>
      <c r="I134" s="366">
        <f t="shared" si="105"/>
        <v>0</v>
      </c>
      <c r="J134" s="366">
        <f t="shared" si="105"/>
        <v>0</v>
      </c>
      <c r="K134" s="366">
        <f t="shared" si="105"/>
        <v>0</v>
      </c>
      <c r="L134" s="366">
        <f t="shared" si="105"/>
        <v>0</v>
      </c>
      <c r="M134" s="366">
        <f t="shared" si="105"/>
        <v>0</v>
      </c>
      <c r="N134" s="366">
        <f t="shared" si="105"/>
        <v>0</v>
      </c>
      <c r="O134" s="448">
        <f t="shared" si="105"/>
        <v>0</v>
      </c>
      <c r="P134" s="363">
        <f>SUM(D134:O134)</f>
        <v>0</v>
      </c>
      <c r="Q134" s="367" t="str">
        <f>IF(P134=0,"-",P134/C134-1)</f>
        <v>-</v>
      </c>
    </row>
    <row r="135" spans="1:18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8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:P136" si="106">+C117+C127+C130+C134</f>
        <v>0</v>
      </c>
      <c r="D136" s="365">
        <f t="shared" si="106"/>
        <v>0</v>
      </c>
      <c r="E136" s="366">
        <f t="shared" si="106"/>
        <v>0</v>
      </c>
      <c r="F136" s="366">
        <f t="shared" si="106"/>
        <v>0</v>
      </c>
      <c r="G136" s="366">
        <f t="shared" si="106"/>
        <v>0</v>
      </c>
      <c r="H136" s="366">
        <f t="shared" si="106"/>
        <v>0</v>
      </c>
      <c r="I136" s="366">
        <f t="shared" si="106"/>
        <v>0</v>
      </c>
      <c r="J136" s="366">
        <f t="shared" si="106"/>
        <v>0</v>
      </c>
      <c r="K136" s="366">
        <f t="shared" si="106"/>
        <v>0</v>
      </c>
      <c r="L136" s="366">
        <f t="shared" si="106"/>
        <v>0</v>
      </c>
      <c r="M136" s="366">
        <f t="shared" si="106"/>
        <v>0</v>
      </c>
      <c r="N136" s="366">
        <f t="shared" si="106"/>
        <v>0</v>
      </c>
      <c r="O136" s="364">
        <f t="shared" si="106"/>
        <v>0</v>
      </c>
      <c r="P136" s="363">
        <f t="shared" si="106"/>
        <v>0</v>
      </c>
      <c r="Q136" s="367" t="str">
        <f>IF(P136=0,"-",P136/C136-1)</f>
        <v>-</v>
      </c>
      <c r="R136" s="630"/>
    </row>
    <row r="137" spans="1:18" ht="15" thickBot="1"/>
    <row r="138" spans="1:18" ht="33" customHeight="1" thickBot="1">
      <c r="A138" s="354"/>
      <c r="B138" s="2372" t="s">
        <v>664</v>
      </c>
      <c r="C138" s="2373"/>
      <c r="D138" s="2377" t="s">
        <v>645</v>
      </c>
      <c r="E138" s="2378">
        <v>0</v>
      </c>
      <c r="F138" s="2378">
        <v>0</v>
      </c>
      <c r="G138" s="2378">
        <v>0</v>
      </c>
      <c r="H138" s="2378">
        <v>0</v>
      </c>
      <c r="I138" s="2378">
        <v>0</v>
      </c>
      <c r="J138" s="2378">
        <v>0</v>
      </c>
      <c r="K138" s="2378">
        <v>0</v>
      </c>
      <c r="L138" s="2378">
        <v>0</v>
      </c>
      <c r="M138" s="2378">
        <v>0</v>
      </c>
      <c r="N138" s="2378">
        <v>0</v>
      </c>
      <c r="O138" s="2378">
        <v>0</v>
      </c>
      <c r="P138" s="2379">
        <v>0</v>
      </c>
      <c r="Q138" s="355" t="s">
        <v>679</v>
      </c>
    </row>
    <row r="139" spans="1:18" ht="30.75" customHeight="1" thickBot="1">
      <c r="A139" s="356"/>
      <c r="B139" s="357" t="s">
        <v>657</v>
      </c>
      <c r="C139" s="357" t="s">
        <v>663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8" ht="22.5" customHeight="1" thickBot="1">
      <c r="A140" s="362" t="s">
        <v>37</v>
      </c>
      <c r="B140" s="363">
        <f>SUM(B141:B173)</f>
        <v>0</v>
      </c>
      <c r="C140" s="364">
        <f t="shared" ref="C140:P140" si="107">SUM(C141:C173)</f>
        <v>0</v>
      </c>
      <c r="D140" s="417">
        <f t="shared" si="107"/>
        <v>0</v>
      </c>
      <c r="E140" s="418">
        <f t="shared" si="107"/>
        <v>0</v>
      </c>
      <c r="F140" s="418">
        <f t="shared" si="107"/>
        <v>0</v>
      </c>
      <c r="G140" s="418">
        <f t="shared" si="107"/>
        <v>0</v>
      </c>
      <c r="H140" s="418">
        <f t="shared" si="107"/>
        <v>0</v>
      </c>
      <c r="I140" s="418">
        <f t="shared" si="107"/>
        <v>0</v>
      </c>
      <c r="J140" s="418">
        <f t="shared" si="107"/>
        <v>0</v>
      </c>
      <c r="K140" s="418">
        <f t="shared" si="107"/>
        <v>0</v>
      </c>
      <c r="L140" s="418">
        <f t="shared" si="107"/>
        <v>0</v>
      </c>
      <c r="M140" s="418">
        <f t="shared" si="107"/>
        <v>0</v>
      </c>
      <c r="N140" s="418">
        <f t="shared" si="107"/>
        <v>0</v>
      </c>
      <c r="O140" s="416">
        <f t="shared" si="107"/>
        <v>0</v>
      </c>
      <c r="P140" s="420">
        <f t="shared" si="107"/>
        <v>0</v>
      </c>
      <c r="Q140" s="421"/>
      <c r="R140" s="353"/>
    </row>
    <row r="141" spans="1:18">
      <c r="A141" s="468" t="s">
        <v>38</v>
      </c>
      <c r="B141" s="1043"/>
      <c r="C141" s="471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474">
        <f>SUM(D141:O141)</f>
        <v>0</v>
      </c>
      <c r="Q141" s="475"/>
    </row>
    <row r="142" spans="1:18">
      <c r="A142" s="476" t="s">
        <v>39</v>
      </c>
      <c r="B142" s="1044"/>
      <c r="C142" s="479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394">
        <f t="shared" ref="P142:P173" si="108">SUM(D142:O142)</f>
        <v>0</v>
      </c>
      <c r="Q142" s="482"/>
    </row>
    <row r="143" spans="1:18">
      <c r="A143" s="483" t="s">
        <v>67</v>
      </c>
      <c r="B143" s="1045"/>
      <c r="C143" s="486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391">
        <f t="shared" si="108"/>
        <v>0</v>
      </c>
      <c r="Q143" s="489"/>
    </row>
    <row r="144" spans="1:18">
      <c r="A144" s="476" t="s">
        <v>40</v>
      </c>
      <c r="B144" s="1044"/>
      <c r="C144" s="479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394">
        <f t="shared" si="108"/>
        <v>0</v>
      </c>
      <c r="Q144" s="482"/>
    </row>
    <row r="145" spans="1:17">
      <c r="A145" s="483" t="s">
        <v>41</v>
      </c>
      <c r="B145" s="1045"/>
      <c r="C145" s="486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391">
        <f t="shared" si="108"/>
        <v>0</v>
      </c>
      <c r="Q145" s="489"/>
    </row>
    <row r="146" spans="1:17">
      <c r="A146" s="476" t="s">
        <v>42</v>
      </c>
      <c r="B146" s="1044"/>
      <c r="C146" s="479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394">
        <f t="shared" si="108"/>
        <v>0</v>
      </c>
      <c r="Q146" s="482"/>
    </row>
    <row r="147" spans="1:17">
      <c r="A147" s="483" t="s">
        <v>43</v>
      </c>
      <c r="B147" s="1045"/>
      <c r="C147" s="486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391">
        <f t="shared" si="108"/>
        <v>0</v>
      </c>
      <c r="Q147" s="489"/>
    </row>
    <row r="148" spans="1:17">
      <c r="A148" s="476" t="s">
        <v>44</v>
      </c>
      <c r="B148" s="1044"/>
      <c r="C148" s="479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394">
        <f t="shared" si="108"/>
        <v>0</v>
      </c>
      <c r="Q148" s="482"/>
    </row>
    <row r="149" spans="1:17">
      <c r="A149" s="483" t="s">
        <v>45</v>
      </c>
      <c r="B149" s="1045"/>
      <c r="C149" s="486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391">
        <f t="shared" si="108"/>
        <v>0</v>
      </c>
      <c r="Q149" s="489"/>
    </row>
    <row r="150" spans="1:17">
      <c r="A150" s="476" t="s">
        <v>46</v>
      </c>
      <c r="B150" s="1044"/>
      <c r="C150" s="479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394">
        <f t="shared" si="108"/>
        <v>0</v>
      </c>
      <c r="Q150" s="482"/>
    </row>
    <row r="151" spans="1:17" ht="14.25" customHeight="1">
      <c r="A151" s="483" t="s">
        <v>65</v>
      </c>
      <c r="B151" s="1045"/>
      <c r="C151" s="486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391">
        <f t="shared" si="108"/>
        <v>0</v>
      </c>
      <c r="Q151" s="489"/>
    </row>
    <row r="152" spans="1:17">
      <c r="A152" s="476" t="s">
        <v>78</v>
      </c>
      <c r="B152" s="1044"/>
      <c r="C152" s="479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394">
        <f t="shared" si="108"/>
        <v>0</v>
      </c>
      <c r="Q152" s="482"/>
    </row>
    <row r="153" spans="1:17">
      <c r="A153" s="483" t="s">
        <v>47</v>
      </c>
      <c r="B153" s="1045"/>
      <c r="C153" s="486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391">
        <f t="shared" si="108"/>
        <v>0</v>
      </c>
      <c r="Q153" s="489"/>
    </row>
    <row r="154" spans="1:17">
      <c r="A154" s="476" t="s">
        <v>48</v>
      </c>
      <c r="B154" s="1044"/>
      <c r="C154" s="479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394">
        <f t="shared" si="108"/>
        <v>0</v>
      </c>
      <c r="Q154" s="482"/>
    </row>
    <row r="155" spans="1:17">
      <c r="A155" s="483" t="s">
        <v>77</v>
      </c>
      <c r="B155" s="1045"/>
      <c r="C155" s="486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391">
        <f t="shared" si="108"/>
        <v>0</v>
      </c>
      <c r="Q155" s="489"/>
    </row>
    <row r="156" spans="1:17">
      <c r="A156" s="476" t="s">
        <v>49</v>
      </c>
      <c r="B156" s="1044"/>
      <c r="C156" s="479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394">
        <f t="shared" si="108"/>
        <v>0</v>
      </c>
      <c r="Q156" s="482"/>
    </row>
    <row r="157" spans="1:17">
      <c r="A157" s="483" t="s">
        <v>50</v>
      </c>
      <c r="B157" s="1045"/>
      <c r="C157" s="486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391">
        <f t="shared" si="108"/>
        <v>0</v>
      </c>
      <c r="Q157" s="489"/>
    </row>
    <row r="158" spans="1:17" ht="15" customHeight="1">
      <c r="A158" s="476" t="s">
        <v>76</v>
      </c>
      <c r="B158" s="1044"/>
      <c r="C158" s="479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394">
        <f t="shared" si="108"/>
        <v>0</v>
      </c>
      <c r="Q158" s="482"/>
    </row>
    <row r="159" spans="1:17">
      <c r="A159" s="483" t="s">
        <v>51</v>
      </c>
      <c r="B159" s="1045"/>
      <c r="C159" s="486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391">
        <f t="shared" si="108"/>
        <v>0</v>
      </c>
      <c r="Q159" s="489"/>
    </row>
    <row r="160" spans="1:17">
      <c r="A160" s="476" t="s">
        <v>52</v>
      </c>
      <c r="B160" s="1044"/>
      <c r="C160" s="479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394">
        <f t="shared" si="108"/>
        <v>0</v>
      </c>
      <c r="Q160" s="482"/>
    </row>
    <row r="161" spans="1:17">
      <c r="A161" s="483" t="s">
        <v>53</v>
      </c>
      <c r="B161" s="1045"/>
      <c r="C161" s="486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391">
        <f t="shared" si="108"/>
        <v>0</v>
      </c>
      <c r="Q161" s="489"/>
    </row>
    <row r="162" spans="1:17">
      <c r="A162" s="476" t="s">
        <v>54</v>
      </c>
      <c r="B162" s="1044"/>
      <c r="C162" s="479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394">
        <f t="shared" si="108"/>
        <v>0</v>
      </c>
      <c r="Q162" s="482"/>
    </row>
    <row r="163" spans="1:17">
      <c r="A163" s="483" t="s">
        <v>55</v>
      </c>
      <c r="B163" s="1045"/>
      <c r="C163" s="486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391">
        <f t="shared" si="108"/>
        <v>0</v>
      </c>
      <c r="Q163" s="489"/>
    </row>
    <row r="164" spans="1:17">
      <c r="A164" s="476" t="s">
        <v>56</v>
      </c>
      <c r="B164" s="1044"/>
      <c r="C164" s="479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394">
        <f t="shared" si="108"/>
        <v>0</v>
      </c>
      <c r="Q164" s="482"/>
    </row>
    <row r="165" spans="1:17">
      <c r="A165" s="483" t="s">
        <v>57</v>
      </c>
      <c r="B165" s="1045"/>
      <c r="C165" s="486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391">
        <f t="shared" si="108"/>
        <v>0</v>
      </c>
      <c r="Q165" s="489"/>
    </row>
    <row r="166" spans="1:17">
      <c r="A166" s="476" t="s">
        <v>58</v>
      </c>
      <c r="B166" s="1044"/>
      <c r="C166" s="479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394">
        <f t="shared" si="108"/>
        <v>0</v>
      </c>
      <c r="Q166" s="482"/>
    </row>
    <row r="167" spans="1:17">
      <c r="A167" s="483" t="s">
        <v>59</v>
      </c>
      <c r="B167" s="1045"/>
      <c r="C167" s="486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391">
        <f t="shared" si="108"/>
        <v>0</v>
      </c>
      <c r="Q167" s="489"/>
    </row>
    <row r="168" spans="1:17">
      <c r="A168" s="476" t="s">
        <v>60</v>
      </c>
      <c r="B168" s="1044"/>
      <c r="C168" s="479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394">
        <f t="shared" si="108"/>
        <v>0</v>
      </c>
      <c r="Q168" s="482"/>
    </row>
    <row r="169" spans="1:17">
      <c r="A169" s="483" t="s">
        <v>61</v>
      </c>
      <c r="B169" s="1045"/>
      <c r="C169" s="486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391">
        <f t="shared" si="108"/>
        <v>0</v>
      </c>
      <c r="Q169" s="489"/>
    </row>
    <row r="170" spans="1:17">
      <c r="A170" s="476" t="s">
        <v>62</v>
      </c>
      <c r="B170" s="1044"/>
      <c r="C170" s="479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394">
        <f t="shared" si="108"/>
        <v>0</v>
      </c>
      <c r="Q170" s="482"/>
    </row>
    <row r="171" spans="1:17">
      <c r="A171" s="483" t="s">
        <v>63</v>
      </c>
      <c r="B171" s="1045"/>
      <c r="C171" s="486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391">
        <f t="shared" si="108"/>
        <v>0</v>
      </c>
      <c r="Q171" s="489"/>
    </row>
    <row r="172" spans="1:17">
      <c r="A172" s="476" t="s">
        <v>66</v>
      </c>
      <c r="B172" s="1044"/>
      <c r="C172" s="479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394">
        <f t="shared" si="108"/>
        <v>0</v>
      </c>
      <c r="Q172" s="482"/>
    </row>
    <row r="173" spans="1:17" ht="15" thickBot="1">
      <c r="A173" s="490" t="s">
        <v>64</v>
      </c>
      <c r="B173" s="1046"/>
      <c r="C173" s="493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496">
        <f t="shared" si="108"/>
        <v>0</v>
      </c>
      <c r="Q173" s="497"/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7" t="s">
        <v>677</v>
      </c>
      <c r="E175" s="2378"/>
      <c r="F175" s="2378"/>
      <c r="G175" s="2378"/>
      <c r="H175" s="2378"/>
      <c r="I175" s="2378"/>
      <c r="J175" s="2378"/>
      <c r="K175" s="2378"/>
      <c r="L175" s="2378"/>
      <c r="M175" s="2378"/>
      <c r="N175" s="2378"/>
      <c r="O175" s="2378"/>
      <c r="P175" s="2379"/>
      <c r="Q175" s="355" t="s">
        <v>679</v>
      </c>
    </row>
    <row r="176" spans="1:17" ht="30.75" customHeight="1" thickBot="1">
      <c r="A176" s="498"/>
      <c r="B176" s="357" t="s">
        <v>657</v>
      </c>
      <c r="C176" s="357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2082">
        <f>B44</f>
        <v>0</v>
      </c>
      <c r="C177" s="2090">
        <f t="shared" ref="C177:P177" si="109">C44</f>
        <v>0</v>
      </c>
      <c r="D177" s="505">
        <f>D44</f>
        <v>0</v>
      </c>
      <c r="E177" s="472">
        <f t="shared" si="109"/>
        <v>0</v>
      </c>
      <c r="F177" s="472">
        <f t="shared" si="109"/>
        <v>0</v>
      </c>
      <c r="G177" s="472">
        <f t="shared" si="109"/>
        <v>0</v>
      </c>
      <c r="H177" s="472">
        <f t="shared" si="109"/>
        <v>0</v>
      </c>
      <c r="I177" s="472">
        <f t="shared" si="109"/>
        <v>0</v>
      </c>
      <c r="J177" s="472">
        <f t="shared" si="109"/>
        <v>0</v>
      </c>
      <c r="K177" s="472">
        <f t="shared" si="109"/>
        <v>0</v>
      </c>
      <c r="L177" s="472">
        <f t="shared" si="109"/>
        <v>0</v>
      </c>
      <c r="M177" s="472">
        <f t="shared" si="109"/>
        <v>0</v>
      </c>
      <c r="N177" s="472">
        <f t="shared" si="109"/>
        <v>0</v>
      </c>
      <c r="O177" s="473">
        <f t="shared" si="109"/>
        <v>0</v>
      </c>
      <c r="P177" s="474">
        <f t="shared" si="109"/>
        <v>0</v>
      </c>
      <c r="Q177" s="506" t="str">
        <f t="shared" ref="Q177:Q187" si="110">IF(P177=0,"-",P177/C177-1)</f>
        <v>-</v>
      </c>
    </row>
    <row r="178" spans="1:17" ht="21" customHeight="1">
      <c r="A178" s="476" t="s">
        <v>69</v>
      </c>
      <c r="B178" s="2083">
        <f>B67</f>
        <v>0</v>
      </c>
      <c r="C178" s="2091">
        <f t="shared" ref="C178:P178" si="111">C67</f>
        <v>0</v>
      </c>
      <c r="D178" s="509">
        <f t="shared" si="111"/>
        <v>0</v>
      </c>
      <c r="E178" s="480">
        <f t="shared" si="111"/>
        <v>0</v>
      </c>
      <c r="F178" s="480">
        <f t="shared" si="111"/>
        <v>0</v>
      </c>
      <c r="G178" s="480">
        <f t="shared" si="111"/>
        <v>0</v>
      </c>
      <c r="H178" s="480">
        <f t="shared" si="111"/>
        <v>0</v>
      </c>
      <c r="I178" s="480">
        <f t="shared" si="111"/>
        <v>0</v>
      </c>
      <c r="J178" s="480">
        <f t="shared" si="111"/>
        <v>0</v>
      </c>
      <c r="K178" s="480">
        <f t="shared" si="111"/>
        <v>0</v>
      </c>
      <c r="L178" s="480">
        <f t="shared" si="111"/>
        <v>0</v>
      </c>
      <c r="M178" s="480">
        <f t="shared" si="111"/>
        <v>0</v>
      </c>
      <c r="N178" s="480">
        <f t="shared" si="111"/>
        <v>0</v>
      </c>
      <c r="O178" s="481">
        <f t="shared" si="111"/>
        <v>0</v>
      </c>
      <c r="P178" s="394">
        <f t="shared" si="111"/>
        <v>0</v>
      </c>
      <c r="Q178" s="510" t="str">
        <f t="shared" si="110"/>
        <v>-</v>
      </c>
    </row>
    <row r="179" spans="1:17" ht="21" customHeight="1">
      <c r="A179" s="483" t="s">
        <v>512</v>
      </c>
      <c r="B179" s="2038"/>
      <c r="C179" s="2039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10"/>
        <v>-</v>
      </c>
    </row>
    <row r="180" spans="1:17" ht="21" customHeight="1">
      <c r="A180" s="483" t="s">
        <v>70</v>
      </c>
      <c r="B180" s="2042">
        <f>B90-B179</f>
        <v>0</v>
      </c>
      <c r="C180" s="2043">
        <f t="shared" ref="C180:P180" si="112">C90-C179</f>
        <v>0</v>
      </c>
      <c r="D180" s="513">
        <f t="shared" si="112"/>
        <v>0</v>
      </c>
      <c r="E180" s="487">
        <f t="shared" si="112"/>
        <v>0</v>
      </c>
      <c r="F180" s="487">
        <f t="shared" si="112"/>
        <v>0</v>
      </c>
      <c r="G180" s="487">
        <f t="shared" si="112"/>
        <v>0</v>
      </c>
      <c r="H180" s="487">
        <f t="shared" si="112"/>
        <v>0</v>
      </c>
      <c r="I180" s="487">
        <f t="shared" si="112"/>
        <v>0</v>
      </c>
      <c r="J180" s="487">
        <f t="shared" si="112"/>
        <v>0</v>
      </c>
      <c r="K180" s="487">
        <f t="shared" si="112"/>
        <v>0</v>
      </c>
      <c r="L180" s="487">
        <f t="shared" si="112"/>
        <v>0</v>
      </c>
      <c r="M180" s="487">
        <f t="shared" si="112"/>
        <v>0</v>
      </c>
      <c r="N180" s="487">
        <f t="shared" si="112"/>
        <v>0</v>
      </c>
      <c r="O180" s="488">
        <f t="shared" si="112"/>
        <v>0</v>
      </c>
      <c r="P180" s="391">
        <f t="shared" si="112"/>
        <v>0</v>
      </c>
      <c r="Q180" s="514" t="str">
        <f t="shared" si="110"/>
        <v>-</v>
      </c>
    </row>
    <row r="181" spans="1:17" ht="21" customHeight="1">
      <c r="A181" s="476" t="s">
        <v>71</v>
      </c>
      <c r="B181" s="2083">
        <f>B113</f>
        <v>0</v>
      </c>
      <c r="C181" s="2091">
        <f t="shared" ref="C181:P181" si="113">C113</f>
        <v>0</v>
      </c>
      <c r="D181" s="509">
        <f t="shared" si="113"/>
        <v>0</v>
      </c>
      <c r="E181" s="480">
        <f t="shared" si="113"/>
        <v>0</v>
      </c>
      <c r="F181" s="480">
        <f t="shared" si="113"/>
        <v>0</v>
      </c>
      <c r="G181" s="480">
        <f t="shared" si="113"/>
        <v>0</v>
      </c>
      <c r="H181" s="480">
        <f t="shared" si="113"/>
        <v>0</v>
      </c>
      <c r="I181" s="480">
        <f t="shared" si="113"/>
        <v>0</v>
      </c>
      <c r="J181" s="480">
        <f t="shared" si="113"/>
        <v>0</v>
      </c>
      <c r="K181" s="480">
        <f t="shared" si="113"/>
        <v>0</v>
      </c>
      <c r="L181" s="480">
        <f t="shared" si="113"/>
        <v>0</v>
      </c>
      <c r="M181" s="480">
        <f t="shared" si="113"/>
        <v>0</v>
      </c>
      <c r="N181" s="480">
        <f t="shared" si="113"/>
        <v>0</v>
      </c>
      <c r="O181" s="481">
        <f t="shared" si="113"/>
        <v>0</v>
      </c>
      <c r="P181" s="394">
        <f t="shared" si="113"/>
        <v>0</v>
      </c>
      <c r="Q181" s="510" t="str">
        <f t="shared" si="110"/>
        <v>-</v>
      </c>
    </row>
    <row r="182" spans="1:17" ht="21" customHeight="1">
      <c r="A182" s="483" t="s">
        <v>36</v>
      </c>
      <c r="B182" s="2042">
        <f>B136</f>
        <v>0</v>
      </c>
      <c r="C182" s="2043">
        <f t="shared" ref="C182:P182" si="114">C136</f>
        <v>0</v>
      </c>
      <c r="D182" s="513">
        <f t="shared" si="114"/>
        <v>0</v>
      </c>
      <c r="E182" s="487">
        <f t="shared" si="114"/>
        <v>0</v>
      </c>
      <c r="F182" s="487">
        <f t="shared" si="114"/>
        <v>0</v>
      </c>
      <c r="G182" s="487">
        <f t="shared" si="114"/>
        <v>0</v>
      </c>
      <c r="H182" s="487">
        <f t="shared" si="114"/>
        <v>0</v>
      </c>
      <c r="I182" s="487">
        <f t="shared" si="114"/>
        <v>0</v>
      </c>
      <c r="J182" s="487">
        <f t="shared" si="114"/>
        <v>0</v>
      </c>
      <c r="K182" s="487">
        <f t="shared" si="114"/>
        <v>0</v>
      </c>
      <c r="L182" s="487">
        <f t="shared" si="114"/>
        <v>0</v>
      </c>
      <c r="M182" s="487">
        <f t="shared" si="114"/>
        <v>0</v>
      </c>
      <c r="N182" s="487">
        <f t="shared" si="114"/>
        <v>0</v>
      </c>
      <c r="O182" s="488">
        <f t="shared" si="114"/>
        <v>0</v>
      </c>
      <c r="P182" s="391">
        <f t="shared" si="114"/>
        <v>0</v>
      </c>
      <c r="Q182" s="514" t="str">
        <f t="shared" si="110"/>
        <v>-</v>
      </c>
    </row>
    <row r="183" spans="1:17" ht="21" customHeight="1">
      <c r="A183" s="515" t="s">
        <v>73</v>
      </c>
      <c r="B183" s="2040" t="e">
        <f>B182/B180</f>
        <v>#DIV/0!</v>
      </c>
      <c r="C183" s="2041" t="e">
        <f t="shared" ref="C183:P183" si="115">C182/C180</f>
        <v>#DIV/0!</v>
      </c>
      <c r="D183" s="518" t="e">
        <f t="shared" si="115"/>
        <v>#DIV/0!</v>
      </c>
      <c r="E183" s="519" t="e">
        <f t="shared" si="115"/>
        <v>#DIV/0!</v>
      </c>
      <c r="F183" s="519" t="e">
        <f t="shared" si="115"/>
        <v>#DIV/0!</v>
      </c>
      <c r="G183" s="519" t="e">
        <f t="shared" si="115"/>
        <v>#DIV/0!</v>
      </c>
      <c r="H183" s="519" t="e">
        <f t="shared" si="115"/>
        <v>#DIV/0!</v>
      </c>
      <c r="I183" s="519" t="e">
        <f t="shared" si="115"/>
        <v>#DIV/0!</v>
      </c>
      <c r="J183" s="519" t="e">
        <f t="shared" si="115"/>
        <v>#DIV/0!</v>
      </c>
      <c r="K183" s="519" t="e">
        <f t="shared" si="115"/>
        <v>#DIV/0!</v>
      </c>
      <c r="L183" s="519" t="e">
        <f t="shared" si="115"/>
        <v>#DIV/0!</v>
      </c>
      <c r="M183" s="519" t="e">
        <f t="shared" si="115"/>
        <v>#DIV/0!</v>
      </c>
      <c r="N183" s="519" t="e">
        <f t="shared" si="115"/>
        <v>#DIV/0!</v>
      </c>
      <c r="O183" s="520" t="e">
        <f t="shared" si="115"/>
        <v>#DIV/0!</v>
      </c>
      <c r="P183" s="521" t="e">
        <f t="shared" si="115"/>
        <v>#DIV/0!</v>
      </c>
      <c r="Q183" s="522" t="e">
        <f t="shared" si="110"/>
        <v>#DIV/0!</v>
      </c>
    </row>
    <row r="184" spans="1:17" ht="21" customHeight="1">
      <c r="A184" s="483" t="s">
        <v>75</v>
      </c>
      <c r="B184" s="2042">
        <f>B140</f>
        <v>0</v>
      </c>
      <c r="C184" s="2043">
        <f t="shared" ref="C184" si="116">C140</f>
        <v>0</v>
      </c>
      <c r="D184" s="513">
        <f>D140/1000</f>
        <v>0</v>
      </c>
      <c r="E184" s="487">
        <f>E140/1000</f>
        <v>0</v>
      </c>
      <c r="F184" s="487">
        <f>F140/1000</f>
        <v>0</v>
      </c>
      <c r="G184" s="487">
        <f t="shared" ref="G184:N184" si="117">G140/1000</f>
        <v>0</v>
      </c>
      <c r="H184" s="487">
        <f t="shared" si="117"/>
        <v>0</v>
      </c>
      <c r="I184" s="487">
        <f t="shared" si="117"/>
        <v>0</v>
      </c>
      <c r="J184" s="487">
        <f t="shared" si="117"/>
        <v>0</v>
      </c>
      <c r="K184" s="487">
        <f t="shared" si="117"/>
        <v>0</v>
      </c>
      <c r="L184" s="487">
        <f t="shared" si="117"/>
        <v>0</v>
      </c>
      <c r="M184" s="487">
        <f t="shared" si="117"/>
        <v>0</v>
      </c>
      <c r="N184" s="487">
        <f t="shared" si="117"/>
        <v>0</v>
      </c>
      <c r="O184" s="487">
        <f>O140/1000</f>
        <v>0</v>
      </c>
      <c r="P184" s="391">
        <f>P140/1000</f>
        <v>0</v>
      </c>
      <c r="Q184" s="514" t="str">
        <f>IF(P184=0,"-",P184/C184-1)</f>
        <v>-</v>
      </c>
    </row>
    <row r="185" spans="1:17" s="531" customFormat="1" ht="21" customHeight="1">
      <c r="A185" s="523" t="s">
        <v>74</v>
      </c>
      <c r="B185" s="2044" t="e">
        <f>B184/B180</f>
        <v>#DIV/0!</v>
      </c>
      <c r="C185" s="2045" t="e">
        <f t="shared" ref="C185:P185" si="118">C184/C180</f>
        <v>#DIV/0!</v>
      </c>
      <c r="D185" s="526" t="e">
        <f t="shared" si="118"/>
        <v>#DIV/0!</v>
      </c>
      <c r="E185" s="527" t="e">
        <f t="shared" si="118"/>
        <v>#DIV/0!</v>
      </c>
      <c r="F185" s="527" t="e">
        <f t="shared" si="118"/>
        <v>#DIV/0!</v>
      </c>
      <c r="G185" s="527" t="e">
        <f t="shared" si="118"/>
        <v>#DIV/0!</v>
      </c>
      <c r="H185" s="527" t="e">
        <f t="shared" si="118"/>
        <v>#DIV/0!</v>
      </c>
      <c r="I185" s="527" t="e">
        <f t="shared" si="118"/>
        <v>#DIV/0!</v>
      </c>
      <c r="J185" s="527" t="e">
        <f t="shared" si="118"/>
        <v>#DIV/0!</v>
      </c>
      <c r="K185" s="527" t="e">
        <f t="shared" si="118"/>
        <v>#DIV/0!</v>
      </c>
      <c r="L185" s="527" t="e">
        <f t="shared" si="118"/>
        <v>#DIV/0!</v>
      </c>
      <c r="M185" s="527" t="e">
        <f t="shared" si="118"/>
        <v>#DIV/0!</v>
      </c>
      <c r="N185" s="527" t="e">
        <f t="shared" si="118"/>
        <v>#DIV/0!</v>
      </c>
      <c r="O185" s="528" t="e">
        <f t="shared" si="118"/>
        <v>#DIV/0!</v>
      </c>
      <c r="P185" s="529" t="e">
        <f t="shared" si="118"/>
        <v>#DIV/0!</v>
      </c>
      <c r="Q185" s="530" t="e">
        <f>IF(P185=0,"-",P185/C185-1)</f>
        <v>#DIV/0!</v>
      </c>
    </row>
    <row r="186" spans="1:17" s="281" customFormat="1" ht="21" customHeight="1" thickBot="1">
      <c r="A186" s="532" t="s">
        <v>79</v>
      </c>
      <c r="B186" s="2046">
        <f>B182-B184</f>
        <v>0</v>
      </c>
      <c r="C186" s="2047">
        <f t="shared" ref="C186:P186" si="119">C182-C184</f>
        <v>0</v>
      </c>
      <c r="D186" s="535">
        <f t="shared" si="119"/>
        <v>0</v>
      </c>
      <c r="E186" s="536">
        <f t="shared" si="119"/>
        <v>0</v>
      </c>
      <c r="F186" s="536">
        <f t="shared" si="119"/>
        <v>0</v>
      </c>
      <c r="G186" s="536">
        <f t="shared" si="119"/>
        <v>0</v>
      </c>
      <c r="H186" s="536">
        <f t="shared" si="119"/>
        <v>0</v>
      </c>
      <c r="I186" s="536">
        <f t="shared" si="119"/>
        <v>0</v>
      </c>
      <c r="J186" s="536">
        <f t="shared" si="119"/>
        <v>0</v>
      </c>
      <c r="K186" s="536">
        <f t="shared" si="119"/>
        <v>0</v>
      </c>
      <c r="L186" s="536">
        <f t="shared" si="119"/>
        <v>0</v>
      </c>
      <c r="M186" s="536">
        <f t="shared" si="119"/>
        <v>0</v>
      </c>
      <c r="N186" s="536">
        <f t="shared" si="119"/>
        <v>0</v>
      </c>
      <c r="O186" s="537">
        <f t="shared" si="119"/>
        <v>0</v>
      </c>
      <c r="P186" s="496">
        <f t="shared" si="119"/>
        <v>0</v>
      </c>
      <c r="Q186" s="538" t="str">
        <f t="shared" si="110"/>
        <v>-</v>
      </c>
    </row>
    <row r="187" spans="1:17" s="281" customFormat="1" ht="21" customHeight="1" thickBot="1">
      <c r="A187" s="539" t="s">
        <v>80</v>
      </c>
      <c r="B187" s="2048" t="e">
        <f>B186/B180</f>
        <v>#DIV/0!</v>
      </c>
      <c r="C187" s="1427" t="e">
        <f t="shared" ref="C187:P187" si="120">C186/C180</f>
        <v>#DIV/0!</v>
      </c>
      <c r="D187" s="542" t="e">
        <f t="shared" si="120"/>
        <v>#DIV/0!</v>
      </c>
      <c r="E187" s="543" t="e">
        <f t="shared" si="120"/>
        <v>#DIV/0!</v>
      </c>
      <c r="F187" s="543" t="e">
        <f t="shared" si="120"/>
        <v>#DIV/0!</v>
      </c>
      <c r="G187" s="543" t="e">
        <f t="shared" si="120"/>
        <v>#DIV/0!</v>
      </c>
      <c r="H187" s="543" t="e">
        <f t="shared" si="120"/>
        <v>#DIV/0!</v>
      </c>
      <c r="I187" s="543" t="e">
        <f t="shared" si="120"/>
        <v>#DIV/0!</v>
      </c>
      <c r="J187" s="543" t="e">
        <f t="shared" si="120"/>
        <v>#DIV/0!</v>
      </c>
      <c r="K187" s="543" t="e">
        <f t="shared" si="120"/>
        <v>#DIV/0!</v>
      </c>
      <c r="L187" s="543" t="e">
        <f t="shared" si="120"/>
        <v>#DIV/0!</v>
      </c>
      <c r="M187" s="543" t="e">
        <f t="shared" si="120"/>
        <v>#DIV/0!</v>
      </c>
      <c r="N187" s="543" t="e">
        <f t="shared" si="120"/>
        <v>#DIV/0!</v>
      </c>
      <c r="O187" s="544" t="e">
        <f t="shared" si="120"/>
        <v>#DIV/0!</v>
      </c>
      <c r="P187" s="545" t="e">
        <f t="shared" si="120"/>
        <v>#DIV/0!</v>
      </c>
      <c r="Q187" s="546" t="e">
        <f t="shared" si="110"/>
        <v>#DIV/0!</v>
      </c>
    </row>
  </sheetData>
  <mergeCells count="16">
    <mergeCell ref="B2:C2"/>
    <mergeCell ref="D2:P2"/>
    <mergeCell ref="B23:C23"/>
    <mergeCell ref="D23:P23"/>
    <mergeCell ref="B46:C46"/>
    <mergeCell ref="D46:P46"/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</mergeCells>
  <pageMargins left="0.25" right="0.25" top="0.75" bottom="0.75" header="0.3" footer="0.3"/>
  <pageSetup paperSize="9" scale="72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V187"/>
  <sheetViews>
    <sheetView zoomScale="85" zoomScaleNormal="85" workbookViewId="0">
      <selection activeCell="D9" sqref="D9:O9"/>
    </sheetView>
  </sheetViews>
  <sheetFormatPr defaultColWidth="9.109375" defaultRowHeight="14.4"/>
  <cols>
    <col min="1" max="1" width="32.5546875" style="352" customWidth="1"/>
    <col min="2" max="2" width="13.33203125" style="352" customWidth="1"/>
    <col min="3" max="3" width="11.88671875" style="352" customWidth="1"/>
    <col min="4" max="4" width="10.88671875" style="352" bestFit="1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7" width="10.109375" style="352" bestFit="1" customWidth="1"/>
    <col min="18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7" t="s">
        <v>637</v>
      </c>
      <c r="E2" s="2378"/>
      <c r="F2" s="2378"/>
      <c r="G2" s="2378"/>
      <c r="H2" s="2378"/>
      <c r="I2" s="2378"/>
      <c r="J2" s="2378"/>
      <c r="K2" s="2378"/>
      <c r="L2" s="2378"/>
      <c r="M2" s="2378"/>
      <c r="N2" s="2378"/>
      <c r="O2" s="2378"/>
      <c r="P2" s="2379"/>
      <c r="Q2" s="355" t="s">
        <v>638</v>
      </c>
    </row>
    <row r="3" spans="1:22" ht="45.75" customHeight="1" thickBot="1">
      <c r="A3" s="356"/>
      <c r="B3" s="357" t="s">
        <v>681</v>
      </c>
      <c r="C3" s="357" t="s">
        <v>663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367" t="str">
        <f t="shared" ref="Q4:Q16" si="3">IF(P4=0,"-",P4/C4-1)</f>
        <v>-</v>
      </c>
    </row>
    <row r="5" spans="1:22" ht="16.5" customHeight="1">
      <c r="A5" s="368" t="s">
        <v>15</v>
      </c>
      <c r="B5" s="369"/>
      <c r="C5" s="370">
        <f>+B5/10*12</f>
        <v>0</v>
      </c>
      <c r="D5" s="371"/>
      <c r="E5" s="372"/>
      <c r="F5" s="372"/>
      <c r="G5" s="372"/>
      <c r="H5" s="373"/>
      <c r="I5" s="373"/>
      <c r="J5" s="373"/>
      <c r="K5" s="373"/>
      <c r="L5" s="373"/>
      <c r="M5" s="373"/>
      <c r="N5" s="373"/>
      <c r="O5" s="374"/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customHeight="1">
      <c r="A6" s="377" t="s">
        <v>16</v>
      </c>
      <c r="B6" s="378"/>
      <c r="C6" s="379"/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384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+C6+C5</f>
        <v>0</v>
      </c>
      <c r="D7" s="388">
        <f>SUM(D5:D6)</f>
        <v>0</v>
      </c>
      <c r="E7" s="389">
        <f t="shared" ref="E7:O7" si="4">SUM(E5:E6)</f>
        <v>0</v>
      </c>
      <c r="F7" s="389">
        <f t="shared" si="4"/>
        <v>0</v>
      </c>
      <c r="G7" s="389">
        <f t="shared" si="4"/>
        <v>0</v>
      </c>
      <c r="H7" s="389">
        <f t="shared" si="4"/>
        <v>0</v>
      </c>
      <c r="I7" s="389">
        <f t="shared" si="4"/>
        <v>0</v>
      </c>
      <c r="J7" s="389">
        <f t="shared" si="4"/>
        <v>0</v>
      </c>
      <c r="K7" s="389">
        <f t="shared" si="4"/>
        <v>0</v>
      </c>
      <c r="L7" s="389">
        <f t="shared" si="4"/>
        <v>0</v>
      </c>
      <c r="M7" s="389">
        <f t="shared" si="4"/>
        <v>0</v>
      </c>
      <c r="N7" s="389">
        <f t="shared" si="4"/>
        <v>0</v>
      </c>
      <c r="O7" s="390">
        <f t="shared" si="4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/>
      <c r="C8" s="398">
        <f>+B8/10*12</f>
        <v>0</v>
      </c>
      <c r="D8" s="396"/>
      <c r="E8" s="397"/>
      <c r="F8" s="397"/>
      <c r="G8" s="397"/>
      <c r="H8" s="397"/>
      <c r="I8" s="397"/>
      <c r="J8" s="397"/>
      <c r="K8" s="397"/>
      <c r="L8" s="397"/>
      <c r="M8" s="397"/>
      <c r="N8" s="397"/>
      <c r="O8" s="398"/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370"/>
      <c r="D9" s="402"/>
      <c r="E9" s="403"/>
      <c r="F9" s="403"/>
      <c r="G9" s="403"/>
      <c r="H9" s="403"/>
      <c r="I9" s="403"/>
      <c r="J9" s="403"/>
      <c r="K9" s="403"/>
      <c r="L9" s="403"/>
      <c r="M9" s="403"/>
      <c r="N9" s="403"/>
      <c r="O9" s="404"/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394"/>
      <c r="C10" s="370">
        <f t="shared" ref="C10" si="5">+B10/10*12</f>
        <v>0</v>
      </c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384" t="str">
        <f t="shared" si="3"/>
        <v>-</v>
      </c>
    </row>
    <row r="11" spans="1:22" ht="16.5" customHeight="1">
      <c r="A11" s="400" t="s">
        <v>83</v>
      </c>
      <c r="B11" s="408"/>
      <c r="C11" s="370"/>
      <c r="D11" s="402"/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4"/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378"/>
      <c r="C12" s="379"/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384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11">
        <f>SUM(B9:B12)</f>
        <v>0</v>
      </c>
      <c r="C13" s="412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364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370">
        <f t="shared" ref="C15:C16" si="9">+B15/10*12</f>
        <v>0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370">
        <f t="shared" si="9"/>
        <v>0</v>
      </c>
      <c r="D16" s="433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5"/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:C17" si="10">SUM(B18:B19)</f>
        <v>0</v>
      </c>
      <c r="C17" s="364">
        <f t="shared" si="10"/>
        <v>0</v>
      </c>
      <c r="D17" s="417">
        <f>SUM(D18:D19)</f>
        <v>0</v>
      </c>
      <c r="E17" s="418">
        <f t="shared" ref="E17:O17" si="11">SUM(E18:E19)</f>
        <v>0</v>
      </c>
      <c r="F17" s="418">
        <f t="shared" si="11"/>
        <v>0</v>
      </c>
      <c r="G17" s="418">
        <f t="shared" si="11"/>
        <v>0</v>
      </c>
      <c r="H17" s="418">
        <f t="shared" si="11"/>
        <v>0</v>
      </c>
      <c r="I17" s="418">
        <f t="shared" si="11"/>
        <v>0</v>
      </c>
      <c r="J17" s="418">
        <f t="shared" si="11"/>
        <v>0</v>
      </c>
      <c r="K17" s="418">
        <f t="shared" si="11"/>
        <v>0</v>
      </c>
      <c r="L17" s="418">
        <f t="shared" si="11"/>
        <v>0</v>
      </c>
      <c r="M17" s="418">
        <f t="shared" si="11"/>
        <v>0</v>
      </c>
      <c r="N17" s="418">
        <f t="shared" si="11"/>
        <v>0</v>
      </c>
      <c r="O17" s="419">
        <f t="shared" si="11"/>
        <v>0</v>
      </c>
      <c r="P17" s="420">
        <f t="shared" si="2"/>
        <v>0</v>
      </c>
      <c r="Q17" s="421" t="str">
        <f>IF(P17=0,"-",P17/C17-1)</f>
        <v>-</v>
      </c>
    </row>
    <row r="18" spans="1:22" ht="16.5" customHeight="1">
      <c r="A18" s="422" t="s">
        <v>106</v>
      </c>
      <c r="B18" s="423"/>
      <c r="C18" s="370">
        <f>+B18/10*12</f>
        <v>0</v>
      </c>
      <c r="D18" s="425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7"/>
      <c r="P18" s="428">
        <f t="shared" si="2"/>
        <v>0</v>
      </c>
      <c r="Q18" s="429" t="str">
        <f>IF(P18=0,"-",P18/C18-1)</f>
        <v>-</v>
      </c>
    </row>
    <row r="19" spans="1:22" ht="16.5" customHeight="1" thickBot="1">
      <c r="A19" s="438" t="s">
        <v>105</v>
      </c>
      <c r="B19" s="439"/>
      <c r="C19" s="1447">
        <f>+B19/10*12</f>
        <v>0</v>
      </c>
      <c r="D19" s="441"/>
      <c r="E19" s="442"/>
      <c r="F19" s="442"/>
      <c r="G19" s="442"/>
      <c r="H19" s="442"/>
      <c r="I19" s="442"/>
      <c r="J19" s="442"/>
      <c r="K19" s="442"/>
      <c r="L19" s="442"/>
      <c r="M19" s="442"/>
      <c r="N19" s="442"/>
      <c r="O19" s="443"/>
      <c r="P19" s="444">
        <f t="shared" si="2"/>
        <v>0</v>
      </c>
      <c r="Q19" s="445" t="str">
        <f>IF(P19=0,"-",P19/C19-1)</f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/>
    </row>
    <row r="21" spans="1:22" ht="22.5" customHeight="1" thickBot="1">
      <c r="A21" s="362" t="s">
        <v>85</v>
      </c>
      <c r="B21" s="363"/>
      <c r="C21" s="364"/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>IF(P21=0,"-",P21/C21-1)</f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7" t="s">
        <v>672</v>
      </c>
      <c r="E23" s="2378">
        <v>0</v>
      </c>
      <c r="F23" s="2378">
        <v>0</v>
      </c>
      <c r="G23" s="2378">
        <v>0</v>
      </c>
      <c r="H23" s="2378">
        <v>0</v>
      </c>
      <c r="I23" s="2378">
        <v>0</v>
      </c>
      <c r="J23" s="2378">
        <v>0</v>
      </c>
      <c r="K23" s="2378">
        <v>0</v>
      </c>
      <c r="L23" s="2378">
        <v>0</v>
      </c>
      <c r="M23" s="2378">
        <v>0</v>
      </c>
      <c r="N23" s="2378">
        <v>0</v>
      </c>
      <c r="O23" s="2378">
        <v>0</v>
      </c>
      <c r="P23" s="2379">
        <v>0</v>
      </c>
      <c r="Q23" s="355" t="s">
        <v>638</v>
      </c>
    </row>
    <row r="24" spans="1:22" ht="30.75" customHeight="1" thickBot="1">
      <c r="A24" s="356"/>
      <c r="B24" s="357" t="s">
        <v>681</v>
      </c>
      <c r="C24" s="357" t="s">
        <v>663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 t="shared" ref="C25:O25" si="12">C28+C29+C34</f>
        <v>0</v>
      </c>
      <c r="D25" s="365">
        <f t="shared" si="12"/>
        <v>0</v>
      </c>
      <c r="E25" s="366">
        <f t="shared" si="12"/>
        <v>0</v>
      </c>
      <c r="F25" s="366">
        <f t="shared" si="12"/>
        <v>0</v>
      </c>
      <c r="G25" s="366">
        <f t="shared" si="12"/>
        <v>0</v>
      </c>
      <c r="H25" s="366">
        <f t="shared" si="12"/>
        <v>0</v>
      </c>
      <c r="I25" s="366">
        <f t="shared" si="12"/>
        <v>0</v>
      </c>
      <c r="J25" s="366">
        <f t="shared" si="12"/>
        <v>0</v>
      </c>
      <c r="K25" s="366">
        <f t="shared" si="12"/>
        <v>0</v>
      </c>
      <c r="L25" s="366">
        <f t="shared" si="12"/>
        <v>0</v>
      </c>
      <c r="M25" s="366">
        <f t="shared" si="12"/>
        <v>0</v>
      </c>
      <c r="N25" s="366">
        <f t="shared" si="12"/>
        <v>0</v>
      </c>
      <c r="O25" s="364">
        <f t="shared" si="12"/>
        <v>0</v>
      </c>
      <c r="P25" s="363">
        <f t="shared" ref="P25:P44" si="13">SUM(D25:O25)</f>
        <v>0</v>
      </c>
      <c r="Q25" s="367" t="str">
        <f t="shared" ref="Q25:Q40" si="14">IF(P25=0,"-",P25/C25-1)</f>
        <v>-</v>
      </c>
      <c r="R25" s="353"/>
    </row>
    <row r="26" spans="1:22" ht="16.5" customHeight="1">
      <c r="A26" s="368" t="s">
        <v>15</v>
      </c>
      <c r="B26" s="369">
        <f>B5*'Satış Fiyat'!B5</f>
        <v>0</v>
      </c>
      <c r="C26" s="370">
        <f>C5*'Satış Fiyat'!C5</f>
        <v>0</v>
      </c>
      <c r="D26" s="371">
        <f>D5*'Satış Fiyat'!D5</f>
        <v>0</v>
      </c>
      <c r="E26" s="372">
        <f>E5*'Satış Fiyat'!E5</f>
        <v>0</v>
      </c>
      <c r="F26" s="372">
        <f>F5*'Satış Fiyat'!F5</f>
        <v>0</v>
      </c>
      <c r="G26" s="372">
        <f>G5*'Satış Fiyat'!G5</f>
        <v>0</v>
      </c>
      <c r="H26" s="373">
        <f>H5*'Satış Fiyat'!H5</f>
        <v>0</v>
      </c>
      <c r="I26" s="373">
        <f>I5*'Satış Fiyat'!I5</f>
        <v>0</v>
      </c>
      <c r="J26" s="373">
        <f>J5*'Satış Fiyat'!J5</f>
        <v>0</v>
      </c>
      <c r="K26" s="373">
        <f>K5*'Satış Fiyat'!K5</f>
        <v>0</v>
      </c>
      <c r="L26" s="373">
        <f>L5*'Satış Fiyat'!L5</f>
        <v>0</v>
      </c>
      <c r="M26" s="373">
        <f>M5*'Satış Fiyat'!M5</f>
        <v>0</v>
      </c>
      <c r="N26" s="373">
        <f>N5*'Satış Fiyat'!N5</f>
        <v>0</v>
      </c>
      <c r="O26" s="374">
        <f>O5*'Satış Fiyat'!O5</f>
        <v>0</v>
      </c>
      <c r="P26" s="369">
        <f t="shared" si="13"/>
        <v>0</v>
      </c>
      <c r="Q26" s="375" t="str">
        <f t="shared" si="14"/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Fiyat'!B6</f>
        <v>0</v>
      </c>
      <c r="C27" s="379">
        <f>C6*'Satış Fiyat'!C6</f>
        <v>0</v>
      </c>
      <c r="D27" s="380">
        <f>D6*'Satış Fiyat'!D6</f>
        <v>0</v>
      </c>
      <c r="E27" s="381">
        <f>E6*'Satış Fiyat'!E6</f>
        <v>0</v>
      </c>
      <c r="F27" s="381">
        <f>F6*'Satış Fiyat'!F6</f>
        <v>0</v>
      </c>
      <c r="G27" s="381">
        <f>G6*'Satış Fiyat'!G6</f>
        <v>0</v>
      </c>
      <c r="H27" s="382">
        <f>H6*'Satış Fiyat'!H6</f>
        <v>0</v>
      </c>
      <c r="I27" s="382">
        <f>I6*'Satış Fiyat'!I6</f>
        <v>0</v>
      </c>
      <c r="J27" s="382">
        <f>J6*'Satış Fiyat'!J6</f>
        <v>0</v>
      </c>
      <c r="K27" s="382">
        <f>K6*'Satış Fiyat'!K6</f>
        <v>0</v>
      </c>
      <c r="L27" s="382">
        <f>L6*'Satış Fiyat'!L6</f>
        <v>0</v>
      </c>
      <c r="M27" s="382">
        <f>M6*'Satış Fiyat'!M6</f>
        <v>0</v>
      </c>
      <c r="N27" s="382">
        <f>N6*'Satış Fiyat'!N6</f>
        <v>0</v>
      </c>
      <c r="O27" s="383">
        <f>O6*'Satış Fiyat'!O6</f>
        <v>0</v>
      </c>
      <c r="P27" s="378">
        <f t="shared" si="13"/>
        <v>0</v>
      </c>
      <c r="Q27" s="384" t="str">
        <f t="shared" si="14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5">SUM(D26:D27)</f>
        <v>0</v>
      </c>
      <c r="E28" s="389">
        <f t="shared" si="15"/>
        <v>0</v>
      </c>
      <c r="F28" s="389">
        <f t="shared" si="15"/>
        <v>0</v>
      </c>
      <c r="G28" s="389">
        <f t="shared" si="15"/>
        <v>0</v>
      </c>
      <c r="H28" s="389">
        <f t="shared" si="15"/>
        <v>0</v>
      </c>
      <c r="I28" s="389">
        <f t="shared" si="15"/>
        <v>0</v>
      </c>
      <c r="J28" s="389">
        <f t="shared" si="15"/>
        <v>0</v>
      </c>
      <c r="K28" s="389">
        <f t="shared" si="15"/>
        <v>0</v>
      </c>
      <c r="L28" s="389">
        <f t="shared" si="15"/>
        <v>0</v>
      </c>
      <c r="M28" s="389">
        <f t="shared" si="15"/>
        <v>0</v>
      </c>
      <c r="N28" s="389">
        <f t="shared" si="15"/>
        <v>0</v>
      </c>
      <c r="O28" s="390">
        <f t="shared" si="15"/>
        <v>0</v>
      </c>
      <c r="P28" s="391">
        <f t="shared" si="13"/>
        <v>0</v>
      </c>
      <c r="Q28" s="449" t="str">
        <f t="shared" si="14"/>
        <v>-</v>
      </c>
    </row>
    <row r="29" spans="1:22" ht="16.5" customHeight="1">
      <c r="A29" s="393" t="s">
        <v>17</v>
      </c>
      <c r="B29" s="394">
        <f>B8*'Satış Fiyat'!B8</f>
        <v>0</v>
      </c>
      <c r="C29" s="395">
        <f>C8*'Satış Fiyat'!C8</f>
        <v>0</v>
      </c>
      <c r="D29" s="396">
        <f>D8*'Satış Fiyat'!D8</f>
        <v>0</v>
      </c>
      <c r="E29" s="397">
        <f>E8*'Satış Fiyat'!E8</f>
        <v>0</v>
      </c>
      <c r="F29" s="397">
        <f>F8*'Satış Fiyat'!F8</f>
        <v>0</v>
      </c>
      <c r="G29" s="397">
        <f>G8*'Satış Fiyat'!G8</f>
        <v>0</v>
      </c>
      <c r="H29" s="397">
        <f>H8*'Satış Fiyat'!H8</f>
        <v>0</v>
      </c>
      <c r="I29" s="397">
        <f>I8*'Satış Fiyat'!I8</f>
        <v>0</v>
      </c>
      <c r="J29" s="397">
        <f>J8*'Satış Fiyat'!J8</f>
        <v>0</v>
      </c>
      <c r="K29" s="397">
        <f>K8*'Satış Fiyat'!K8</f>
        <v>0</v>
      </c>
      <c r="L29" s="397">
        <f>L8*'Satış Fiyat'!L8</f>
        <v>0</v>
      </c>
      <c r="M29" s="397">
        <f>M8*'Satış Fiyat'!M8</f>
        <v>0</v>
      </c>
      <c r="N29" s="397">
        <f>N8*'Satış Fiyat'!N8</f>
        <v>0</v>
      </c>
      <c r="O29" s="398">
        <f>O8*'Satış Fiyat'!O8</f>
        <v>0</v>
      </c>
      <c r="P29" s="399">
        <f t="shared" si="13"/>
        <v>0</v>
      </c>
      <c r="Q29" s="384" t="str">
        <f t="shared" si="14"/>
        <v>-</v>
      </c>
    </row>
    <row r="30" spans="1:22" ht="16.5" customHeight="1">
      <c r="A30" s="400" t="s">
        <v>81</v>
      </c>
      <c r="B30" s="391"/>
      <c r="C30" s="450">
        <f>B30/10*12</f>
        <v>0</v>
      </c>
      <c r="D30" s="388">
        <f>D9*'Satış Fiyat'!D9</f>
        <v>0</v>
      </c>
      <c r="E30" s="389">
        <f>E9*'Satış Fiyat'!E9</f>
        <v>0</v>
      </c>
      <c r="F30" s="389">
        <f>F9*'Satış Fiyat'!F9</f>
        <v>0</v>
      </c>
      <c r="G30" s="389">
        <f>G9*'Satış Fiyat'!G9</f>
        <v>0</v>
      </c>
      <c r="H30" s="389">
        <f>H9*'Satış Fiyat'!H9</f>
        <v>0</v>
      </c>
      <c r="I30" s="389">
        <f>I9*'Satış Fiyat'!I9</f>
        <v>0</v>
      </c>
      <c r="J30" s="389">
        <f>J9*'Satış Fiyat'!J9</f>
        <v>0</v>
      </c>
      <c r="K30" s="389">
        <f>K9*'Satış Fiyat'!K9</f>
        <v>0</v>
      </c>
      <c r="L30" s="389">
        <f>L9*'Satış Fiyat'!L9</f>
        <v>0</v>
      </c>
      <c r="M30" s="389">
        <f>M9*'Satış Fiyat'!M9</f>
        <v>0</v>
      </c>
      <c r="N30" s="389">
        <f>N9*'Satış Fiyat'!N9</f>
        <v>0</v>
      </c>
      <c r="O30" s="390">
        <f>O9*'Satış Fiyat'!O9</f>
        <v>0</v>
      </c>
      <c r="P30" s="386">
        <f t="shared" si="13"/>
        <v>0</v>
      </c>
      <c r="Q30" s="405" t="str">
        <f t="shared" si="14"/>
        <v>-</v>
      </c>
    </row>
    <row r="31" spans="1:22" ht="16.5" customHeight="1">
      <c r="A31" s="406" t="s">
        <v>82</v>
      </c>
      <c r="B31" s="394">
        <f>B10*'Satış Fiyat'!B10</f>
        <v>0</v>
      </c>
      <c r="C31" s="395">
        <f>C10*'Satış Fiyat'!C10</f>
        <v>0</v>
      </c>
      <c r="D31" s="396">
        <f>D10*'Satış Fiyat'!D10</f>
        <v>0</v>
      </c>
      <c r="E31" s="397">
        <f>E10*'Satış Fiyat'!E10</f>
        <v>0</v>
      </c>
      <c r="F31" s="397">
        <f>F10*'Satış Fiyat'!F10</f>
        <v>0</v>
      </c>
      <c r="G31" s="397">
        <f>G10*'Satış Fiyat'!G10</f>
        <v>0</v>
      </c>
      <c r="H31" s="397">
        <f>H10*'Satış Fiyat'!H10</f>
        <v>0</v>
      </c>
      <c r="I31" s="397">
        <f>I10*'Satış Fiyat'!I10</f>
        <v>0</v>
      </c>
      <c r="J31" s="397">
        <f>J10*'Satış Fiyat'!J10</f>
        <v>0</v>
      </c>
      <c r="K31" s="397">
        <f>K10*'Satış Fiyat'!K10</f>
        <v>0</v>
      </c>
      <c r="L31" s="397">
        <f>L10*'Satış Fiyat'!L10</f>
        <v>0</v>
      </c>
      <c r="M31" s="397">
        <f>M10*'Satış Fiyat'!M10</f>
        <v>0</v>
      </c>
      <c r="N31" s="397">
        <f>N10*'Satış Fiyat'!N10</f>
        <v>0</v>
      </c>
      <c r="O31" s="398">
        <f>O10*'Satış Fiyat'!O10</f>
        <v>0</v>
      </c>
      <c r="P31" s="399">
        <f t="shared" si="13"/>
        <v>0</v>
      </c>
      <c r="Q31" s="384" t="str">
        <f t="shared" si="14"/>
        <v>-</v>
      </c>
    </row>
    <row r="32" spans="1:22" ht="16.5" customHeight="1">
      <c r="A32" s="400" t="s">
        <v>83</v>
      </c>
      <c r="B32" s="408">
        <f>B11*'Satış Fiyat'!B11</f>
        <v>0</v>
      </c>
      <c r="C32" s="409"/>
      <c r="D32" s="402">
        <f>D11*'Satış Fiyat'!D11</f>
        <v>0</v>
      </c>
      <c r="E32" s="403">
        <f>E11*'Satış Fiyat'!E11</f>
        <v>0</v>
      </c>
      <c r="F32" s="389">
        <f>F11*'Satış Fiyat'!F11</f>
        <v>0</v>
      </c>
      <c r="G32" s="403">
        <f>G11*'Satış Fiyat'!G11</f>
        <v>0</v>
      </c>
      <c r="H32" s="403">
        <f>H11*'Satış Fiyat'!H11</f>
        <v>0</v>
      </c>
      <c r="I32" s="403">
        <f>I11*'Satış Fiyat'!I11</f>
        <v>0</v>
      </c>
      <c r="J32" s="403">
        <f>J11*'Satış Fiyat'!J11</f>
        <v>0</v>
      </c>
      <c r="K32" s="403">
        <f>K11*'Satış Fiyat'!K11</f>
        <v>0</v>
      </c>
      <c r="L32" s="403">
        <f>L11*'Satış Fiyat'!L11</f>
        <v>0</v>
      </c>
      <c r="M32" s="403">
        <f>M11*'Satış Fiyat'!M11</f>
        <v>0</v>
      </c>
      <c r="N32" s="403">
        <f>N11*'Satış Fiyat'!N11</f>
        <v>0</v>
      </c>
      <c r="O32" s="404">
        <f>O11*'Satış Fiyat'!O11</f>
        <v>0</v>
      </c>
      <c r="P32" s="386">
        <f t="shared" si="13"/>
        <v>0</v>
      </c>
      <c r="Q32" s="405" t="str">
        <f t="shared" si="14"/>
        <v>-</v>
      </c>
    </row>
    <row r="33" spans="1:22" ht="16.5" hidden="1" customHeight="1">
      <c r="A33" s="406" t="s">
        <v>84</v>
      </c>
      <c r="B33" s="378">
        <f>B12*'Satış Fiyat'!B12</f>
        <v>0</v>
      </c>
      <c r="C33" s="379">
        <f>C12*'Satış Fiyat'!C12</f>
        <v>0</v>
      </c>
      <c r="D33" s="407">
        <f>D12*'Satış Fiyat'!D12</f>
        <v>0</v>
      </c>
      <c r="E33" s="382">
        <f>E12*'Satış Fiyat'!E12</f>
        <v>0</v>
      </c>
      <c r="F33" s="382">
        <f>F12*'Satış Fiyat'!F12</f>
        <v>0</v>
      </c>
      <c r="G33" s="382">
        <f>G12*'Satış Fiyat'!G12</f>
        <v>0</v>
      </c>
      <c r="H33" s="382">
        <f>H12*'Satış Fiyat'!H12</f>
        <v>0</v>
      </c>
      <c r="I33" s="381">
        <f>I12*'Satış Fiyat'!I12</f>
        <v>0</v>
      </c>
      <c r="J33" s="381">
        <f>J12*'Satış Fiyat'!J12</f>
        <v>0</v>
      </c>
      <c r="K33" s="382">
        <f>K12*'Satış Fiyat'!K12</f>
        <v>0</v>
      </c>
      <c r="L33" s="382">
        <f>L12*'Satış Fiyat'!L12</f>
        <v>0</v>
      </c>
      <c r="M33" s="382">
        <f>M12*'Satış Fiyat'!M12</f>
        <v>0</v>
      </c>
      <c r="N33" s="382">
        <f>N12*'Satış Fiyat'!N12</f>
        <v>0</v>
      </c>
      <c r="O33" s="383">
        <f>O12*'Satış Fiyat'!O12</f>
        <v>0</v>
      </c>
      <c r="P33" s="399">
        <f t="shared" si="13"/>
        <v>0</v>
      </c>
      <c r="Q33" s="384" t="str">
        <f t="shared" si="14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6">SUM(E30:E33)</f>
        <v>0</v>
      </c>
      <c r="F34" s="414">
        <f t="shared" si="16"/>
        <v>0</v>
      </c>
      <c r="G34" s="414">
        <f t="shared" si="16"/>
        <v>0</v>
      </c>
      <c r="H34" s="414">
        <f t="shared" si="16"/>
        <v>0</v>
      </c>
      <c r="I34" s="414">
        <f t="shared" si="16"/>
        <v>0</v>
      </c>
      <c r="J34" s="414">
        <f t="shared" si="16"/>
        <v>0</v>
      </c>
      <c r="K34" s="414">
        <f t="shared" si="16"/>
        <v>0</v>
      </c>
      <c r="L34" s="414">
        <f t="shared" si="16"/>
        <v>0</v>
      </c>
      <c r="M34" s="414">
        <f t="shared" si="16"/>
        <v>0</v>
      </c>
      <c r="N34" s="414">
        <f t="shared" si="16"/>
        <v>0</v>
      </c>
      <c r="O34" s="412">
        <f t="shared" si="16"/>
        <v>0</v>
      </c>
      <c r="P34" s="411">
        <f t="shared" si="13"/>
        <v>0</v>
      </c>
      <c r="Q34" s="415" t="str">
        <f t="shared" si="14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:O35" si="17">SUM(C36:C37)</f>
        <v>0</v>
      </c>
      <c r="D35" s="417">
        <f t="shared" si="17"/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3"/>
        <v>0</v>
      </c>
      <c r="Q35" s="421" t="str">
        <f t="shared" si="14"/>
        <v>-</v>
      </c>
    </row>
    <row r="36" spans="1:22" ht="16.5" customHeight="1">
      <c r="A36" s="422" t="s">
        <v>19</v>
      </c>
      <c r="B36" s="423">
        <f>B15*'Satış Fiyat'!B15</f>
        <v>0</v>
      </c>
      <c r="C36" s="424">
        <f>C15*'Satış Fiyat'!C15</f>
        <v>0</v>
      </c>
      <c r="D36" s="425">
        <f>D15*'Satış Fiyat'!D15</f>
        <v>0</v>
      </c>
      <c r="E36" s="426">
        <f>E15*'Satış Fiyat'!E15</f>
        <v>0</v>
      </c>
      <c r="F36" s="426">
        <f>F15*'Satış Fiyat'!F15</f>
        <v>0</v>
      </c>
      <c r="G36" s="426">
        <f>G15*'Satış Fiyat'!G15</f>
        <v>0</v>
      </c>
      <c r="H36" s="426">
        <f>H15*'Satış Fiyat'!H15</f>
        <v>0</v>
      </c>
      <c r="I36" s="426">
        <f>I15*'Satış Fiyat'!I15</f>
        <v>0</v>
      </c>
      <c r="J36" s="426">
        <f>J15*'Satış Fiyat'!J15</f>
        <v>0</v>
      </c>
      <c r="K36" s="426">
        <f>K15*'Satış Fiyat'!K15</f>
        <v>0</v>
      </c>
      <c r="L36" s="426">
        <f>L15*'Satış Fiyat'!L15</f>
        <v>0</v>
      </c>
      <c r="M36" s="426">
        <f>M15*'Satış Fiyat'!M15</f>
        <v>0</v>
      </c>
      <c r="N36" s="426">
        <f>N15*'Satış Fiyat'!N15</f>
        <v>0</v>
      </c>
      <c r="O36" s="427">
        <f>O15*'Satış Fiyat'!O15</f>
        <v>0</v>
      </c>
      <c r="P36" s="428">
        <f t="shared" si="13"/>
        <v>0</v>
      </c>
      <c r="Q36" s="429" t="str">
        <f t="shared" si="14"/>
        <v>-</v>
      </c>
    </row>
    <row r="37" spans="1:22" ht="16.5" customHeight="1" thickBot="1">
      <c r="A37" s="430" t="s">
        <v>20</v>
      </c>
      <c r="B37" s="431">
        <f>B16*'Satış Fiyat'!B16</f>
        <v>0</v>
      </c>
      <c r="C37" s="432">
        <f>C16*'Satış Fiyat'!C16</f>
        <v>0</v>
      </c>
      <c r="D37" s="433">
        <f>D16*'Satış Fiyat'!D16</f>
        <v>0</v>
      </c>
      <c r="E37" s="434">
        <f>E16*'Satış Fiyat'!E16</f>
        <v>0</v>
      </c>
      <c r="F37" s="434">
        <f>F16*'Satış Fiyat'!F16</f>
        <v>0</v>
      </c>
      <c r="G37" s="434">
        <f>G16*'Satış Fiyat'!G16</f>
        <v>0</v>
      </c>
      <c r="H37" s="434">
        <f>H16*'Satış Fiyat'!H16</f>
        <v>0</v>
      </c>
      <c r="I37" s="434">
        <f>I16*'Satış Fiyat'!I16</f>
        <v>0</v>
      </c>
      <c r="J37" s="434">
        <f>J16*'Satış Fiyat'!J16</f>
        <v>0</v>
      </c>
      <c r="K37" s="434">
        <f>K16*'Satış Fiyat'!K16</f>
        <v>0</v>
      </c>
      <c r="L37" s="434">
        <f>L16*'Satış Fiyat'!L16</f>
        <v>0</v>
      </c>
      <c r="M37" s="434">
        <f>M16*'Satış Fiyat'!M16</f>
        <v>0</v>
      </c>
      <c r="N37" s="434">
        <f>N16*'Satış Fiyat'!N16</f>
        <v>0</v>
      </c>
      <c r="O37" s="435">
        <f>O16*'Satış Fiyat'!O16</f>
        <v>0</v>
      </c>
      <c r="P37" s="436">
        <f t="shared" si="13"/>
        <v>0</v>
      </c>
      <c r="Q37" s="437" t="str">
        <f t="shared" si="14"/>
        <v>-</v>
      </c>
    </row>
    <row r="38" spans="1:22" ht="22.5" customHeight="1" thickBot="1">
      <c r="A38" s="362" t="s">
        <v>30</v>
      </c>
      <c r="B38" s="363">
        <f t="shared" ref="B38:O38" si="18">SUM(B39:B40)</f>
        <v>0</v>
      </c>
      <c r="C38" s="416">
        <f t="shared" si="18"/>
        <v>0</v>
      </c>
      <c r="D38" s="417">
        <f t="shared" si="18"/>
        <v>0</v>
      </c>
      <c r="E38" s="418">
        <f t="shared" si="18"/>
        <v>0</v>
      </c>
      <c r="F38" s="418">
        <f t="shared" si="18"/>
        <v>0</v>
      </c>
      <c r="G38" s="418">
        <f t="shared" si="18"/>
        <v>0</v>
      </c>
      <c r="H38" s="418">
        <f t="shared" si="18"/>
        <v>0</v>
      </c>
      <c r="I38" s="418">
        <f t="shared" si="18"/>
        <v>0</v>
      </c>
      <c r="J38" s="418">
        <f t="shared" si="18"/>
        <v>0</v>
      </c>
      <c r="K38" s="418">
        <f t="shared" si="18"/>
        <v>0</v>
      </c>
      <c r="L38" s="418">
        <f t="shared" si="18"/>
        <v>0</v>
      </c>
      <c r="M38" s="418">
        <f t="shared" si="18"/>
        <v>0</v>
      </c>
      <c r="N38" s="418">
        <f t="shared" si="18"/>
        <v>0</v>
      </c>
      <c r="O38" s="419">
        <f t="shared" si="18"/>
        <v>0</v>
      </c>
      <c r="P38" s="420">
        <f t="shared" si="13"/>
        <v>0</v>
      </c>
      <c r="Q38" s="421" t="str">
        <f t="shared" si="14"/>
        <v>-</v>
      </c>
    </row>
    <row r="39" spans="1:22" ht="16.5" customHeight="1">
      <c r="A39" s="422" t="s">
        <v>106</v>
      </c>
      <c r="B39" s="423">
        <f>B18*'Satış Fiyat'!B18</f>
        <v>0</v>
      </c>
      <c r="C39" s="424">
        <f>C18*'Satış Fiyat'!C18</f>
        <v>0</v>
      </c>
      <c r="D39" s="425">
        <f>D18*'Satış Fiyat'!D18</f>
        <v>0</v>
      </c>
      <c r="E39" s="426">
        <f>E18*'Satış Fiyat'!E18</f>
        <v>0</v>
      </c>
      <c r="F39" s="426">
        <f>F18*'Satış Fiyat'!F18</f>
        <v>0</v>
      </c>
      <c r="G39" s="426">
        <f>G18*'Satış Fiyat'!G18</f>
        <v>0</v>
      </c>
      <c r="H39" s="426">
        <f>H18*'Satış Fiyat'!H18</f>
        <v>0</v>
      </c>
      <c r="I39" s="426">
        <f>I18*'Satış Fiyat'!I18</f>
        <v>0</v>
      </c>
      <c r="J39" s="426">
        <f>J18*'Satış Fiyat'!J18</f>
        <v>0</v>
      </c>
      <c r="K39" s="426">
        <f>K18*'Satış Fiyat'!K18</f>
        <v>0</v>
      </c>
      <c r="L39" s="426">
        <f>L18*'Satış Fiyat'!L18</f>
        <v>0</v>
      </c>
      <c r="M39" s="426">
        <f>M18*'Satış Fiyat'!M18</f>
        <v>0</v>
      </c>
      <c r="N39" s="426">
        <f>N18*'Satış Fiyat'!N18</f>
        <v>0</v>
      </c>
      <c r="O39" s="427">
        <f>O18*'Satış Fiyat'!O18</f>
        <v>0</v>
      </c>
      <c r="P39" s="428">
        <f t="shared" si="13"/>
        <v>0</v>
      </c>
      <c r="Q39" s="429" t="str">
        <f t="shared" si="14"/>
        <v>-</v>
      </c>
    </row>
    <row r="40" spans="1:22" ht="16.5" customHeight="1" thickBot="1">
      <c r="A40" s="438" t="s">
        <v>105</v>
      </c>
      <c r="B40" s="439">
        <f>B19*'Satış Fiyat'!B19</f>
        <v>0</v>
      </c>
      <c r="C40" s="440">
        <f>C19*'Satış Fiyat'!C19</f>
        <v>0</v>
      </c>
      <c r="D40" s="441">
        <f>D19*'Satış Fiyat'!D19</f>
        <v>0</v>
      </c>
      <c r="E40" s="442">
        <f>E19*'Satış Fiyat'!E19</f>
        <v>0</v>
      </c>
      <c r="F40" s="442">
        <f>F19*'Satış Fiyat'!F19</f>
        <v>0</v>
      </c>
      <c r="G40" s="442">
        <f>G19*'Satış Fiyat'!G19</f>
        <v>0</v>
      </c>
      <c r="H40" s="442">
        <f>H19*'Satış Fiyat'!H19</f>
        <v>0</v>
      </c>
      <c r="I40" s="442">
        <f>I19*'Satış Fiyat'!I19</f>
        <v>0</v>
      </c>
      <c r="J40" s="442">
        <f>J19*'Satış Fiyat'!J19</f>
        <v>0</v>
      </c>
      <c r="K40" s="442">
        <f>K19*'Satış Fiyat'!K19</f>
        <v>0</v>
      </c>
      <c r="L40" s="442">
        <f>L19*'Satış Fiyat'!L19</f>
        <v>0</v>
      </c>
      <c r="M40" s="442">
        <f>M19*'Satış Fiyat'!M19</f>
        <v>0</v>
      </c>
      <c r="N40" s="442">
        <f>N19*'Satış Fiyat'!N19</f>
        <v>0</v>
      </c>
      <c r="O40" s="443">
        <f>O19*'Satış Fiyat'!O19</f>
        <v>0</v>
      </c>
      <c r="P40" s="444">
        <f t="shared" si="13"/>
        <v>0</v>
      </c>
      <c r="Q40" s="445" t="str">
        <f t="shared" si="14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>
        <f>B21*'Satış Fiyat'!B21</f>
        <v>0</v>
      </c>
      <c r="C42" s="364">
        <f>C21*'Satış Fiyat'!C21</f>
        <v>0</v>
      </c>
      <c r="D42" s="365">
        <f>D21*'Satış Fiyat'!D21</f>
        <v>0</v>
      </c>
      <c r="E42" s="366">
        <f>E21*'Satış Fiyat'!E21</f>
        <v>0</v>
      </c>
      <c r="F42" s="366">
        <f>F21*'Satış Fiyat'!F21</f>
        <v>0</v>
      </c>
      <c r="G42" s="366">
        <f>G21*'Satış Fiyat'!G21</f>
        <v>0</v>
      </c>
      <c r="H42" s="366">
        <f>H21*'Satış Fiyat'!H21</f>
        <v>0</v>
      </c>
      <c r="I42" s="366">
        <f>I21*'Satış Fiyat'!I21</f>
        <v>0</v>
      </c>
      <c r="J42" s="366">
        <f>J21*'Satış Fiyat'!J21</f>
        <v>0</v>
      </c>
      <c r="K42" s="366">
        <f>K21*'Satış Fiyat'!K21</f>
        <v>0</v>
      </c>
      <c r="L42" s="366">
        <f>L21*'Satış Fiyat'!L21</f>
        <v>0</v>
      </c>
      <c r="M42" s="366">
        <f>M21*'Satış Fiyat'!M21</f>
        <v>0</v>
      </c>
      <c r="N42" s="366">
        <f>N21*'Satış Fiyat'!N21</f>
        <v>0</v>
      </c>
      <c r="O42" s="448">
        <f>O21*'Satış Fiyat'!O21</f>
        <v>0</v>
      </c>
      <c r="P42" s="363">
        <f t="shared" si="13"/>
        <v>0</v>
      </c>
      <c r="Q42" s="367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3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:O44" si="19">+C25+C35+C38+C42</f>
        <v>0</v>
      </c>
      <c r="D44" s="365">
        <f t="shared" si="19"/>
        <v>0</v>
      </c>
      <c r="E44" s="366">
        <f t="shared" si="19"/>
        <v>0</v>
      </c>
      <c r="F44" s="366">
        <f t="shared" si="19"/>
        <v>0</v>
      </c>
      <c r="G44" s="366">
        <f>+G25+G35+G38+G42</f>
        <v>0</v>
      </c>
      <c r="H44" s="366">
        <f t="shared" si="19"/>
        <v>0</v>
      </c>
      <c r="I44" s="366">
        <f t="shared" si="19"/>
        <v>0</v>
      </c>
      <c r="J44" s="366">
        <f t="shared" si="19"/>
        <v>0</v>
      </c>
      <c r="K44" s="366">
        <f t="shared" si="19"/>
        <v>0</v>
      </c>
      <c r="L44" s="366">
        <f t="shared" si="19"/>
        <v>0</v>
      </c>
      <c r="M44" s="366">
        <f t="shared" si="19"/>
        <v>0</v>
      </c>
      <c r="N44" s="366">
        <f t="shared" si="19"/>
        <v>0</v>
      </c>
      <c r="O44" s="364">
        <f t="shared" si="19"/>
        <v>0</v>
      </c>
      <c r="P44" s="363">
        <f t="shared" si="13"/>
        <v>0</v>
      </c>
      <c r="Q44" s="367" t="str">
        <f>IF(P44=0,"-",P44/C44-1)</f>
        <v>-</v>
      </c>
      <c r="R44" s="630"/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7" t="s">
        <v>673</v>
      </c>
      <c r="E46" s="2378">
        <v>0</v>
      </c>
      <c r="F46" s="2378">
        <v>0</v>
      </c>
      <c r="G46" s="2378">
        <v>0</v>
      </c>
      <c r="H46" s="2378">
        <v>0</v>
      </c>
      <c r="I46" s="2378">
        <v>0</v>
      </c>
      <c r="J46" s="2378">
        <v>0</v>
      </c>
      <c r="K46" s="2378">
        <v>0</v>
      </c>
      <c r="L46" s="2378">
        <v>0</v>
      </c>
      <c r="M46" s="2378">
        <v>0</v>
      </c>
      <c r="N46" s="2378">
        <v>0</v>
      </c>
      <c r="O46" s="2378">
        <v>0</v>
      </c>
      <c r="P46" s="2379">
        <v>0</v>
      </c>
      <c r="Q46" s="355" t="s">
        <v>638</v>
      </c>
    </row>
    <row r="47" spans="1:22" ht="30.75" customHeight="1" thickBot="1">
      <c r="A47" s="356"/>
      <c r="B47" s="357" t="s">
        <v>681</v>
      </c>
      <c r="C47" s="357" t="s">
        <v>663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:O48" si="20">C51+C52+C57</f>
        <v>0</v>
      </c>
      <c r="D48" s="365">
        <f t="shared" si="20"/>
        <v>0</v>
      </c>
      <c r="E48" s="366">
        <f t="shared" si="20"/>
        <v>0</v>
      </c>
      <c r="F48" s="366">
        <f t="shared" si="20"/>
        <v>0</v>
      </c>
      <c r="G48" s="366">
        <f t="shared" si="20"/>
        <v>0</v>
      </c>
      <c r="H48" s="366">
        <f t="shared" si="20"/>
        <v>0</v>
      </c>
      <c r="I48" s="366">
        <f t="shared" si="20"/>
        <v>0</v>
      </c>
      <c r="J48" s="366">
        <f t="shared" si="20"/>
        <v>0</v>
      </c>
      <c r="K48" s="366">
        <f t="shared" si="20"/>
        <v>0</v>
      </c>
      <c r="L48" s="366">
        <f t="shared" si="20"/>
        <v>0</v>
      </c>
      <c r="M48" s="366">
        <f t="shared" si="20"/>
        <v>0</v>
      </c>
      <c r="N48" s="366">
        <f t="shared" si="20"/>
        <v>0</v>
      </c>
      <c r="O48" s="364">
        <f t="shared" si="20"/>
        <v>0</v>
      </c>
      <c r="P48" s="363">
        <f t="shared" ref="P48:P67" si="21">SUM(D48:O48)</f>
        <v>0</v>
      </c>
      <c r="Q48" s="367" t="str">
        <f t="shared" ref="Q48:Q63" si="22"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/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23">+$T$49*H26</f>
        <v>0</v>
      </c>
      <c r="I49" s="373">
        <f>+$T$49*I26</f>
        <v>0</v>
      </c>
      <c r="J49" s="373">
        <f>+$U$49*J26</f>
        <v>0</v>
      </c>
      <c r="K49" s="373">
        <f t="shared" ref="K49" si="24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1"/>
        <v>0</v>
      </c>
      <c r="Q49" s="375" t="str">
        <f t="shared" si="22"/>
        <v>-</v>
      </c>
      <c r="R49" s="376"/>
      <c r="S49" s="457"/>
      <c r="T49" s="457"/>
      <c r="U49" s="457"/>
      <c r="V49" s="457"/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5">+$S$50*E27</f>
        <v>0</v>
      </c>
      <c r="F50" s="382">
        <f t="shared" si="25"/>
        <v>0</v>
      </c>
      <c r="G50" s="382">
        <f t="shared" si="25"/>
        <v>0</v>
      </c>
      <c r="H50" s="382">
        <f t="shared" si="25"/>
        <v>0</v>
      </c>
      <c r="I50" s="382">
        <f t="shared" si="25"/>
        <v>0</v>
      </c>
      <c r="J50" s="382">
        <f t="shared" si="25"/>
        <v>0</v>
      </c>
      <c r="K50" s="382">
        <f t="shared" si="25"/>
        <v>0</v>
      </c>
      <c r="L50" s="382">
        <f t="shared" si="25"/>
        <v>0</v>
      </c>
      <c r="M50" s="382">
        <f t="shared" si="25"/>
        <v>0</v>
      </c>
      <c r="N50" s="382">
        <f t="shared" si="25"/>
        <v>0</v>
      </c>
      <c r="O50" s="383">
        <f t="shared" si="25"/>
        <v>0</v>
      </c>
      <c r="P50" s="378">
        <f t="shared" si="21"/>
        <v>0</v>
      </c>
      <c r="Q50" s="384" t="str">
        <f t="shared" si="22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26">SUM(E49:E50)</f>
        <v>0</v>
      </c>
      <c r="F51" s="389">
        <f t="shared" si="26"/>
        <v>0</v>
      </c>
      <c r="G51" s="389">
        <f>SUM(G49:G50)</f>
        <v>0</v>
      </c>
      <c r="H51" s="389">
        <f t="shared" ref="H51" si="27">SUM(H49:H50)</f>
        <v>0</v>
      </c>
      <c r="I51" s="389">
        <f>SUM(I49:I50)</f>
        <v>0</v>
      </c>
      <c r="J51" s="389">
        <f>SUM(J49:J50)</f>
        <v>0</v>
      </c>
      <c r="K51" s="389">
        <f t="shared" ref="K51" si="28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1"/>
        <v>0</v>
      </c>
      <c r="Q51" s="449" t="str">
        <f t="shared" si="22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29">+$S$52*E29</f>
        <v>0</v>
      </c>
      <c r="F52" s="397">
        <f>+$S$52*F29</f>
        <v>0</v>
      </c>
      <c r="G52" s="397">
        <f>+$T$52*G29</f>
        <v>0</v>
      </c>
      <c r="H52" s="397">
        <f t="shared" ref="H52" si="30">+$T$52*H29</f>
        <v>0</v>
      </c>
      <c r="I52" s="397">
        <f>+$T$52*I29</f>
        <v>0</v>
      </c>
      <c r="J52" s="397">
        <f>+$U$52*J29</f>
        <v>0</v>
      </c>
      <c r="K52" s="397">
        <f t="shared" ref="K52" si="31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1"/>
        <v>0</v>
      </c>
      <c r="Q52" s="384" t="str">
        <f t="shared" si="22"/>
        <v>-</v>
      </c>
      <c r="S52" s="460"/>
      <c r="T52" s="460"/>
      <c r="U52" s="460"/>
      <c r="V52" s="460"/>
    </row>
    <row r="53" spans="1:22" ht="16.5" customHeight="1">
      <c r="A53" s="400" t="s">
        <v>81</v>
      </c>
      <c r="B53" s="391"/>
      <c r="C53" s="450"/>
      <c r="D53" s="402">
        <f t="shared" ref="D53:F53" si="32">+$S$53*D30</f>
        <v>0</v>
      </c>
      <c r="E53" s="403">
        <f t="shared" si="32"/>
        <v>0</v>
      </c>
      <c r="F53" s="403">
        <f t="shared" si="32"/>
        <v>0</v>
      </c>
      <c r="G53" s="403">
        <f>+$T$53*G30</f>
        <v>0</v>
      </c>
      <c r="H53" s="403">
        <f t="shared" ref="H53" si="33">+$T$53*H30</f>
        <v>0</v>
      </c>
      <c r="I53" s="403">
        <f>+$T$53*I30</f>
        <v>0</v>
      </c>
      <c r="J53" s="403">
        <f>+$U$53*J30</f>
        <v>0</v>
      </c>
      <c r="K53" s="403">
        <f t="shared" ref="K53" si="34">+$U$53*K30</f>
        <v>0</v>
      </c>
      <c r="L53" s="403">
        <f>+$U$53*L30</f>
        <v>0</v>
      </c>
      <c r="M53" s="403">
        <f>+$V$53*M30</f>
        <v>0</v>
      </c>
      <c r="N53" s="403">
        <f t="shared" ref="N53" si="35">+$V$53*N30</f>
        <v>0</v>
      </c>
      <c r="O53" s="404">
        <f>+$V$53*O30</f>
        <v>0</v>
      </c>
      <c r="P53" s="386">
        <f t="shared" si="21"/>
        <v>0</v>
      </c>
      <c r="Q53" s="405" t="str">
        <f t="shared" si="22"/>
        <v>-</v>
      </c>
      <c r="S53" s="461"/>
      <c r="T53" s="461"/>
      <c r="U53" s="461"/>
      <c r="V53" s="461"/>
    </row>
    <row r="54" spans="1:22" ht="16.5" hidden="1" customHeight="1">
      <c r="A54" s="406" t="s">
        <v>82</v>
      </c>
      <c r="B54" s="394"/>
      <c r="C54" s="395"/>
      <c r="D54" s="407">
        <f t="shared" ref="D54:O54" si="36">+$S$54*D31</f>
        <v>0</v>
      </c>
      <c r="E54" s="382">
        <f t="shared" si="36"/>
        <v>0</v>
      </c>
      <c r="F54" s="382">
        <f t="shared" si="36"/>
        <v>0</v>
      </c>
      <c r="G54" s="382">
        <f t="shared" si="36"/>
        <v>0</v>
      </c>
      <c r="H54" s="382">
        <f t="shared" si="36"/>
        <v>0</v>
      </c>
      <c r="I54" s="382">
        <f t="shared" si="36"/>
        <v>0</v>
      </c>
      <c r="J54" s="382">
        <f t="shared" si="36"/>
        <v>0</v>
      </c>
      <c r="K54" s="382">
        <f t="shared" si="36"/>
        <v>0</v>
      </c>
      <c r="L54" s="382">
        <f t="shared" si="36"/>
        <v>0</v>
      </c>
      <c r="M54" s="382">
        <f t="shared" si="36"/>
        <v>0</v>
      </c>
      <c r="N54" s="382">
        <f t="shared" si="36"/>
        <v>0</v>
      </c>
      <c r="O54" s="383">
        <f t="shared" si="36"/>
        <v>0</v>
      </c>
      <c r="P54" s="399">
        <f t="shared" si="21"/>
        <v>0</v>
      </c>
      <c r="Q54" s="384" t="str">
        <f t="shared" si="22"/>
        <v>-</v>
      </c>
      <c r="S54" s="460"/>
      <c r="T54" s="460"/>
      <c r="U54" s="460"/>
      <c r="V54" s="460"/>
    </row>
    <row r="55" spans="1:22" ht="16.5" customHeight="1">
      <c r="A55" s="400" t="s">
        <v>83</v>
      </c>
      <c r="B55" s="408"/>
      <c r="C55" s="409"/>
      <c r="D55" s="402">
        <f t="shared" ref="D55:F55" si="37">+$S$55*D32</f>
        <v>0</v>
      </c>
      <c r="E55" s="403">
        <f t="shared" si="37"/>
        <v>0</v>
      </c>
      <c r="F55" s="403">
        <f t="shared" si="37"/>
        <v>0</v>
      </c>
      <c r="G55" s="403">
        <f>+$T$55*G32</f>
        <v>0</v>
      </c>
      <c r="H55" s="403">
        <f t="shared" ref="H55" si="38">+$T$55*H32</f>
        <v>0</v>
      </c>
      <c r="I55" s="403">
        <f>+$T$55*I32</f>
        <v>0</v>
      </c>
      <c r="J55" s="403">
        <f>+$U$55*J32</f>
        <v>0</v>
      </c>
      <c r="K55" s="403">
        <f t="shared" ref="K55" si="39">+$U$55*K32</f>
        <v>0</v>
      </c>
      <c r="L55" s="403">
        <f>+$U$55*L32</f>
        <v>0</v>
      </c>
      <c r="M55" s="403">
        <f>+$V$55*M32</f>
        <v>0</v>
      </c>
      <c r="N55" s="403">
        <f t="shared" ref="N55" si="40">+$V$55*N32</f>
        <v>0</v>
      </c>
      <c r="O55" s="404">
        <f>+$V$55*O32</f>
        <v>0</v>
      </c>
      <c r="P55" s="386">
        <f t="shared" si="21"/>
        <v>0</v>
      </c>
      <c r="Q55" s="405" t="str">
        <f t="shared" si="22"/>
        <v>-</v>
      </c>
      <c r="S55" s="461"/>
      <c r="T55" s="461"/>
      <c r="U55" s="461"/>
      <c r="V55" s="461"/>
    </row>
    <row r="56" spans="1:22" ht="16.5" hidden="1" customHeight="1">
      <c r="A56" s="406" t="s">
        <v>84</v>
      </c>
      <c r="B56" s="378"/>
      <c r="C56" s="379"/>
      <c r="D56" s="407">
        <f t="shared" ref="D56:O56" si="41">+$S$56*D33</f>
        <v>0</v>
      </c>
      <c r="E56" s="382">
        <f t="shared" si="41"/>
        <v>0</v>
      </c>
      <c r="F56" s="382">
        <f t="shared" si="41"/>
        <v>0</v>
      </c>
      <c r="G56" s="382">
        <f t="shared" si="41"/>
        <v>0</v>
      </c>
      <c r="H56" s="382">
        <f t="shared" si="41"/>
        <v>0</v>
      </c>
      <c r="I56" s="382">
        <f t="shared" si="41"/>
        <v>0</v>
      </c>
      <c r="J56" s="382">
        <f t="shared" si="41"/>
        <v>0</v>
      </c>
      <c r="K56" s="382">
        <f t="shared" si="41"/>
        <v>0</v>
      </c>
      <c r="L56" s="382">
        <f t="shared" si="41"/>
        <v>0</v>
      </c>
      <c r="M56" s="382">
        <f t="shared" si="41"/>
        <v>0</v>
      </c>
      <c r="N56" s="382">
        <f t="shared" si="41"/>
        <v>0</v>
      </c>
      <c r="O56" s="383">
        <f t="shared" si="41"/>
        <v>0</v>
      </c>
      <c r="P56" s="399">
        <f t="shared" si="21"/>
        <v>0</v>
      </c>
      <c r="Q56" s="384" t="str">
        <f t="shared" si="22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" si="42">SUM(B53:B56)</f>
        <v>0</v>
      </c>
      <c r="C57" s="412">
        <f>SUM(C53:C56)</f>
        <v>0</v>
      </c>
      <c r="D57" s="413">
        <f t="shared" ref="D57:F57" si="43">SUM(D53:D56)</f>
        <v>0</v>
      </c>
      <c r="E57" s="414">
        <f t="shared" si="43"/>
        <v>0</v>
      </c>
      <c r="F57" s="414">
        <f t="shared" si="43"/>
        <v>0</v>
      </c>
      <c r="G57" s="414">
        <f>SUM(G53:G56)</f>
        <v>0</v>
      </c>
      <c r="H57" s="414">
        <f t="shared" ref="H57" si="44">SUM(H53:H56)</f>
        <v>0</v>
      </c>
      <c r="I57" s="414">
        <f>SUM(I53:I56)</f>
        <v>0</v>
      </c>
      <c r="J57" s="414">
        <f>SUM(J53:J56)</f>
        <v>0</v>
      </c>
      <c r="K57" s="414">
        <f t="shared" ref="K57" si="45">SUM(K53:K56)</f>
        <v>0</v>
      </c>
      <c r="L57" s="414">
        <f>SUM(L53:L56)</f>
        <v>0</v>
      </c>
      <c r="M57" s="414">
        <f>SUM(M53:M56)</f>
        <v>0</v>
      </c>
      <c r="N57" s="414">
        <f t="shared" ref="N57" si="46">SUM(N53:N56)</f>
        <v>0</v>
      </c>
      <c r="O57" s="412">
        <f>SUM(O53:O56)</f>
        <v>0</v>
      </c>
      <c r="P57" s="411">
        <f t="shared" si="21"/>
        <v>0</v>
      </c>
      <c r="Q57" s="415" t="str">
        <f t="shared" si="22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:F58" si="47">SUM(C59:C60)</f>
        <v>0</v>
      </c>
      <c r="D58" s="417">
        <f t="shared" si="47"/>
        <v>0</v>
      </c>
      <c r="E58" s="418">
        <f t="shared" si="47"/>
        <v>0</v>
      </c>
      <c r="F58" s="418">
        <f t="shared" si="47"/>
        <v>0</v>
      </c>
      <c r="G58" s="418">
        <f>SUM(G59:G60)</f>
        <v>0</v>
      </c>
      <c r="H58" s="418">
        <f t="shared" ref="H58" si="48">SUM(H59:H60)</f>
        <v>0</v>
      </c>
      <c r="I58" s="418">
        <f>SUM(I59:I60)</f>
        <v>0</v>
      </c>
      <c r="J58" s="418">
        <f>SUM(J59:J60)</f>
        <v>0</v>
      </c>
      <c r="K58" s="418">
        <f t="shared" ref="K58" si="49">SUM(K59:K60)</f>
        <v>0</v>
      </c>
      <c r="L58" s="418">
        <f>SUM(L59:L60)</f>
        <v>0</v>
      </c>
      <c r="M58" s="418">
        <f>SUM(M59:M60)</f>
        <v>0</v>
      </c>
      <c r="N58" s="418">
        <f t="shared" ref="N58" si="50">SUM(N59:N60)</f>
        <v>0</v>
      </c>
      <c r="O58" s="419">
        <f>SUM(O59:O60)</f>
        <v>0</v>
      </c>
      <c r="P58" s="420">
        <f t="shared" si="21"/>
        <v>0</v>
      </c>
      <c r="Q58" s="421" t="str">
        <f t="shared" si="22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1">+$S$59*E36</f>
        <v>0</v>
      </c>
      <c r="F59" s="426">
        <f t="shared" si="51"/>
        <v>0</v>
      </c>
      <c r="G59" s="426">
        <f>+$T$59*G36</f>
        <v>0</v>
      </c>
      <c r="H59" s="426">
        <f t="shared" ref="H59" si="52">+$T$59*H36</f>
        <v>0</v>
      </c>
      <c r="I59" s="426">
        <f>+$T$59*I36</f>
        <v>0</v>
      </c>
      <c r="J59" s="426">
        <f>+$U$59*J36</f>
        <v>0</v>
      </c>
      <c r="K59" s="426">
        <f t="shared" ref="K59" si="53">+$U$59*K36</f>
        <v>0</v>
      </c>
      <c r="L59" s="426">
        <f>+$U$59*L36</f>
        <v>0</v>
      </c>
      <c r="M59" s="426">
        <f>+$V$59*M36</f>
        <v>0</v>
      </c>
      <c r="N59" s="426">
        <f t="shared" ref="N59" si="54">+$V$59*N36</f>
        <v>0</v>
      </c>
      <c r="O59" s="427">
        <f>+$V$59*O36</f>
        <v>0</v>
      </c>
      <c r="P59" s="428">
        <f t="shared" si="21"/>
        <v>0</v>
      </c>
      <c r="Q59" s="429" t="str">
        <f t="shared" si="22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55">+$S$60*E37</f>
        <v>0</v>
      </c>
      <c r="F60" s="434">
        <f t="shared" si="55"/>
        <v>0</v>
      </c>
      <c r="G60" s="434">
        <f>+$T$60*G37</f>
        <v>0</v>
      </c>
      <c r="H60" s="434">
        <f t="shared" ref="H60" si="56">+$T$60*H37</f>
        <v>0</v>
      </c>
      <c r="I60" s="434">
        <f>+$T$60*I37</f>
        <v>0</v>
      </c>
      <c r="J60" s="434">
        <f>+$U$60*J37</f>
        <v>0</v>
      </c>
      <c r="K60" s="434">
        <f t="shared" ref="K60" si="57">+$U$60*K37</f>
        <v>0</v>
      </c>
      <c r="L60" s="434">
        <f>+$U$60*L37</f>
        <v>0</v>
      </c>
      <c r="M60" s="434">
        <f>+$V$60*M37</f>
        <v>0</v>
      </c>
      <c r="N60" s="434">
        <f t="shared" ref="N60" si="58">+$V$60*N37</f>
        <v>0</v>
      </c>
      <c r="O60" s="435">
        <f>+$V$60*O37</f>
        <v>0</v>
      </c>
      <c r="P60" s="436">
        <f t="shared" si="21"/>
        <v>0</v>
      </c>
      <c r="Q60" s="437" t="str">
        <f t="shared" si="22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F61" si="59">SUM(B62:B63)</f>
        <v>0</v>
      </c>
      <c r="C61" s="416">
        <f t="shared" si="59"/>
        <v>0</v>
      </c>
      <c r="D61" s="417">
        <f t="shared" si="59"/>
        <v>0</v>
      </c>
      <c r="E61" s="418">
        <f t="shared" si="59"/>
        <v>0</v>
      </c>
      <c r="F61" s="418">
        <f t="shared" si="59"/>
        <v>0</v>
      </c>
      <c r="G61" s="418">
        <f>SUM(G62:G63)</f>
        <v>0</v>
      </c>
      <c r="H61" s="418">
        <f t="shared" ref="H61" si="60">SUM(H62:H63)</f>
        <v>0</v>
      </c>
      <c r="I61" s="418">
        <f>SUM(I62:I63)</f>
        <v>0</v>
      </c>
      <c r="J61" s="418">
        <f>SUM(J62:J63)</f>
        <v>0</v>
      </c>
      <c r="K61" s="418">
        <f t="shared" ref="K61" si="61">SUM(K62:K63)</f>
        <v>0</v>
      </c>
      <c r="L61" s="418">
        <f>SUM(L62:L63)</f>
        <v>0</v>
      </c>
      <c r="M61" s="418">
        <f>SUM(M62:M63)</f>
        <v>0</v>
      </c>
      <c r="N61" s="418">
        <f t="shared" ref="N61" si="62">SUM(N62:N63)</f>
        <v>0</v>
      </c>
      <c r="O61" s="419">
        <f>SUM(O62:O63)</f>
        <v>0</v>
      </c>
      <c r="P61" s="420">
        <f t="shared" si="21"/>
        <v>0</v>
      </c>
      <c r="Q61" s="421" t="str">
        <f t="shared" si="22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3">+$S$62*E39</f>
        <v>0</v>
      </c>
      <c r="F62" s="426">
        <f t="shared" si="63"/>
        <v>0</v>
      </c>
      <c r="G62" s="426">
        <f>+$T$62*G39</f>
        <v>0</v>
      </c>
      <c r="H62" s="426">
        <f t="shared" ref="H62" si="64">+$T$62*H39</f>
        <v>0</v>
      </c>
      <c r="I62" s="426">
        <f>+$T$62*I39</f>
        <v>0</v>
      </c>
      <c r="J62" s="426">
        <f>+$U$62*J39</f>
        <v>0</v>
      </c>
      <c r="K62" s="426">
        <f t="shared" ref="K62" si="65">+$U$62*K39</f>
        <v>0</v>
      </c>
      <c r="L62" s="426">
        <f>+$U$62*L39</f>
        <v>0</v>
      </c>
      <c r="M62" s="426">
        <f>+$V$62*M39</f>
        <v>0</v>
      </c>
      <c r="N62" s="426">
        <f t="shared" ref="N62" si="66">+$V$62*N39</f>
        <v>0</v>
      </c>
      <c r="O62" s="427">
        <f>+$V$62*O39</f>
        <v>0</v>
      </c>
      <c r="P62" s="428">
        <f t="shared" si="21"/>
        <v>0</v>
      </c>
      <c r="Q62" s="429" t="str">
        <f t="shared" si="22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67">+$S$63*E40</f>
        <v>0</v>
      </c>
      <c r="F63" s="442">
        <f t="shared" si="67"/>
        <v>0</v>
      </c>
      <c r="G63" s="442">
        <f>+$T$63*G40</f>
        <v>0</v>
      </c>
      <c r="H63" s="442">
        <f t="shared" ref="H63" si="68">+$T$63*H40</f>
        <v>0</v>
      </c>
      <c r="I63" s="442">
        <f>+$T$63*I40</f>
        <v>0</v>
      </c>
      <c r="J63" s="442">
        <f>+$U$63*J40</f>
        <v>0</v>
      </c>
      <c r="K63" s="442">
        <f t="shared" ref="K63" si="69">+$U$63*K40</f>
        <v>0</v>
      </c>
      <c r="L63" s="442">
        <f>+$U$63*L40</f>
        <v>0</v>
      </c>
      <c r="M63" s="442">
        <f>+$V$63*M40</f>
        <v>0</v>
      </c>
      <c r="N63" s="442">
        <f t="shared" ref="N63" si="70">+$V$63*N40</f>
        <v>0</v>
      </c>
      <c r="O63" s="443">
        <f>+$V$63*O40</f>
        <v>0</v>
      </c>
      <c r="P63" s="444">
        <f t="shared" si="21"/>
        <v>0</v>
      </c>
      <c r="Q63" s="445" t="str">
        <f t="shared" si="22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/>
      <c r="D65" s="365">
        <f>+$S$65*D42</f>
        <v>0</v>
      </c>
      <c r="E65" s="366">
        <f t="shared" ref="E65:F65" si="71">+$S$65*E42</f>
        <v>0</v>
      </c>
      <c r="F65" s="366">
        <f t="shared" si="71"/>
        <v>0</v>
      </c>
      <c r="G65" s="366">
        <f>+$T$65*G42</f>
        <v>0</v>
      </c>
      <c r="H65" s="366">
        <f t="shared" ref="H65" si="72">+$T$65*H42</f>
        <v>0</v>
      </c>
      <c r="I65" s="366">
        <f>+$T$65*I42</f>
        <v>0</v>
      </c>
      <c r="J65" s="366">
        <f>+$T$65*J42</f>
        <v>0</v>
      </c>
      <c r="K65" s="366">
        <f t="shared" ref="K65" si="73">+$T$65*K42</f>
        <v>0</v>
      </c>
      <c r="L65" s="366">
        <f>+$U$65*L42</f>
        <v>0</v>
      </c>
      <c r="M65" s="366">
        <f>+$V$65*M42</f>
        <v>0</v>
      </c>
      <c r="N65" s="366">
        <f t="shared" ref="N65" si="74">+$V$65*N42</f>
        <v>0</v>
      </c>
      <c r="O65" s="448">
        <f>+$V$65*O42</f>
        <v>0</v>
      </c>
      <c r="P65" s="363">
        <f t="shared" si="21"/>
        <v>0</v>
      </c>
      <c r="Q65" s="367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1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75">+C48+C58+C61+C65</f>
        <v>0</v>
      </c>
      <c r="D67" s="365">
        <f>+D48+D58+D61+D65</f>
        <v>0</v>
      </c>
      <c r="E67" s="366">
        <f t="shared" ref="E67:F67" si="76">+E48+E58+E61+E65</f>
        <v>0</v>
      </c>
      <c r="F67" s="366">
        <f t="shared" si="76"/>
        <v>0</v>
      </c>
      <c r="G67" s="366">
        <f>+G48+G58+G61+G65</f>
        <v>0</v>
      </c>
      <c r="H67" s="366">
        <f t="shared" ref="H67:I67" si="77">+H48+H58+H61+H65</f>
        <v>0</v>
      </c>
      <c r="I67" s="366">
        <f t="shared" si="77"/>
        <v>0</v>
      </c>
      <c r="J67" s="366">
        <f>+J48+J58+J61+J65</f>
        <v>0</v>
      </c>
      <c r="K67" s="366">
        <f t="shared" ref="K67" si="78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79">+N48+N58+N61+N65</f>
        <v>0</v>
      </c>
      <c r="O67" s="364">
        <f>+O48+O58+O61+O65</f>
        <v>0</v>
      </c>
      <c r="P67" s="363">
        <f t="shared" si="21"/>
        <v>0</v>
      </c>
      <c r="Q67" s="367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7" t="s">
        <v>674</v>
      </c>
      <c r="E69" s="2378">
        <v>0</v>
      </c>
      <c r="F69" s="2378">
        <v>0</v>
      </c>
      <c r="G69" s="2378">
        <v>0</v>
      </c>
      <c r="H69" s="2378">
        <v>0</v>
      </c>
      <c r="I69" s="2378">
        <v>0</v>
      </c>
      <c r="J69" s="2378">
        <v>0</v>
      </c>
      <c r="K69" s="2378">
        <v>0</v>
      </c>
      <c r="L69" s="2378">
        <v>0</v>
      </c>
      <c r="M69" s="2378">
        <v>0</v>
      </c>
      <c r="N69" s="2378">
        <v>0</v>
      </c>
      <c r="O69" s="2378">
        <v>0</v>
      </c>
      <c r="P69" s="2379">
        <v>0</v>
      </c>
      <c r="Q69" s="355" t="s">
        <v>638</v>
      </c>
    </row>
    <row r="70" spans="1:22" ht="30.75" customHeight="1" thickBot="1">
      <c r="A70" s="356"/>
      <c r="B70" s="357" t="s">
        <v>681</v>
      </c>
      <c r="C70" s="357" t="s">
        <v>663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:O71" si="80">C74+C75+C80</f>
        <v>0</v>
      </c>
      <c r="D71" s="365">
        <f t="shared" si="80"/>
        <v>0</v>
      </c>
      <c r="E71" s="366">
        <f t="shared" si="80"/>
        <v>0</v>
      </c>
      <c r="F71" s="366">
        <f t="shared" si="80"/>
        <v>0</v>
      </c>
      <c r="G71" s="366">
        <f t="shared" si="80"/>
        <v>0</v>
      </c>
      <c r="H71" s="366">
        <f t="shared" si="80"/>
        <v>0</v>
      </c>
      <c r="I71" s="366">
        <f t="shared" si="80"/>
        <v>0</v>
      </c>
      <c r="J71" s="366">
        <f t="shared" si="80"/>
        <v>0</v>
      </c>
      <c r="K71" s="366">
        <f t="shared" si="80"/>
        <v>0</v>
      </c>
      <c r="L71" s="366">
        <f t="shared" si="80"/>
        <v>0</v>
      </c>
      <c r="M71" s="366">
        <f t="shared" si="80"/>
        <v>0</v>
      </c>
      <c r="N71" s="366">
        <f t="shared" si="80"/>
        <v>0</v>
      </c>
      <c r="O71" s="364">
        <f t="shared" si="80"/>
        <v>0</v>
      </c>
      <c r="P71" s="363">
        <f>SUM(D71:O71)</f>
        <v>0</v>
      </c>
      <c r="Q71" s="367" t="str">
        <f t="shared" ref="Q71:Q86" si="81">IF(P71=0,"-",P71/C71-1)</f>
        <v>-</v>
      </c>
    </row>
    <row r="72" spans="1:22" ht="16.5" customHeight="1">
      <c r="A72" s="368" t="s">
        <v>15</v>
      </c>
      <c r="B72" s="369">
        <f t="shared" ref="B72:O73" si="82">+B26-B49</f>
        <v>0</v>
      </c>
      <c r="C72" s="370">
        <f t="shared" si="82"/>
        <v>0</v>
      </c>
      <c r="D72" s="371">
        <f t="shared" si="82"/>
        <v>0</v>
      </c>
      <c r="E72" s="372">
        <f t="shared" si="82"/>
        <v>0</v>
      </c>
      <c r="F72" s="372">
        <f t="shared" si="82"/>
        <v>0</v>
      </c>
      <c r="G72" s="372">
        <f t="shared" si="82"/>
        <v>0</v>
      </c>
      <c r="H72" s="373">
        <f t="shared" si="82"/>
        <v>0</v>
      </c>
      <c r="I72" s="373">
        <f t="shared" si="82"/>
        <v>0</v>
      </c>
      <c r="J72" s="373">
        <f t="shared" si="82"/>
        <v>0</v>
      </c>
      <c r="K72" s="373">
        <f t="shared" si="82"/>
        <v>0</v>
      </c>
      <c r="L72" s="373">
        <f t="shared" si="82"/>
        <v>0</v>
      </c>
      <c r="M72" s="373">
        <f t="shared" si="82"/>
        <v>0</v>
      </c>
      <c r="N72" s="373">
        <f t="shared" si="82"/>
        <v>0</v>
      </c>
      <c r="O72" s="374">
        <f t="shared" si="82"/>
        <v>0</v>
      </c>
      <c r="P72" s="369">
        <f t="shared" ref="P72:P90" si="83">SUM(D72:O72)</f>
        <v>0</v>
      </c>
      <c r="Q72" s="375" t="str">
        <f t="shared" si="81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2"/>
        <v>0</v>
      </c>
      <c r="C73" s="379">
        <f t="shared" si="82"/>
        <v>0</v>
      </c>
      <c r="D73" s="380">
        <f t="shared" si="82"/>
        <v>0</v>
      </c>
      <c r="E73" s="381">
        <f t="shared" si="82"/>
        <v>0</v>
      </c>
      <c r="F73" s="381">
        <f t="shared" si="82"/>
        <v>0</v>
      </c>
      <c r="G73" s="381">
        <f t="shared" si="82"/>
        <v>0</v>
      </c>
      <c r="H73" s="382">
        <f t="shared" si="82"/>
        <v>0</v>
      </c>
      <c r="I73" s="382">
        <f t="shared" si="82"/>
        <v>0</v>
      </c>
      <c r="J73" s="382">
        <f t="shared" si="82"/>
        <v>0</v>
      </c>
      <c r="K73" s="382">
        <f t="shared" si="82"/>
        <v>0</v>
      </c>
      <c r="L73" s="382">
        <f t="shared" si="82"/>
        <v>0</v>
      </c>
      <c r="M73" s="382">
        <f t="shared" si="82"/>
        <v>0</v>
      </c>
      <c r="N73" s="382">
        <f t="shared" si="82"/>
        <v>0</v>
      </c>
      <c r="O73" s="383">
        <f t="shared" si="82"/>
        <v>0</v>
      </c>
      <c r="P73" s="378">
        <f t="shared" si="83"/>
        <v>0</v>
      </c>
      <c r="Q73" s="384" t="str">
        <f t="shared" si="81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84">SUM(D72:D73)</f>
        <v>0</v>
      </c>
      <c r="E74" s="389">
        <f t="shared" si="84"/>
        <v>0</v>
      </c>
      <c r="F74" s="389">
        <f t="shared" si="84"/>
        <v>0</v>
      </c>
      <c r="G74" s="389">
        <f t="shared" si="84"/>
        <v>0</v>
      </c>
      <c r="H74" s="389">
        <f t="shared" si="84"/>
        <v>0</v>
      </c>
      <c r="I74" s="389">
        <f t="shared" si="84"/>
        <v>0</v>
      </c>
      <c r="J74" s="389">
        <f t="shared" si="84"/>
        <v>0</v>
      </c>
      <c r="K74" s="389">
        <f t="shared" si="84"/>
        <v>0</v>
      </c>
      <c r="L74" s="389">
        <f t="shared" si="84"/>
        <v>0</v>
      </c>
      <c r="M74" s="389">
        <f t="shared" si="84"/>
        <v>0</v>
      </c>
      <c r="N74" s="389">
        <f t="shared" si="84"/>
        <v>0</v>
      </c>
      <c r="O74" s="390">
        <f t="shared" si="84"/>
        <v>0</v>
      </c>
      <c r="P74" s="391">
        <f t="shared" si="83"/>
        <v>0</v>
      </c>
      <c r="Q74" s="449" t="str">
        <f t="shared" si="81"/>
        <v>-</v>
      </c>
    </row>
    <row r="75" spans="1:22" ht="16.5" customHeight="1">
      <c r="A75" s="393" t="s">
        <v>17</v>
      </c>
      <c r="B75" s="394">
        <f t="shared" ref="B75:O79" si="85">+B29-B52</f>
        <v>0</v>
      </c>
      <c r="C75" s="395">
        <f t="shared" si="85"/>
        <v>0</v>
      </c>
      <c r="D75" s="396">
        <f t="shared" si="85"/>
        <v>0</v>
      </c>
      <c r="E75" s="397">
        <f t="shared" si="85"/>
        <v>0</v>
      </c>
      <c r="F75" s="397">
        <f t="shared" si="85"/>
        <v>0</v>
      </c>
      <c r="G75" s="397">
        <f t="shared" si="85"/>
        <v>0</v>
      </c>
      <c r="H75" s="397">
        <f t="shared" si="85"/>
        <v>0</v>
      </c>
      <c r="I75" s="397">
        <f t="shared" si="85"/>
        <v>0</v>
      </c>
      <c r="J75" s="397">
        <f t="shared" si="85"/>
        <v>0</v>
      </c>
      <c r="K75" s="397">
        <f t="shared" si="85"/>
        <v>0</v>
      </c>
      <c r="L75" s="397">
        <f t="shared" si="85"/>
        <v>0</v>
      </c>
      <c r="M75" s="397">
        <f t="shared" si="85"/>
        <v>0</v>
      </c>
      <c r="N75" s="397">
        <f t="shared" si="85"/>
        <v>0</v>
      </c>
      <c r="O75" s="398">
        <f t="shared" si="85"/>
        <v>0</v>
      </c>
      <c r="P75" s="399">
        <f t="shared" si="83"/>
        <v>0</v>
      </c>
      <c r="Q75" s="384" t="str">
        <f t="shared" si="81"/>
        <v>-</v>
      </c>
    </row>
    <row r="76" spans="1:22" ht="16.5" customHeight="1">
      <c r="A76" s="400" t="s">
        <v>81</v>
      </c>
      <c r="B76" s="391">
        <f t="shared" si="85"/>
        <v>0</v>
      </c>
      <c r="C76" s="450">
        <f>B76/10*12</f>
        <v>0</v>
      </c>
      <c r="D76" s="388">
        <f t="shared" si="85"/>
        <v>0</v>
      </c>
      <c r="E76" s="389">
        <f t="shared" si="85"/>
        <v>0</v>
      </c>
      <c r="F76" s="389">
        <f t="shared" si="85"/>
        <v>0</v>
      </c>
      <c r="G76" s="389">
        <f t="shared" si="85"/>
        <v>0</v>
      </c>
      <c r="H76" s="389">
        <f t="shared" si="85"/>
        <v>0</v>
      </c>
      <c r="I76" s="389">
        <f t="shared" si="85"/>
        <v>0</v>
      </c>
      <c r="J76" s="389">
        <f t="shared" si="85"/>
        <v>0</v>
      </c>
      <c r="K76" s="389">
        <f t="shared" si="85"/>
        <v>0</v>
      </c>
      <c r="L76" s="389">
        <f t="shared" si="85"/>
        <v>0</v>
      </c>
      <c r="M76" s="389">
        <f t="shared" si="85"/>
        <v>0</v>
      </c>
      <c r="N76" s="389">
        <f t="shared" si="85"/>
        <v>0</v>
      </c>
      <c r="O76" s="390">
        <f t="shared" si="85"/>
        <v>0</v>
      </c>
      <c r="P76" s="386">
        <f t="shared" si="83"/>
        <v>0</v>
      </c>
      <c r="Q76" s="405" t="str">
        <f t="shared" si="81"/>
        <v>-</v>
      </c>
    </row>
    <row r="77" spans="1:22" ht="16.5" hidden="1" customHeight="1">
      <c r="A77" s="406" t="s">
        <v>82</v>
      </c>
      <c r="B77" s="394">
        <f t="shared" si="85"/>
        <v>0</v>
      </c>
      <c r="C77" s="395">
        <f t="shared" si="85"/>
        <v>0</v>
      </c>
      <c r="D77" s="396">
        <f t="shared" si="85"/>
        <v>0</v>
      </c>
      <c r="E77" s="397">
        <f t="shared" si="85"/>
        <v>0</v>
      </c>
      <c r="F77" s="397">
        <f t="shared" si="85"/>
        <v>0</v>
      </c>
      <c r="G77" s="397">
        <f t="shared" si="85"/>
        <v>0</v>
      </c>
      <c r="H77" s="397">
        <f t="shared" si="85"/>
        <v>0</v>
      </c>
      <c r="I77" s="397">
        <f t="shared" si="85"/>
        <v>0</v>
      </c>
      <c r="J77" s="397">
        <f t="shared" si="85"/>
        <v>0</v>
      </c>
      <c r="K77" s="397">
        <f t="shared" si="85"/>
        <v>0</v>
      </c>
      <c r="L77" s="397">
        <f t="shared" si="85"/>
        <v>0</v>
      </c>
      <c r="M77" s="397">
        <f t="shared" si="85"/>
        <v>0</v>
      </c>
      <c r="N77" s="397">
        <f t="shared" si="85"/>
        <v>0</v>
      </c>
      <c r="O77" s="398">
        <f t="shared" si="85"/>
        <v>0</v>
      </c>
      <c r="P77" s="399">
        <f>SUM(D77:O77)</f>
        <v>0</v>
      </c>
      <c r="Q77" s="384" t="str">
        <f t="shared" si="81"/>
        <v>-</v>
      </c>
    </row>
    <row r="78" spans="1:22" ht="16.5" customHeight="1">
      <c r="A78" s="400" t="s">
        <v>83</v>
      </c>
      <c r="B78" s="408">
        <f t="shared" si="85"/>
        <v>0</v>
      </c>
      <c r="C78" s="409">
        <f t="shared" si="85"/>
        <v>0</v>
      </c>
      <c r="D78" s="402">
        <f t="shared" si="85"/>
        <v>0</v>
      </c>
      <c r="E78" s="403">
        <f t="shared" si="85"/>
        <v>0</v>
      </c>
      <c r="F78" s="403">
        <f t="shared" si="85"/>
        <v>0</v>
      </c>
      <c r="G78" s="403">
        <f t="shared" si="85"/>
        <v>0</v>
      </c>
      <c r="H78" s="403">
        <f t="shared" si="85"/>
        <v>0</v>
      </c>
      <c r="I78" s="403">
        <f t="shared" si="85"/>
        <v>0</v>
      </c>
      <c r="J78" s="403">
        <f t="shared" si="85"/>
        <v>0</v>
      </c>
      <c r="K78" s="403">
        <f t="shared" si="85"/>
        <v>0</v>
      </c>
      <c r="L78" s="403">
        <f t="shared" si="85"/>
        <v>0</v>
      </c>
      <c r="M78" s="403">
        <f t="shared" si="85"/>
        <v>0</v>
      </c>
      <c r="N78" s="403">
        <f t="shared" si="85"/>
        <v>0</v>
      </c>
      <c r="O78" s="404">
        <f t="shared" si="85"/>
        <v>0</v>
      </c>
      <c r="P78" s="386">
        <f t="shared" si="83"/>
        <v>0</v>
      </c>
      <c r="Q78" s="405" t="str">
        <f t="shared" si="81"/>
        <v>-</v>
      </c>
    </row>
    <row r="79" spans="1:22" ht="16.5" hidden="1" customHeight="1">
      <c r="A79" s="406" t="s">
        <v>84</v>
      </c>
      <c r="B79" s="378">
        <f t="shared" si="85"/>
        <v>0</v>
      </c>
      <c r="C79" s="379">
        <f t="shared" si="85"/>
        <v>0</v>
      </c>
      <c r="D79" s="407">
        <f t="shared" si="85"/>
        <v>0</v>
      </c>
      <c r="E79" s="382">
        <f t="shared" si="85"/>
        <v>0</v>
      </c>
      <c r="F79" s="382">
        <f t="shared" si="85"/>
        <v>0</v>
      </c>
      <c r="G79" s="382">
        <f t="shared" si="85"/>
        <v>0</v>
      </c>
      <c r="H79" s="382">
        <f t="shared" si="85"/>
        <v>0</v>
      </c>
      <c r="I79" s="381">
        <f t="shared" si="85"/>
        <v>0</v>
      </c>
      <c r="J79" s="381">
        <f t="shared" si="85"/>
        <v>0</v>
      </c>
      <c r="K79" s="382">
        <f t="shared" si="85"/>
        <v>0</v>
      </c>
      <c r="L79" s="382">
        <f t="shared" si="85"/>
        <v>0</v>
      </c>
      <c r="M79" s="382">
        <f t="shared" si="85"/>
        <v>0</v>
      </c>
      <c r="N79" s="382">
        <f t="shared" si="85"/>
        <v>0</v>
      </c>
      <c r="O79" s="383">
        <f t="shared" si="85"/>
        <v>0</v>
      </c>
      <c r="P79" s="399">
        <f t="shared" si="83"/>
        <v>0</v>
      </c>
      <c r="Q79" s="384" t="str">
        <f t="shared" si="81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O80" si="86">SUM(B76:B79)</f>
        <v>0</v>
      </c>
      <c r="C80" s="412">
        <f t="shared" si="86"/>
        <v>0</v>
      </c>
      <c r="D80" s="413">
        <f t="shared" si="86"/>
        <v>0</v>
      </c>
      <c r="E80" s="414">
        <f t="shared" si="86"/>
        <v>0</v>
      </c>
      <c r="F80" s="414">
        <f t="shared" si="86"/>
        <v>0</v>
      </c>
      <c r="G80" s="414">
        <f t="shared" si="86"/>
        <v>0</v>
      </c>
      <c r="H80" s="414">
        <f t="shared" si="86"/>
        <v>0</v>
      </c>
      <c r="I80" s="414">
        <f t="shared" si="86"/>
        <v>0</v>
      </c>
      <c r="J80" s="414">
        <f t="shared" si="86"/>
        <v>0</v>
      </c>
      <c r="K80" s="414">
        <f t="shared" si="86"/>
        <v>0</v>
      </c>
      <c r="L80" s="414">
        <f t="shared" si="86"/>
        <v>0</v>
      </c>
      <c r="M80" s="414">
        <f t="shared" si="86"/>
        <v>0</v>
      </c>
      <c r="N80" s="414">
        <f t="shared" si="86"/>
        <v>0</v>
      </c>
      <c r="O80" s="412">
        <f t="shared" si="86"/>
        <v>0</v>
      </c>
      <c r="P80" s="411">
        <f t="shared" si="83"/>
        <v>0</v>
      </c>
      <c r="Q80" s="415" t="str">
        <f t="shared" si="81"/>
        <v>-</v>
      </c>
    </row>
    <row r="81" spans="1:22" ht="22.5" customHeight="1" thickBot="1">
      <c r="A81" s="362" t="s">
        <v>29</v>
      </c>
      <c r="B81" s="420">
        <f t="shared" ref="B81:O86" si="87">+B35-B58</f>
        <v>0</v>
      </c>
      <c r="C81" s="416">
        <f t="shared" si="87"/>
        <v>0</v>
      </c>
      <c r="D81" s="417">
        <f t="shared" si="87"/>
        <v>0</v>
      </c>
      <c r="E81" s="418">
        <f t="shared" si="87"/>
        <v>0</v>
      </c>
      <c r="F81" s="418">
        <f t="shared" si="87"/>
        <v>0</v>
      </c>
      <c r="G81" s="418">
        <f t="shared" si="87"/>
        <v>0</v>
      </c>
      <c r="H81" s="418">
        <f t="shared" si="87"/>
        <v>0</v>
      </c>
      <c r="I81" s="418">
        <f t="shared" si="87"/>
        <v>0</v>
      </c>
      <c r="J81" s="418">
        <f t="shared" si="87"/>
        <v>0</v>
      </c>
      <c r="K81" s="418">
        <f t="shared" si="87"/>
        <v>0</v>
      </c>
      <c r="L81" s="418">
        <f t="shared" si="87"/>
        <v>0</v>
      </c>
      <c r="M81" s="418">
        <f t="shared" si="87"/>
        <v>0</v>
      </c>
      <c r="N81" s="418">
        <f t="shared" si="87"/>
        <v>0</v>
      </c>
      <c r="O81" s="419">
        <f t="shared" si="87"/>
        <v>0</v>
      </c>
      <c r="P81" s="420">
        <f t="shared" si="83"/>
        <v>0</v>
      </c>
      <c r="Q81" s="421" t="str">
        <f t="shared" si="81"/>
        <v>-</v>
      </c>
    </row>
    <row r="82" spans="1:22" ht="16.5" customHeight="1">
      <c r="A82" s="422" t="s">
        <v>19</v>
      </c>
      <c r="B82" s="423">
        <f t="shared" si="87"/>
        <v>0</v>
      </c>
      <c r="C82" s="424">
        <f t="shared" si="87"/>
        <v>0</v>
      </c>
      <c r="D82" s="425">
        <f t="shared" si="87"/>
        <v>0</v>
      </c>
      <c r="E82" s="426">
        <f t="shared" si="87"/>
        <v>0</v>
      </c>
      <c r="F82" s="426">
        <f t="shared" si="87"/>
        <v>0</v>
      </c>
      <c r="G82" s="426">
        <f t="shared" si="87"/>
        <v>0</v>
      </c>
      <c r="H82" s="426">
        <f t="shared" si="87"/>
        <v>0</v>
      </c>
      <c r="I82" s="426">
        <f t="shared" si="87"/>
        <v>0</v>
      </c>
      <c r="J82" s="426">
        <f t="shared" si="87"/>
        <v>0</v>
      </c>
      <c r="K82" s="426">
        <f t="shared" si="87"/>
        <v>0</v>
      </c>
      <c r="L82" s="426">
        <f t="shared" si="87"/>
        <v>0</v>
      </c>
      <c r="M82" s="426">
        <f t="shared" si="87"/>
        <v>0</v>
      </c>
      <c r="N82" s="426">
        <f t="shared" si="87"/>
        <v>0</v>
      </c>
      <c r="O82" s="427">
        <f t="shared" si="87"/>
        <v>0</v>
      </c>
      <c r="P82" s="428">
        <f t="shared" si="83"/>
        <v>0</v>
      </c>
      <c r="Q82" s="429" t="str">
        <f t="shared" si="81"/>
        <v>-</v>
      </c>
    </row>
    <row r="83" spans="1:22" ht="16.5" customHeight="1" thickBot="1">
      <c r="A83" s="430" t="s">
        <v>20</v>
      </c>
      <c r="B83" s="431">
        <f t="shared" si="87"/>
        <v>0</v>
      </c>
      <c r="C83" s="432">
        <f t="shared" si="87"/>
        <v>0</v>
      </c>
      <c r="D83" s="433">
        <f t="shared" si="87"/>
        <v>0</v>
      </c>
      <c r="E83" s="434">
        <f t="shared" si="87"/>
        <v>0</v>
      </c>
      <c r="F83" s="434">
        <f t="shared" si="87"/>
        <v>0</v>
      </c>
      <c r="G83" s="434">
        <f t="shared" si="87"/>
        <v>0</v>
      </c>
      <c r="H83" s="434">
        <f t="shared" si="87"/>
        <v>0</v>
      </c>
      <c r="I83" s="434">
        <f t="shared" si="87"/>
        <v>0</v>
      </c>
      <c r="J83" s="434">
        <f t="shared" si="87"/>
        <v>0</v>
      </c>
      <c r="K83" s="434">
        <f t="shared" si="87"/>
        <v>0</v>
      </c>
      <c r="L83" s="434">
        <f t="shared" si="87"/>
        <v>0</v>
      </c>
      <c r="M83" s="434">
        <f t="shared" si="87"/>
        <v>0</v>
      </c>
      <c r="N83" s="434">
        <f t="shared" si="87"/>
        <v>0</v>
      </c>
      <c r="O83" s="435">
        <f t="shared" si="87"/>
        <v>0</v>
      </c>
      <c r="P83" s="436">
        <f t="shared" si="83"/>
        <v>0</v>
      </c>
      <c r="Q83" s="437" t="str">
        <f t="shared" si="81"/>
        <v>-</v>
      </c>
    </row>
    <row r="84" spans="1:22" ht="22.5" customHeight="1" thickBot="1">
      <c r="A84" s="362" t="s">
        <v>30</v>
      </c>
      <c r="B84" s="363">
        <f t="shared" si="87"/>
        <v>0</v>
      </c>
      <c r="C84" s="364">
        <f t="shared" si="87"/>
        <v>0</v>
      </c>
      <c r="D84" s="365">
        <f t="shared" si="87"/>
        <v>0</v>
      </c>
      <c r="E84" s="366">
        <f t="shared" si="87"/>
        <v>0</v>
      </c>
      <c r="F84" s="366">
        <f t="shared" si="87"/>
        <v>0</v>
      </c>
      <c r="G84" s="366">
        <f t="shared" si="87"/>
        <v>0</v>
      </c>
      <c r="H84" s="366">
        <f t="shared" si="87"/>
        <v>0</v>
      </c>
      <c r="I84" s="366">
        <f t="shared" si="87"/>
        <v>0</v>
      </c>
      <c r="J84" s="366">
        <f t="shared" si="87"/>
        <v>0</v>
      </c>
      <c r="K84" s="366">
        <f t="shared" si="87"/>
        <v>0</v>
      </c>
      <c r="L84" s="366">
        <f t="shared" si="87"/>
        <v>0</v>
      </c>
      <c r="M84" s="366">
        <f t="shared" si="87"/>
        <v>0</v>
      </c>
      <c r="N84" s="366">
        <f t="shared" si="87"/>
        <v>0</v>
      </c>
      <c r="O84" s="448">
        <f t="shared" si="87"/>
        <v>0</v>
      </c>
      <c r="P84" s="363">
        <f t="shared" si="83"/>
        <v>0</v>
      </c>
      <c r="Q84" s="367" t="str">
        <f t="shared" si="81"/>
        <v>-</v>
      </c>
    </row>
    <row r="85" spans="1:22" ht="16.5" customHeight="1">
      <c r="A85" s="422" t="s">
        <v>106</v>
      </c>
      <c r="B85" s="423">
        <f t="shared" si="87"/>
        <v>0</v>
      </c>
      <c r="C85" s="424">
        <f t="shared" si="87"/>
        <v>0</v>
      </c>
      <c r="D85" s="425">
        <f t="shared" si="87"/>
        <v>0</v>
      </c>
      <c r="E85" s="426">
        <f t="shared" si="87"/>
        <v>0</v>
      </c>
      <c r="F85" s="426">
        <f t="shared" si="87"/>
        <v>0</v>
      </c>
      <c r="G85" s="426">
        <f t="shared" si="87"/>
        <v>0</v>
      </c>
      <c r="H85" s="426">
        <f t="shared" si="87"/>
        <v>0</v>
      </c>
      <c r="I85" s="426">
        <f t="shared" si="87"/>
        <v>0</v>
      </c>
      <c r="J85" s="426">
        <f t="shared" si="87"/>
        <v>0</v>
      </c>
      <c r="K85" s="426">
        <f t="shared" si="87"/>
        <v>0</v>
      </c>
      <c r="L85" s="426">
        <f t="shared" si="87"/>
        <v>0</v>
      </c>
      <c r="M85" s="426">
        <f t="shared" si="87"/>
        <v>0</v>
      </c>
      <c r="N85" s="426">
        <f t="shared" si="87"/>
        <v>0</v>
      </c>
      <c r="O85" s="427">
        <f t="shared" si="87"/>
        <v>0</v>
      </c>
      <c r="P85" s="428">
        <f t="shared" si="83"/>
        <v>0</v>
      </c>
      <c r="Q85" s="429" t="str">
        <f t="shared" si="81"/>
        <v>-</v>
      </c>
    </row>
    <row r="86" spans="1:22" ht="16.5" customHeight="1" thickBot="1">
      <c r="A86" s="438" t="s">
        <v>105</v>
      </c>
      <c r="B86" s="439">
        <f t="shared" si="87"/>
        <v>0</v>
      </c>
      <c r="C86" s="440">
        <f t="shared" si="87"/>
        <v>0</v>
      </c>
      <c r="D86" s="441">
        <f t="shared" si="87"/>
        <v>0</v>
      </c>
      <c r="E86" s="442">
        <f t="shared" si="87"/>
        <v>0</v>
      </c>
      <c r="F86" s="442">
        <f t="shared" si="87"/>
        <v>0</v>
      </c>
      <c r="G86" s="442">
        <f t="shared" si="87"/>
        <v>0</v>
      </c>
      <c r="H86" s="442">
        <f t="shared" si="87"/>
        <v>0</v>
      </c>
      <c r="I86" s="442">
        <f t="shared" si="87"/>
        <v>0</v>
      </c>
      <c r="J86" s="442">
        <f t="shared" si="87"/>
        <v>0</v>
      </c>
      <c r="K86" s="442">
        <f t="shared" si="87"/>
        <v>0</v>
      </c>
      <c r="L86" s="442">
        <f t="shared" si="87"/>
        <v>0</v>
      </c>
      <c r="M86" s="442">
        <f t="shared" si="87"/>
        <v>0</v>
      </c>
      <c r="N86" s="442">
        <f t="shared" si="87"/>
        <v>0</v>
      </c>
      <c r="O86" s="443">
        <f t="shared" si="87"/>
        <v>0</v>
      </c>
      <c r="P86" s="444">
        <f t="shared" si="83"/>
        <v>0</v>
      </c>
      <c r="Q86" s="445" t="str">
        <f t="shared" si="81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O88" si="88">+B42-B65</f>
        <v>0</v>
      </c>
      <c r="C88" s="364">
        <f t="shared" si="88"/>
        <v>0</v>
      </c>
      <c r="D88" s="365">
        <f t="shared" si="88"/>
        <v>0</v>
      </c>
      <c r="E88" s="366">
        <f t="shared" si="88"/>
        <v>0</v>
      </c>
      <c r="F88" s="366">
        <f t="shared" si="88"/>
        <v>0</v>
      </c>
      <c r="G88" s="366">
        <f t="shared" si="88"/>
        <v>0</v>
      </c>
      <c r="H88" s="366">
        <f t="shared" si="88"/>
        <v>0</v>
      </c>
      <c r="I88" s="366">
        <f t="shared" si="88"/>
        <v>0</v>
      </c>
      <c r="J88" s="366">
        <f t="shared" si="88"/>
        <v>0</v>
      </c>
      <c r="K88" s="366">
        <f t="shared" si="88"/>
        <v>0</v>
      </c>
      <c r="L88" s="366">
        <f t="shared" si="88"/>
        <v>0</v>
      </c>
      <c r="M88" s="366">
        <f t="shared" si="88"/>
        <v>0</v>
      </c>
      <c r="N88" s="366">
        <f t="shared" si="88"/>
        <v>0</v>
      </c>
      <c r="O88" s="448">
        <f t="shared" si="88"/>
        <v>0</v>
      </c>
      <c r="P88" s="363">
        <f t="shared" si="83"/>
        <v>0</v>
      </c>
      <c r="Q88" s="367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3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:O90" si="89">+C71+C81+C84+C88</f>
        <v>0</v>
      </c>
      <c r="D90" s="365">
        <f t="shared" si="89"/>
        <v>0</v>
      </c>
      <c r="E90" s="366">
        <f t="shared" si="89"/>
        <v>0</v>
      </c>
      <c r="F90" s="366">
        <f t="shared" si="89"/>
        <v>0</v>
      </c>
      <c r="G90" s="366">
        <f t="shared" si="89"/>
        <v>0</v>
      </c>
      <c r="H90" s="366">
        <f t="shared" si="89"/>
        <v>0</v>
      </c>
      <c r="I90" s="366">
        <f t="shared" si="89"/>
        <v>0</v>
      </c>
      <c r="J90" s="366">
        <f t="shared" si="89"/>
        <v>0</v>
      </c>
      <c r="K90" s="366">
        <f t="shared" si="89"/>
        <v>0</v>
      </c>
      <c r="L90" s="366">
        <f t="shared" si="89"/>
        <v>0</v>
      </c>
      <c r="M90" s="366">
        <f t="shared" si="89"/>
        <v>0</v>
      </c>
      <c r="N90" s="366">
        <f t="shared" si="89"/>
        <v>0</v>
      </c>
      <c r="O90" s="448">
        <f t="shared" si="89"/>
        <v>0</v>
      </c>
      <c r="P90" s="363">
        <f t="shared" si="83"/>
        <v>0</v>
      </c>
      <c r="Q90" s="367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7" t="s">
        <v>675</v>
      </c>
      <c r="E92" s="2378">
        <v>0</v>
      </c>
      <c r="F92" s="2378">
        <v>0</v>
      </c>
      <c r="G92" s="2378">
        <v>0</v>
      </c>
      <c r="H92" s="2378">
        <v>0</v>
      </c>
      <c r="I92" s="2378">
        <v>0</v>
      </c>
      <c r="J92" s="2378">
        <v>0</v>
      </c>
      <c r="K92" s="2378">
        <v>0</v>
      </c>
      <c r="L92" s="2378">
        <v>0</v>
      </c>
      <c r="M92" s="2378">
        <v>0</v>
      </c>
      <c r="N92" s="2378">
        <v>0</v>
      </c>
      <c r="O92" s="2378">
        <v>0</v>
      </c>
      <c r="P92" s="2379">
        <v>0</v>
      </c>
      <c r="Q92" s="355" t="s">
        <v>638</v>
      </c>
    </row>
    <row r="93" spans="1:22" ht="30.75" customHeight="1" thickBot="1">
      <c r="A93" s="356"/>
      <c r="B93" s="357" t="s">
        <v>681</v>
      </c>
      <c r="C93" s="357" t="s">
        <v>663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:P94" si="90">C97+C98+C103</f>
        <v>0</v>
      </c>
      <c r="D94" s="365">
        <f t="shared" si="90"/>
        <v>0</v>
      </c>
      <c r="E94" s="366">
        <f t="shared" si="90"/>
        <v>0</v>
      </c>
      <c r="F94" s="366">
        <f t="shared" si="90"/>
        <v>0</v>
      </c>
      <c r="G94" s="366">
        <f t="shared" si="90"/>
        <v>0</v>
      </c>
      <c r="H94" s="366">
        <f t="shared" si="90"/>
        <v>0</v>
      </c>
      <c r="I94" s="366">
        <f t="shared" si="90"/>
        <v>0</v>
      </c>
      <c r="J94" s="366">
        <f t="shared" si="90"/>
        <v>0</v>
      </c>
      <c r="K94" s="366">
        <f t="shared" si="90"/>
        <v>0</v>
      </c>
      <c r="L94" s="366">
        <f t="shared" si="90"/>
        <v>0</v>
      </c>
      <c r="M94" s="366">
        <f t="shared" si="90"/>
        <v>0</v>
      </c>
      <c r="N94" s="366">
        <f t="shared" si="90"/>
        <v>0</v>
      </c>
      <c r="O94" s="364">
        <f t="shared" si="90"/>
        <v>0</v>
      </c>
      <c r="P94" s="363">
        <f t="shared" si="90"/>
        <v>0</v>
      </c>
      <c r="Q94" s="367" t="str">
        <f t="shared" ref="Q94:Q109" si="91">IF(P94=0,"-",P94/C94-1)</f>
        <v>-</v>
      </c>
      <c r="R94" s="353"/>
    </row>
    <row r="95" spans="1:22" ht="16.5" customHeight="1">
      <c r="A95" s="368" t="s">
        <v>15</v>
      </c>
      <c r="B95" s="369">
        <f>B5*'Alış Fiyat'!B5</f>
        <v>0</v>
      </c>
      <c r="C95" s="370">
        <f>C5*'Alış Fiyat'!C5</f>
        <v>0</v>
      </c>
      <c r="D95" s="371">
        <f>D5*'Alış Fiyat'!D5</f>
        <v>0</v>
      </c>
      <c r="E95" s="372">
        <f>E5*'Alış Fiyat'!E5</f>
        <v>0</v>
      </c>
      <c r="F95" s="372">
        <f>F5*'Alış Fiyat'!F5</f>
        <v>0</v>
      </c>
      <c r="G95" s="372">
        <f>G5*'Alış Fiyat'!G5</f>
        <v>0</v>
      </c>
      <c r="H95" s="373">
        <f>H5*'Alış Fiyat'!H5</f>
        <v>0</v>
      </c>
      <c r="I95" s="373">
        <f>I5*'Alış Fiyat'!I5</f>
        <v>0</v>
      </c>
      <c r="J95" s="373">
        <f>J5*'Alış Fiyat'!J5</f>
        <v>0</v>
      </c>
      <c r="K95" s="373">
        <f>K5*'Alış Fiyat'!K5</f>
        <v>0</v>
      </c>
      <c r="L95" s="373">
        <f>L5*'Alış Fiyat'!L5</f>
        <v>0</v>
      </c>
      <c r="M95" s="373">
        <f>M5*'Alış Fiyat'!M5</f>
        <v>0</v>
      </c>
      <c r="N95" s="373">
        <f>N5*'Alış Fiyat'!N5</f>
        <v>0</v>
      </c>
      <c r="O95" s="374">
        <f>O5*'Alış Fiyat'!O5</f>
        <v>0</v>
      </c>
      <c r="P95" s="369">
        <f t="shared" ref="P95:P102" si="92">SUM(D95:O95)</f>
        <v>0</v>
      </c>
      <c r="Q95" s="375" t="str">
        <f t="shared" si="91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Fiyat'!B6</f>
        <v>0</v>
      </c>
      <c r="C96" s="379">
        <f>C6*'Alış Fiyat'!C6</f>
        <v>0</v>
      </c>
      <c r="D96" s="380">
        <f>D6*'Alış Fiyat'!D6</f>
        <v>0</v>
      </c>
      <c r="E96" s="381">
        <f>E6*'Alış Fiyat'!E6</f>
        <v>0</v>
      </c>
      <c r="F96" s="381">
        <f>F6*'Alış Fiyat'!F6</f>
        <v>0</v>
      </c>
      <c r="G96" s="381">
        <f>G6*'Alış Fiyat'!G6</f>
        <v>0</v>
      </c>
      <c r="H96" s="382">
        <f>H6*'Alış Fiyat'!H6</f>
        <v>0</v>
      </c>
      <c r="I96" s="382">
        <f>I6*'Alış Fiyat'!I6</f>
        <v>0</v>
      </c>
      <c r="J96" s="382">
        <f>J6*'Alış Fiyat'!J6</f>
        <v>0</v>
      </c>
      <c r="K96" s="382">
        <f>K6*'Alış Fiyat'!K6</f>
        <v>0</v>
      </c>
      <c r="L96" s="382">
        <f>L6*'Alış Fiyat'!L6</f>
        <v>0</v>
      </c>
      <c r="M96" s="382">
        <f>M6*'Alış Fiyat'!M6</f>
        <v>0</v>
      </c>
      <c r="N96" s="382">
        <f>N6*'Alış Fiyat'!N6</f>
        <v>0</v>
      </c>
      <c r="O96" s="383">
        <f>O6*'Alış Fiyat'!O6</f>
        <v>0</v>
      </c>
      <c r="P96" s="378">
        <f t="shared" si="92"/>
        <v>0</v>
      </c>
      <c r="Q96" s="384" t="str">
        <f t="shared" si="91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93">SUM(D95:D96)</f>
        <v>0</v>
      </c>
      <c r="E97" s="389">
        <f t="shared" si="93"/>
        <v>0</v>
      </c>
      <c r="F97" s="389">
        <f t="shared" si="93"/>
        <v>0</v>
      </c>
      <c r="G97" s="389">
        <f t="shared" si="93"/>
        <v>0</v>
      </c>
      <c r="H97" s="389">
        <f t="shared" si="93"/>
        <v>0</v>
      </c>
      <c r="I97" s="389">
        <f t="shared" si="93"/>
        <v>0</v>
      </c>
      <c r="J97" s="389">
        <f t="shared" si="93"/>
        <v>0</v>
      </c>
      <c r="K97" s="389">
        <f t="shared" si="93"/>
        <v>0</v>
      </c>
      <c r="L97" s="389">
        <f t="shared" si="93"/>
        <v>0</v>
      </c>
      <c r="M97" s="389">
        <f t="shared" si="93"/>
        <v>0</v>
      </c>
      <c r="N97" s="389">
        <f t="shared" si="93"/>
        <v>0</v>
      </c>
      <c r="O97" s="390">
        <f t="shared" si="93"/>
        <v>0</v>
      </c>
      <c r="P97" s="391">
        <f t="shared" si="92"/>
        <v>0</v>
      </c>
      <c r="Q97" s="449" t="str">
        <f t="shared" si="91"/>
        <v>-</v>
      </c>
    </row>
    <row r="98" spans="1:22" ht="16.5" customHeight="1">
      <c r="A98" s="393" t="s">
        <v>17</v>
      </c>
      <c r="B98" s="394">
        <f>B8*'Alış Fiyat'!B8</f>
        <v>0</v>
      </c>
      <c r="C98" s="395">
        <f>C8*'Alış Fiyat'!C8</f>
        <v>0</v>
      </c>
      <c r="D98" s="396">
        <f>D8*'Alış Fiyat'!D8</f>
        <v>0</v>
      </c>
      <c r="E98" s="397">
        <f>E8*'Alış Fiyat'!E8</f>
        <v>0</v>
      </c>
      <c r="F98" s="397">
        <f>F8*'Alış Fiyat'!F8</f>
        <v>0</v>
      </c>
      <c r="G98" s="397">
        <f>G8*'Alış Fiyat'!G8</f>
        <v>0</v>
      </c>
      <c r="H98" s="397">
        <f>H8*'Alış Fiyat'!H8</f>
        <v>0</v>
      </c>
      <c r="I98" s="397">
        <f>I8*'Alış Fiyat'!I8</f>
        <v>0</v>
      </c>
      <c r="J98" s="397">
        <f>J8*'Alış Fiyat'!J8</f>
        <v>0</v>
      </c>
      <c r="K98" s="397">
        <f>K8*'Alış Fiyat'!K8</f>
        <v>0</v>
      </c>
      <c r="L98" s="397">
        <f>L8*'Alış Fiyat'!L8</f>
        <v>0</v>
      </c>
      <c r="M98" s="397">
        <f>M8*'Alış Fiyat'!M8</f>
        <v>0</v>
      </c>
      <c r="N98" s="397">
        <f>N8*'Alış Fiyat'!N8</f>
        <v>0</v>
      </c>
      <c r="O98" s="398">
        <f>O8*'Alış Fiyat'!O8</f>
        <v>0</v>
      </c>
      <c r="P98" s="399">
        <f t="shared" si="92"/>
        <v>0</v>
      </c>
      <c r="Q98" s="384" t="str">
        <f t="shared" si="91"/>
        <v>-</v>
      </c>
    </row>
    <row r="99" spans="1:22" ht="16.5" customHeight="1">
      <c r="A99" s="400" t="s">
        <v>81</v>
      </c>
      <c r="B99" s="391"/>
      <c r="C99" s="450">
        <f>B99/10*12</f>
        <v>0</v>
      </c>
      <c r="D99" s="388">
        <f>D9*'Alış Fiyat'!D9</f>
        <v>0</v>
      </c>
      <c r="E99" s="389">
        <f>E9*'Alış Fiyat'!E9</f>
        <v>0</v>
      </c>
      <c r="F99" s="389">
        <f>F9*'Alış Fiyat'!F9</f>
        <v>0</v>
      </c>
      <c r="G99" s="389">
        <f>G9*'Alış Fiyat'!G9</f>
        <v>0</v>
      </c>
      <c r="H99" s="389">
        <f>H9*'Alış Fiyat'!H9</f>
        <v>0</v>
      </c>
      <c r="I99" s="389">
        <f>I9*'Alış Fiyat'!I9</f>
        <v>0</v>
      </c>
      <c r="J99" s="389">
        <f>J9*'Alış Fiyat'!J9</f>
        <v>0</v>
      </c>
      <c r="K99" s="389">
        <f>K9*'Alış Fiyat'!K9</f>
        <v>0</v>
      </c>
      <c r="L99" s="389">
        <f>L9*'Alış Fiyat'!L9</f>
        <v>0</v>
      </c>
      <c r="M99" s="389">
        <f>M9*'Alış Fiyat'!M9</f>
        <v>0</v>
      </c>
      <c r="N99" s="389">
        <f>N9*'Alış Fiyat'!N9</f>
        <v>0</v>
      </c>
      <c r="O99" s="390">
        <f>O9*'Alış Fiyat'!O9</f>
        <v>0</v>
      </c>
      <c r="P99" s="386">
        <f t="shared" si="92"/>
        <v>0</v>
      </c>
      <c r="Q99" s="405" t="str">
        <f t="shared" si="91"/>
        <v>-</v>
      </c>
    </row>
    <row r="100" spans="1:22" ht="16.5" hidden="1" customHeight="1">
      <c r="A100" s="406" t="s">
        <v>82</v>
      </c>
      <c r="B100" s="394">
        <f>B10*'Alış Fiyat'!B10</f>
        <v>0</v>
      </c>
      <c r="C100" s="395">
        <f>C10*'Alış Fiyat'!C10</f>
        <v>0</v>
      </c>
      <c r="D100" s="396">
        <f>D10*'Alış Fiyat'!D10</f>
        <v>0</v>
      </c>
      <c r="E100" s="397">
        <f>E10*'Alış Fiyat'!E10</f>
        <v>0</v>
      </c>
      <c r="F100" s="397">
        <f>F10*'Alış Fiyat'!F10</f>
        <v>0</v>
      </c>
      <c r="G100" s="397">
        <f>G10*'Alış Fiyat'!G10</f>
        <v>0</v>
      </c>
      <c r="H100" s="397">
        <f>H10*'Alış Fiyat'!H10</f>
        <v>0</v>
      </c>
      <c r="I100" s="397">
        <f>I10*'Alış Fiyat'!I10</f>
        <v>0</v>
      </c>
      <c r="J100" s="397">
        <f>J10*'Alış Fiyat'!J10</f>
        <v>0</v>
      </c>
      <c r="K100" s="397">
        <f>K10*'Alış Fiyat'!K10</f>
        <v>0</v>
      </c>
      <c r="L100" s="397">
        <f>L10*'Alış Fiyat'!L10</f>
        <v>0</v>
      </c>
      <c r="M100" s="397">
        <f>M10*'Alış Fiyat'!M10</f>
        <v>0</v>
      </c>
      <c r="N100" s="397">
        <f>N10*'Alış Fiyat'!N10</f>
        <v>0</v>
      </c>
      <c r="O100" s="398">
        <f>O10*'Alış Fiyat'!O10</f>
        <v>0</v>
      </c>
      <c r="P100" s="399">
        <f t="shared" si="92"/>
        <v>0</v>
      </c>
      <c r="Q100" s="384" t="str">
        <f t="shared" si="91"/>
        <v>-</v>
      </c>
    </row>
    <row r="101" spans="1:22" ht="16.5" customHeight="1">
      <c r="A101" s="400" t="s">
        <v>83</v>
      </c>
      <c r="B101" s="408">
        <f>B11*'Alış Fiyat'!B11</f>
        <v>0</v>
      </c>
      <c r="C101" s="409"/>
      <c r="D101" s="402">
        <f>D11*'Alış Fiyat'!D11</f>
        <v>0</v>
      </c>
      <c r="E101" s="403">
        <f>E11*'Alış Fiyat'!E11</f>
        <v>0</v>
      </c>
      <c r="F101" s="403">
        <f>F11*'Alış Fiyat'!F11</f>
        <v>0</v>
      </c>
      <c r="G101" s="403">
        <f>G11*'Alış Fiyat'!G11</f>
        <v>0</v>
      </c>
      <c r="H101" s="403">
        <f>H11*'Alış Fiyat'!H11</f>
        <v>0</v>
      </c>
      <c r="I101" s="403">
        <f>I11*'Alış Fiyat'!I11</f>
        <v>0</v>
      </c>
      <c r="J101" s="403">
        <f>J11*'Alış Fiyat'!J11</f>
        <v>0</v>
      </c>
      <c r="K101" s="403">
        <f>K11*'Alış Fiyat'!K11</f>
        <v>0</v>
      </c>
      <c r="L101" s="403">
        <f>L11*'Alış Fiyat'!L11</f>
        <v>0</v>
      </c>
      <c r="M101" s="403">
        <f>M11*'Alış Fiyat'!M11</f>
        <v>0</v>
      </c>
      <c r="N101" s="403">
        <f>N11*'Alış Fiyat'!N11</f>
        <v>0</v>
      </c>
      <c r="O101" s="404">
        <f>O11*'Alış Fiyat'!O11</f>
        <v>0</v>
      </c>
      <c r="P101" s="386">
        <f t="shared" si="92"/>
        <v>0</v>
      </c>
      <c r="Q101" s="405" t="str">
        <f t="shared" si="91"/>
        <v>-</v>
      </c>
    </row>
    <row r="102" spans="1:22" ht="16.5" hidden="1" customHeight="1">
      <c r="A102" s="406" t="s">
        <v>84</v>
      </c>
      <c r="B102" s="378">
        <f>B12*'Alış Fiyat'!B12</f>
        <v>0</v>
      </c>
      <c r="C102" s="379">
        <f>C12*'Alış Fiyat'!C12</f>
        <v>0</v>
      </c>
      <c r="D102" s="407">
        <f>D12*'Alış Fiyat'!D12</f>
        <v>0</v>
      </c>
      <c r="E102" s="382">
        <f>E12*'Alış Fiyat'!E12</f>
        <v>0</v>
      </c>
      <c r="F102" s="382">
        <f>F12*'Alış Fiyat'!F12</f>
        <v>0</v>
      </c>
      <c r="G102" s="382">
        <f>G12*'Alış Fiyat'!G12</f>
        <v>0</v>
      </c>
      <c r="H102" s="382">
        <f>H12*'Alış Fiyat'!H12</f>
        <v>0</v>
      </c>
      <c r="I102" s="381">
        <f>I12*'Alış Fiyat'!I12</f>
        <v>0</v>
      </c>
      <c r="J102" s="381">
        <f>J12*'Alış Fiyat'!J12</f>
        <v>0</v>
      </c>
      <c r="K102" s="382">
        <f>K12*'Alış Fiyat'!K12</f>
        <v>0</v>
      </c>
      <c r="L102" s="382">
        <f>L12*'Alış Fiyat'!L12</f>
        <v>0</v>
      </c>
      <c r="M102" s="382">
        <f>M12*'Alış Fiyat'!M12</f>
        <v>0</v>
      </c>
      <c r="N102" s="382">
        <f>N12*'Alış Fiyat'!N12</f>
        <v>0</v>
      </c>
      <c r="O102" s="383">
        <f>O12*'Alış Fiyat'!O12</f>
        <v>0</v>
      </c>
      <c r="P102" s="399">
        <f t="shared" si="92"/>
        <v>0</v>
      </c>
      <c r="Q102" s="384" t="str">
        <f t="shared" si="91"/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94">SUM(E99:E102)</f>
        <v>0</v>
      </c>
      <c r="F103" s="414">
        <f t="shared" si="94"/>
        <v>0</v>
      </c>
      <c r="G103" s="414">
        <f t="shared" si="94"/>
        <v>0</v>
      </c>
      <c r="H103" s="414">
        <f t="shared" si="94"/>
        <v>0</v>
      </c>
      <c r="I103" s="414">
        <f t="shared" si="94"/>
        <v>0</v>
      </c>
      <c r="J103" s="414">
        <f t="shared" si="94"/>
        <v>0</v>
      </c>
      <c r="K103" s="414">
        <f t="shared" si="94"/>
        <v>0</v>
      </c>
      <c r="L103" s="414">
        <f t="shared" si="94"/>
        <v>0</v>
      </c>
      <c r="M103" s="414">
        <f t="shared" si="94"/>
        <v>0</v>
      </c>
      <c r="N103" s="414">
        <f t="shared" si="94"/>
        <v>0</v>
      </c>
      <c r="O103" s="412">
        <f t="shared" si="94"/>
        <v>0</v>
      </c>
      <c r="P103" s="411">
        <f t="shared" si="94"/>
        <v>0</v>
      </c>
      <c r="Q103" s="415" t="str">
        <f t="shared" si="91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:P104" si="95">SUM(C105:C106)</f>
        <v>0</v>
      </c>
      <c r="D104" s="417">
        <f t="shared" si="95"/>
        <v>0</v>
      </c>
      <c r="E104" s="418">
        <f t="shared" si="95"/>
        <v>0</v>
      </c>
      <c r="F104" s="418">
        <f t="shared" si="95"/>
        <v>0</v>
      </c>
      <c r="G104" s="418">
        <f t="shared" si="95"/>
        <v>0</v>
      </c>
      <c r="H104" s="418">
        <f t="shared" si="95"/>
        <v>0</v>
      </c>
      <c r="I104" s="418">
        <f t="shared" si="95"/>
        <v>0</v>
      </c>
      <c r="J104" s="418">
        <f t="shared" si="95"/>
        <v>0</v>
      </c>
      <c r="K104" s="418">
        <f t="shared" si="95"/>
        <v>0</v>
      </c>
      <c r="L104" s="418">
        <f t="shared" si="95"/>
        <v>0</v>
      </c>
      <c r="M104" s="418">
        <f t="shared" si="95"/>
        <v>0</v>
      </c>
      <c r="N104" s="418">
        <f t="shared" si="95"/>
        <v>0</v>
      </c>
      <c r="O104" s="419">
        <f t="shared" si="95"/>
        <v>0</v>
      </c>
      <c r="P104" s="420">
        <f t="shared" si="95"/>
        <v>0</v>
      </c>
      <c r="Q104" s="421" t="str">
        <f t="shared" si="91"/>
        <v>-</v>
      </c>
    </row>
    <row r="105" spans="1:22" ht="16.5" customHeight="1">
      <c r="A105" s="422" t="s">
        <v>19</v>
      </c>
      <c r="B105" s="423">
        <f>B15*'Alış Fiyat'!B15</f>
        <v>0</v>
      </c>
      <c r="C105" s="424">
        <f>C15*'Alış Fiyat'!C15</f>
        <v>0</v>
      </c>
      <c r="D105" s="425">
        <f>D15*'Alış Fiyat'!D15</f>
        <v>0</v>
      </c>
      <c r="E105" s="426">
        <f>E15*'Alış Fiyat'!E15</f>
        <v>0</v>
      </c>
      <c r="F105" s="426">
        <f>F15*'Alış Fiyat'!F15</f>
        <v>0</v>
      </c>
      <c r="G105" s="426">
        <f>G15*'Alış Fiyat'!G15</f>
        <v>0</v>
      </c>
      <c r="H105" s="426">
        <f>H15*'Alış Fiyat'!H15</f>
        <v>0</v>
      </c>
      <c r="I105" s="426">
        <f>I15*'Alış Fiyat'!I15</f>
        <v>0</v>
      </c>
      <c r="J105" s="426">
        <f>J15*'Alış Fiyat'!J15</f>
        <v>0</v>
      </c>
      <c r="K105" s="426">
        <f>K15*'Alış Fiyat'!K15</f>
        <v>0</v>
      </c>
      <c r="L105" s="426">
        <f>L15*'Alış Fiyat'!L15</f>
        <v>0</v>
      </c>
      <c r="M105" s="426">
        <f>M15*'Alış Fiyat'!M15</f>
        <v>0</v>
      </c>
      <c r="N105" s="426">
        <f>N15*'Alış Fiyat'!N15</f>
        <v>0</v>
      </c>
      <c r="O105" s="427">
        <f>O15*'Alış Fiyat'!O15</f>
        <v>0</v>
      </c>
      <c r="P105" s="428">
        <f>SUM(D105:O105)</f>
        <v>0</v>
      </c>
      <c r="Q105" s="429" t="str">
        <f t="shared" si="91"/>
        <v>-</v>
      </c>
    </row>
    <row r="106" spans="1:22" ht="16.5" customHeight="1" thickBot="1">
      <c r="A106" s="430" t="s">
        <v>20</v>
      </c>
      <c r="B106" s="431">
        <f>B16*'Alış Fiyat'!B16</f>
        <v>0</v>
      </c>
      <c r="C106" s="432">
        <f>C16*'Alış Fiyat'!C16</f>
        <v>0</v>
      </c>
      <c r="D106" s="433">
        <f>D16*'Alış Fiyat'!D16</f>
        <v>0</v>
      </c>
      <c r="E106" s="434">
        <f>E16*'Alış Fiyat'!E16</f>
        <v>0</v>
      </c>
      <c r="F106" s="434">
        <f>F16*'Alış Fiyat'!F16</f>
        <v>0</v>
      </c>
      <c r="G106" s="434">
        <f>G16*'Alış Fiyat'!G16</f>
        <v>0</v>
      </c>
      <c r="H106" s="434">
        <f>H16*'Alış Fiyat'!H16</f>
        <v>0</v>
      </c>
      <c r="I106" s="434">
        <f>I16*'Alış Fiyat'!I16</f>
        <v>0</v>
      </c>
      <c r="J106" s="434">
        <f>J16*'Alış Fiyat'!J16</f>
        <v>0</v>
      </c>
      <c r="K106" s="434">
        <f>K16*'Alış Fiyat'!K16</f>
        <v>0</v>
      </c>
      <c r="L106" s="434">
        <f>L16*'Alış Fiyat'!L16</f>
        <v>0</v>
      </c>
      <c r="M106" s="434">
        <f>M16*'Alış Fiyat'!M16</f>
        <v>0</v>
      </c>
      <c r="N106" s="434">
        <f>N16*'Alış Fiyat'!N16</f>
        <v>0</v>
      </c>
      <c r="O106" s="435">
        <f>O16*'Alış Fiyat'!O16</f>
        <v>0</v>
      </c>
      <c r="P106" s="436">
        <f>SUM(D106:O106)</f>
        <v>0</v>
      </c>
      <c r="Q106" s="437" t="str">
        <f t="shared" si="91"/>
        <v>-</v>
      </c>
    </row>
    <row r="107" spans="1:22" ht="22.5" customHeight="1" thickBot="1">
      <c r="A107" s="362" t="s">
        <v>30</v>
      </c>
      <c r="B107" s="363">
        <f t="shared" ref="B107:P107" si="96">SUM(B108:B109)</f>
        <v>0</v>
      </c>
      <c r="C107" s="416">
        <f t="shared" si="96"/>
        <v>0</v>
      </c>
      <c r="D107" s="417">
        <f t="shared" si="96"/>
        <v>0</v>
      </c>
      <c r="E107" s="418">
        <f t="shared" si="96"/>
        <v>0</v>
      </c>
      <c r="F107" s="418">
        <f t="shared" si="96"/>
        <v>0</v>
      </c>
      <c r="G107" s="418">
        <f t="shared" si="96"/>
        <v>0</v>
      </c>
      <c r="H107" s="418">
        <f t="shared" si="96"/>
        <v>0</v>
      </c>
      <c r="I107" s="418">
        <f t="shared" si="96"/>
        <v>0</v>
      </c>
      <c r="J107" s="418">
        <f t="shared" si="96"/>
        <v>0</v>
      </c>
      <c r="K107" s="418">
        <f t="shared" si="96"/>
        <v>0</v>
      </c>
      <c r="L107" s="418">
        <f t="shared" si="96"/>
        <v>0</v>
      </c>
      <c r="M107" s="418">
        <f t="shared" si="96"/>
        <v>0</v>
      </c>
      <c r="N107" s="418">
        <f t="shared" si="96"/>
        <v>0</v>
      </c>
      <c r="O107" s="419">
        <f t="shared" si="96"/>
        <v>0</v>
      </c>
      <c r="P107" s="420">
        <f t="shared" si="96"/>
        <v>0</v>
      </c>
      <c r="Q107" s="421" t="str">
        <f t="shared" si="91"/>
        <v>-</v>
      </c>
    </row>
    <row r="108" spans="1:22" ht="16.5" customHeight="1">
      <c r="A108" s="422" t="s">
        <v>106</v>
      </c>
      <c r="B108" s="423">
        <f>B18*'Alış Fiyat'!B18</f>
        <v>0</v>
      </c>
      <c r="C108" s="424">
        <f>C18*'Alış Fiyat'!C18</f>
        <v>0</v>
      </c>
      <c r="D108" s="425">
        <f>D18*'Alış Fiyat'!D18</f>
        <v>0</v>
      </c>
      <c r="E108" s="426">
        <f>E18*'Alış Fiyat'!E18</f>
        <v>0</v>
      </c>
      <c r="F108" s="426">
        <f>F18*'Alış Fiyat'!F18</f>
        <v>0</v>
      </c>
      <c r="G108" s="426">
        <f>G18*'Alış Fiyat'!G18</f>
        <v>0</v>
      </c>
      <c r="H108" s="426">
        <f>H18*'Alış Fiyat'!H18</f>
        <v>0</v>
      </c>
      <c r="I108" s="426">
        <f>I18*'Alış Fiyat'!I18</f>
        <v>0</v>
      </c>
      <c r="J108" s="426">
        <f>J18*'Alış Fiyat'!J18</f>
        <v>0</v>
      </c>
      <c r="K108" s="426">
        <f>K18*'Alış Fiyat'!K18</f>
        <v>0</v>
      </c>
      <c r="L108" s="426">
        <f>L18*'Alış Fiyat'!L18</f>
        <v>0</v>
      </c>
      <c r="M108" s="426">
        <f>M18*'Alış Fiyat'!M18</f>
        <v>0</v>
      </c>
      <c r="N108" s="426">
        <f>N18*'Alış Fiyat'!N18</f>
        <v>0</v>
      </c>
      <c r="O108" s="427">
        <f>O18*'Alış Fiyat'!O18</f>
        <v>0</v>
      </c>
      <c r="P108" s="428">
        <f>SUM(D108:O108)</f>
        <v>0</v>
      </c>
      <c r="Q108" s="429" t="str">
        <f t="shared" si="91"/>
        <v>-</v>
      </c>
    </row>
    <row r="109" spans="1:22" ht="16.5" customHeight="1" thickBot="1">
      <c r="A109" s="438" t="s">
        <v>105</v>
      </c>
      <c r="B109" s="439">
        <f>B19*'Alış Fiyat'!B19</f>
        <v>0</v>
      </c>
      <c r="C109" s="440">
        <f>C19*'Alış Fiyat'!C19</f>
        <v>0</v>
      </c>
      <c r="D109" s="441">
        <f>D19*'Alış Fiyat'!D19</f>
        <v>0</v>
      </c>
      <c r="E109" s="442">
        <f>E19*'Alış Fiyat'!E19</f>
        <v>0</v>
      </c>
      <c r="F109" s="442">
        <f>F19*'Alış Fiyat'!F19</f>
        <v>0</v>
      </c>
      <c r="G109" s="442">
        <f>G19*'Alış Fiyat'!G19</f>
        <v>0</v>
      </c>
      <c r="H109" s="442">
        <f>H19*'Alış Fiyat'!H19</f>
        <v>0</v>
      </c>
      <c r="I109" s="442">
        <f>I19*'Alış Fiyat'!I19</f>
        <v>0</v>
      </c>
      <c r="J109" s="442">
        <f>J19*'Alış Fiyat'!J19</f>
        <v>0</v>
      </c>
      <c r="K109" s="442">
        <f>K19*'Alış Fiyat'!K19</f>
        <v>0</v>
      </c>
      <c r="L109" s="442">
        <f>L19*'Alış Fiyat'!L19</f>
        <v>0</v>
      </c>
      <c r="M109" s="442">
        <f>M19*'Alış Fiyat'!M19</f>
        <v>0</v>
      </c>
      <c r="N109" s="442">
        <f>N19*'Alış Fiyat'!N19</f>
        <v>0</v>
      </c>
      <c r="O109" s="443">
        <f>O19*'Alış Fiyat'!O19</f>
        <v>0</v>
      </c>
      <c r="P109" s="444">
        <f>SUM(D109:O109)</f>
        <v>0</v>
      </c>
      <c r="Q109" s="445" t="str">
        <f t="shared" si="91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>
        <f>B21*'Alış Fiyat'!B21</f>
        <v>0</v>
      </c>
      <c r="C111" s="364">
        <f>C21*'Alış Fiyat'!C21</f>
        <v>0</v>
      </c>
      <c r="D111" s="365">
        <f>D21*'Alış Fiyat'!D21</f>
        <v>0</v>
      </c>
      <c r="E111" s="366">
        <f>E21*'Alış Fiyat'!E21</f>
        <v>0</v>
      </c>
      <c r="F111" s="366">
        <f>F21*'Alış Fiyat'!F21</f>
        <v>0</v>
      </c>
      <c r="G111" s="366">
        <f>G21*'Alış Fiyat'!G21</f>
        <v>0</v>
      </c>
      <c r="H111" s="366">
        <f>H21*'Alış Fiyat'!H21</f>
        <v>0</v>
      </c>
      <c r="I111" s="366">
        <f>I21*'Alış Fiyat'!I21</f>
        <v>0</v>
      </c>
      <c r="J111" s="366">
        <f>J21*'Alış Fiyat'!J21</f>
        <v>0</v>
      </c>
      <c r="K111" s="366">
        <f>K21*'Alış Fiyat'!K21</f>
        <v>0</v>
      </c>
      <c r="L111" s="366">
        <f>L21*'Alış Fiyat'!L21</f>
        <v>0</v>
      </c>
      <c r="M111" s="366">
        <f>M21*'Alış Fiyat'!M21</f>
        <v>0</v>
      </c>
      <c r="N111" s="366">
        <f>N21*'Alış Fiyat'!N21</f>
        <v>0</v>
      </c>
      <c r="O111" s="448">
        <f>O21*'Alış Fiyat'!O21</f>
        <v>0</v>
      </c>
      <c r="P111" s="363">
        <f>SUM(D111:O111)</f>
        <v>0</v>
      </c>
      <c r="Q111" s="367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:P113" si="97">+C94+C104+C107+C111</f>
        <v>0</v>
      </c>
      <c r="D113" s="365">
        <f t="shared" si="97"/>
        <v>0</v>
      </c>
      <c r="E113" s="366">
        <f t="shared" si="97"/>
        <v>0</v>
      </c>
      <c r="F113" s="366">
        <f t="shared" si="97"/>
        <v>0</v>
      </c>
      <c r="G113" s="366">
        <f t="shared" si="97"/>
        <v>0</v>
      </c>
      <c r="H113" s="366">
        <f t="shared" si="97"/>
        <v>0</v>
      </c>
      <c r="I113" s="366">
        <f t="shared" si="97"/>
        <v>0</v>
      </c>
      <c r="J113" s="366">
        <f t="shared" si="97"/>
        <v>0</v>
      </c>
      <c r="K113" s="366">
        <f t="shared" si="97"/>
        <v>0</v>
      </c>
      <c r="L113" s="366">
        <f t="shared" si="97"/>
        <v>0</v>
      </c>
      <c r="M113" s="366">
        <f t="shared" si="97"/>
        <v>0</v>
      </c>
      <c r="N113" s="366">
        <f t="shared" si="97"/>
        <v>0</v>
      </c>
      <c r="O113" s="448">
        <f t="shared" si="97"/>
        <v>0</v>
      </c>
      <c r="P113" s="363">
        <f t="shared" si="97"/>
        <v>0</v>
      </c>
      <c r="Q113" s="367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7" t="s">
        <v>676</v>
      </c>
      <c r="E115" s="2378">
        <v>0</v>
      </c>
      <c r="F115" s="2378">
        <v>0</v>
      </c>
      <c r="G115" s="2378">
        <v>0</v>
      </c>
      <c r="H115" s="2378">
        <v>0</v>
      </c>
      <c r="I115" s="2378">
        <v>0</v>
      </c>
      <c r="J115" s="2378">
        <v>0</v>
      </c>
      <c r="K115" s="2378">
        <v>0</v>
      </c>
      <c r="L115" s="2378">
        <v>0</v>
      </c>
      <c r="M115" s="2378">
        <v>0</v>
      </c>
      <c r="N115" s="2378">
        <v>0</v>
      </c>
      <c r="O115" s="2378">
        <v>0</v>
      </c>
      <c r="P115" s="2379">
        <v>0</v>
      </c>
      <c r="Q115" s="355" t="s">
        <v>638</v>
      </c>
    </row>
    <row r="116" spans="1:22" ht="30.75" customHeight="1" thickBot="1">
      <c r="A116" s="356"/>
      <c r="B116" s="357" t="s">
        <v>681</v>
      </c>
      <c r="C116" s="357" t="s">
        <v>663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:P117" si="98">C120+C121+C126</f>
        <v>0</v>
      </c>
      <c r="D117" s="365">
        <f t="shared" si="98"/>
        <v>0</v>
      </c>
      <c r="E117" s="366">
        <f t="shared" si="98"/>
        <v>0</v>
      </c>
      <c r="F117" s="366">
        <f t="shared" si="98"/>
        <v>0</v>
      </c>
      <c r="G117" s="366">
        <f t="shared" si="98"/>
        <v>0</v>
      </c>
      <c r="H117" s="366">
        <f t="shared" si="98"/>
        <v>0</v>
      </c>
      <c r="I117" s="366">
        <f t="shared" si="98"/>
        <v>0</v>
      </c>
      <c r="J117" s="366">
        <f t="shared" si="98"/>
        <v>0</v>
      </c>
      <c r="K117" s="366">
        <f t="shared" si="98"/>
        <v>0</v>
      </c>
      <c r="L117" s="366">
        <f t="shared" si="98"/>
        <v>0</v>
      </c>
      <c r="M117" s="366">
        <f t="shared" si="98"/>
        <v>0</v>
      </c>
      <c r="N117" s="366">
        <f t="shared" si="98"/>
        <v>0</v>
      </c>
      <c r="O117" s="364">
        <f t="shared" si="98"/>
        <v>0</v>
      </c>
      <c r="P117" s="363">
        <f t="shared" si="98"/>
        <v>0</v>
      </c>
      <c r="Q117" s="367" t="str">
        <f t="shared" ref="Q117:Q132" si="99">IF(P117=0,"-",P117/C117-1)</f>
        <v>-</v>
      </c>
    </row>
    <row r="118" spans="1:22" ht="16.5" customHeight="1">
      <c r="A118" s="368" t="s">
        <v>15</v>
      </c>
      <c r="B118" s="369">
        <f t="shared" ref="B118:O119" si="100">+B72-B95</f>
        <v>0</v>
      </c>
      <c r="C118" s="370">
        <f t="shared" si="100"/>
        <v>0</v>
      </c>
      <c r="D118" s="371">
        <f t="shared" si="100"/>
        <v>0</v>
      </c>
      <c r="E118" s="372">
        <f t="shared" si="100"/>
        <v>0</v>
      </c>
      <c r="F118" s="372">
        <f t="shared" si="100"/>
        <v>0</v>
      </c>
      <c r="G118" s="372">
        <f t="shared" si="100"/>
        <v>0</v>
      </c>
      <c r="H118" s="373">
        <f t="shared" si="100"/>
        <v>0</v>
      </c>
      <c r="I118" s="373">
        <f t="shared" si="100"/>
        <v>0</v>
      </c>
      <c r="J118" s="373">
        <f t="shared" si="100"/>
        <v>0</v>
      </c>
      <c r="K118" s="373">
        <f t="shared" si="100"/>
        <v>0</v>
      </c>
      <c r="L118" s="373">
        <f t="shared" si="100"/>
        <v>0</v>
      </c>
      <c r="M118" s="373">
        <f t="shared" si="100"/>
        <v>0</v>
      </c>
      <c r="N118" s="373">
        <f t="shared" si="100"/>
        <v>0</v>
      </c>
      <c r="O118" s="374">
        <f t="shared" si="100"/>
        <v>0</v>
      </c>
      <c r="P118" s="369">
        <f t="shared" ref="P118:P125" si="101">SUM(D118:O118)</f>
        <v>0</v>
      </c>
      <c r="Q118" s="375" t="str">
        <f t="shared" si="99"/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00"/>
        <v>0</v>
      </c>
      <c r="C119" s="379">
        <f t="shared" si="100"/>
        <v>0</v>
      </c>
      <c r="D119" s="380">
        <f t="shared" si="100"/>
        <v>0</v>
      </c>
      <c r="E119" s="381">
        <f t="shared" si="100"/>
        <v>0</v>
      </c>
      <c r="F119" s="381">
        <f t="shared" si="100"/>
        <v>0</v>
      </c>
      <c r="G119" s="381">
        <f t="shared" si="100"/>
        <v>0</v>
      </c>
      <c r="H119" s="382">
        <f t="shared" si="100"/>
        <v>0</v>
      </c>
      <c r="I119" s="382">
        <f t="shared" si="100"/>
        <v>0</v>
      </c>
      <c r="J119" s="382">
        <f t="shared" si="100"/>
        <v>0</v>
      </c>
      <c r="K119" s="382">
        <f t="shared" si="100"/>
        <v>0</v>
      </c>
      <c r="L119" s="382">
        <f t="shared" si="100"/>
        <v>0</v>
      </c>
      <c r="M119" s="382">
        <f t="shared" si="100"/>
        <v>0</v>
      </c>
      <c r="N119" s="382">
        <f t="shared" si="100"/>
        <v>0</v>
      </c>
      <c r="O119" s="383">
        <f t="shared" si="100"/>
        <v>0</v>
      </c>
      <c r="P119" s="378">
        <f t="shared" si="101"/>
        <v>0</v>
      </c>
      <c r="Q119" s="384" t="str">
        <f t="shared" si="99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02">SUM(D118:D119)</f>
        <v>0</v>
      </c>
      <c r="E120" s="389">
        <f t="shared" si="102"/>
        <v>0</v>
      </c>
      <c r="F120" s="389">
        <f t="shared" si="102"/>
        <v>0</v>
      </c>
      <c r="G120" s="389">
        <f t="shared" si="102"/>
        <v>0</v>
      </c>
      <c r="H120" s="389">
        <f t="shared" si="102"/>
        <v>0</v>
      </c>
      <c r="I120" s="389">
        <f t="shared" si="102"/>
        <v>0</v>
      </c>
      <c r="J120" s="389">
        <f t="shared" si="102"/>
        <v>0</v>
      </c>
      <c r="K120" s="389">
        <f t="shared" si="102"/>
        <v>0</v>
      </c>
      <c r="L120" s="389">
        <f t="shared" si="102"/>
        <v>0</v>
      </c>
      <c r="M120" s="389">
        <f t="shared" si="102"/>
        <v>0</v>
      </c>
      <c r="N120" s="389">
        <f t="shared" si="102"/>
        <v>0</v>
      </c>
      <c r="O120" s="390">
        <f t="shared" si="102"/>
        <v>0</v>
      </c>
      <c r="P120" s="391">
        <f>SUM(D120:O120)</f>
        <v>0</v>
      </c>
      <c r="Q120" s="449" t="str">
        <f t="shared" si="99"/>
        <v>-</v>
      </c>
    </row>
    <row r="121" spans="1:22" ht="16.5" customHeight="1">
      <c r="A121" s="393" t="s">
        <v>17</v>
      </c>
      <c r="B121" s="394">
        <f t="shared" ref="B121:O125" si="103">+B75-B98</f>
        <v>0</v>
      </c>
      <c r="C121" s="395">
        <f t="shared" si="103"/>
        <v>0</v>
      </c>
      <c r="D121" s="396">
        <f t="shared" si="103"/>
        <v>0</v>
      </c>
      <c r="E121" s="397">
        <f t="shared" si="103"/>
        <v>0</v>
      </c>
      <c r="F121" s="397">
        <f t="shared" si="103"/>
        <v>0</v>
      </c>
      <c r="G121" s="397">
        <f t="shared" si="103"/>
        <v>0</v>
      </c>
      <c r="H121" s="397">
        <f t="shared" si="103"/>
        <v>0</v>
      </c>
      <c r="I121" s="397">
        <f t="shared" si="103"/>
        <v>0</v>
      </c>
      <c r="J121" s="397">
        <f t="shared" si="103"/>
        <v>0</v>
      </c>
      <c r="K121" s="397">
        <f t="shared" si="103"/>
        <v>0</v>
      </c>
      <c r="L121" s="397">
        <f t="shared" si="103"/>
        <v>0</v>
      </c>
      <c r="M121" s="397">
        <f t="shared" si="103"/>
        <v>0</v>
      </c>
      <c r="N121" s="397">
        <f t="shared" si="103"/>
        <v>0</v>
      </c>
      <c r="O121" s="398">
        <f t="shared" si="103"/>
        <v>0</v>
      </c>
      <c r="P121" s="399">
        <f t="shared" si="101"/>
        <v>0</v>
      </c>
      <c r="Q121" s="384" t="str">
        <f t="shared" si="99"/>
        <v>-</v>
      </c>
    </row>
    <row r="122" spans="1:22" ht="16.5" customHeight="1">
      <c r="A122" s="400" t="s">
        <v>81</v>
      </c>
      <c r="B122" s="391">
        <f t="shared" si="103"/>
        <v>0</v>
      </c>
      <c r="C122" s="450">
        <f t="shared" si="103"/>
        <v>0</v>
      </c>
      <c r="D122" s="402">
        <f t="shared" si="103"/>
        <v>0</v>
      </c>
      <c r="E122" s="403">
        <f t="shared" si="103"/>
        <v>0</v>
      </c>
      <c r="F122" s="403">
        <f t="shared" si="103"/>
        <v>0</v>
      </c>
      <c r="G122" s="403">
        <f t="shared" si="103"/>
        <v>0</v>
      </c>
      <c r="H122" s="403">
        <f t="shared" si="103"/>
        <v>0</v>
      </c>
      <c r="I122" s="403">
        <f t="shared" si="103"/>
        <v>0</v>
      </c>
      <c r="J122" s="403">
        <f t="shared" si="103"/>
        <v>0</v>
      </c>
      <c r="K122" s="403">
        <f t="shared" si="103"/>
        <v>0</v>
      </c>
      <c r="L122" s="403">
        <f t="shared" si="103"/>
        <v>0</v>
      </c>
      <c r="M122" s="403">
        <f t="shared" si="103"/>
        <v>0</v>
      </c>
      <c r="N122" s="403">
        <f t="shared" si="103"/>
        <v>0</v>
      </c>
      <c r="O122" s="404">
        <f t="shared" si="103"/>
        <v>0</v>
      </c>
      <c r="P122" s="386">
        <f t="shared" si="101"/>
        <v>0</v>
      </c>
      <c r="Q122" s="405" t="str">
        <f t="shared" si="99"/>
        <v>-</v>
      </c>
    </row>
    <row r="123" spans="1:22" ht="16.5" hidden="1" customHeight="1">
      <c r="A123" s="406" t="s">
        <v>82</v>
      </c>
      <c r="B123" s="394">
        <f t="shared" si="103"/>
        <v>0</v>
      </c>
      <c r="C123" s="395">
        <f t="shared" si="103"/>
        <v>0</v>
      </c>
      <c r="D123" s="407">
        <f t="shared" si="103"/>
        <v>0</v>
      </c>
      <c r="E123" s="382">
        <f t="shared" si="103"/>
        <v>0</v>
      </c>
      <c r="F123" s="382">
        <f t="shared" si="103"/>
        <v>0</v>
      </c>
      <c r="G123" s="382">
        <f t="shared" si="103"/>
        <v>0</v>
      </c>
      <c r="H123" s="382">
        <f t="shared" si="103"/>
        <v>0</v>
      </c>
      <c r="I123" s="382">
        <f t="shared" si="103"/>
        <v>0</v>
      </c>
      <c r="J123" s="382">
        <f t="shared" si="103"/>
        <v>0</v>
      </c>
      <c r="K123" s="382">
        <f t="shared" si="103"/>
        <v>0</v>
      </c>
      <c r="L123" s="382">
        <f t="shared" si="103"/>
        <v>0</v>
      </c>
      <c r="M123" s="382">
        <f t="shared" si="103"/>
        <v>0</v>
      </c>
      <c r="N123" s="382">
        <f t="shared" si="103"/>
        <v>0</v>
      </c>
      <c r="O123" s="383">
        <f t="shared" si="103"/>
        <v>0</v>
      </c>
      <c r="P123" s="399">
        <f t="shared" si="101"/>
        <v>0</v>
      </c>
      <c r="Q123" s="384" t="str">
        <f t="shared" si="99"/>
        <v>-</v>
      </c>
    </row>
    <row r="124" spans="1:22" ht="16.5" customHeight="1">
      <c r="A124" s="400" t="s">
        <v>83</v>
      </c>
      <c r="B124" s="408">
        <f t="shared" si="103"/>
        <v>0</v>
      </c>
      <c r="C124" s="409">
        <f t="shared" si="103"/>
        <v>0</v>
      </c>
      <c r="D124" s="402">
        <f t="shared" si="103"/>
        <v>0</v>
      </c>
      <c r="E124" s="403">
        <f t="shared" si="103"/>
        <v>0</v>
      </c>
      <c r="F124" s="403">
        <f t="shared" si="103"/>
        <v>0</v>
      </c>
      <c r="G124" s="403">
        <f t="shared" si="103"/>
        <v>0</v>
      </c>
      <c r="H124" s="403">
        <f t="shared" si="103"/>
        <v>0</v>
      </c>
      <c r="I124" s="403">
        <f t="shared" si="103"/>
        <v>0</v>
      </c>
      <c r="J124" s="403">
        <f t="shared" si="103"/>
        <v>0</v>
      </c>
      <c r="K124" s="403">
        <f t="shared" si="103"/>
        <v>0</v>
      </c>
      <c r="L124" s="403">
        <f t="shared" si="103"/>
        <v>0</v>
      </c>
      <c r="M124" s="403">
        <f t="shared" si="103"/>
        <v>0</v>
      </c>
      <c r="N124" s="403">
        <f t="shared" si="103"/>
        <v>0</v>
      </c>
      <c r="O124" s="404">
        <f t="shared" si="103"/>
        <v>0</v>
      </c>
      <c r="P124" s="386">
        <f t="shared" si="101"/>
        <v>0</v>
      </c>
      <c r="Q124" s="405" t="str">
        <f t="shared" si="99"/>
        <v>-</v>
      </c>
    </row>
    <row r="125" spans="1:22" ht="16.5" hidden="1" customHeight="1">
      <c r="A125" s="406" t="s">
        <v>84</v>
      </c>
      <c r="B125" s="378">
        <f t="shared" si="103"/>
        <v>0</v>
      </c>
      <c r="C125" s="379">
        <f t="shared" si="103"/>
        <v>0</v>
      </c>
      <c r="D125" s="407">
        <f t="shared" si="103"/>
        <v>0</v>
      </c>
      <c r="E125" s="382">
        <f t="shared" si="103"/>
        <v>0</v>
      </c>
      <c r="F125" s="382">
        <f t="shared" si="103"/>
        <v>0</v>
      </c>
      <c r="G125" s="382">
        <f t="shared" si="103"/>
        <v>0</v>
      </c>
      <c r="H125" s="382">
        <f t="shared" si="103"/>
        <v>0</v>
      </c>
      <c r="I125" s="381">
        <f t="shared" si="103"/>
        <v>0</v>
      </c>
      <c r="J125" s="381">
        <f t="shared" si="103"/>
        <v>0</v>
      </c>
      <c r="K125" s="382">
        <f t="shared" si="103"/>
        <v>0</v>
      </c>
      <c r="L125" s="382">
        <f t="shared" si="103"/>
        <v>0</v>
      </c>
      <c r="M125" s="382">
        <f t="shared" si="103"/>
        <v>0</v>
      </c>
      <c r="N125" s="382">
        <f t="shared" si="103"/>
        <v>0</v>
      </c>
      <c r="O125" s="383">
        <f t="shared" si="103"/>
        <v>0</v>
      </c>
      <c r="P125" s="399">
        <f t="shared" si="101"/>
        <v>0</v>
      </c>
      <c r="Q125" s="384" t="str">
        <f t="shared" si="99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>SUM(B122:B125)</f>
        <v>0</v>
      </c>
      <c r="C126" s="412">
        <f>SUM(C122:C125)</f>
        <v>0</v>
      </c>
      <c r="D126" s="413">
        <f>SUM(D122:D125)</f>
        <v>0</v>
      </c>
      <c r="E126" s="414">
        <f t="shared" ref="E126:P126" si="104">SUM(E122:E125)</f>
        <v>0</v>
      </c>
      <c r="F126" s="414">
        <f t="shared" si="104"/>
        <v>0</v>
      </c>
      <c r="G126" s="414">
        <f t="shared" si="104"/>
        <v>0</v>
      </c>
      <c r="H126" s="414">
        <f t="shared" si="104"/>
        <v>0</v>
      </c>
      <c r="I126" s="414">
        <f t="shared" si="104"/>
        <v>0</v>
      </c>
      <c r="J126" s="414">
        <f t="shared" si="104"/>
        <v>0</v>
      </c>
      <c r="K126" s="414">
        <f t="shared" si="104"/>
        <v>0</v>
      </c>
      <c r="L126" s="414">
        <f t="shared" si="104"/>
        <v>0</v>
      </c>
      <c r="M126" s="414">
        <f t="shared" si="104"/>
        <v>0</v>
      </c>
      <c r="N126" s="414">
        <f t="shared" si="104"/>
        <v>0</v>
      </c>
      <c r="O126" s="412">
        <f t="shared" si="104"/>
        <v>0</v>
      </c>
      <c r="P126" s="411">
        <f t="shared" si="104"/>
        <v>0</v>
      </c>
      <c r="Q126" s="415" t="str">
        <f t="shared" si="99"/>
        <v>-</v>
      </c>
    </row>
    <row r="127" spans="1:22" ht="22.5" customHeight="1" thickBot="1">
      <c r="A127" s="362" t="s">
        <v>29</v>
      </c>
      <c r="B127" s="420">
        <f t="shared" ref="B127:O129" si="105">+B81-B104</f>
        <v>0</v>
      </c>
      <c r="C127" s="416">
        <f t="shared" si="105"/>
        <v>0</v>
      </c>
      <c r="D127" s="417">
        <f t="shared" si="105"/>
        <v>0</v>
      </c>
      <c r="E127" s="418">
        <f t="shared" si="105"/>
        <v>0</v>
      </c>
      <c r="F127" s="418">
        <f t="shared" si="105"/>
        <v>0</v>
      </c>
      <c r="G127" s="418">
        <f t="shared" si="105"/>
        <v>0</v>
      </c>
      <c r="H127" s="418">
        <f t="shared" si="105"/>
        <v>0</v>
      </c>
      <c r="I127" s="418">
        <f t="shared" si="105"/>
        <v>0</v>
      </c>
      <c r="J127" s="418">
        <f t="shared" si="105"/>
        <v>0</v>
      </c>
      <c r="K127" s="418">
        <f t="shared" si="105"/>
        <v>0</v>
      </c>
      <c r="L127" s="418">
        <f t="shared" si="105"/>
        <v>0</v>
      </c>
      <c r="M127" s="418">
        <f t="shared" si="105"/>
        <v>0</v>
      </c>
      <c r="N127" s="418">
        <f t="shared" si="105"/>
        <v>0</v>
      </c>
      <c r="O127" s="419">
        <f t="shared" si="105"/>
        <v>0</v>
      </c>
      <c r="P127" s="420">
        <f>SUM(P128:P129)</f>
        <v>0</v>
      </c>
      <c r="Q127" s="421" t="str">
        <f t="shared" si="99"/>
        <v>-</v>
      </c>
    </row>
    <row r="128" spans="1:22" ht="16.5" customHeight="1">
      <c r="A128" s="422" t="s">
        <v>19</v>
      </c>
      <c r="B128" s="423">
        <f t="shared" si="105"/>
        <v>0</v>
      </c>
      <c r="C128" s="424">
        <f t="shared" si="105"/>
        <v>0</v>
      </c>
      <c r="D128" s="425">
        <f t="shared" si="105"/>
        <v>0</v>
      </c>
      <c r="E128" s="426">
        <f t="shared" si="105"/>
        <v>0</v>
      </c>
      <c r="F128" s="426">
        <f t="shared" si="105"/>
        <v>0</v>
      </c>
      <c r="G128" s="426">
        <f t="shared" si="105"/>
        <v>0</v>
      </c>
      <c r="H128" s="426">
        <f t="shared" si="105"/>
        <v>0</v>
      </c>
      <c r="I128" s="426">
        <f t="shared" si="105"/>
        <v>0</v>
      </c>
      <c r="J128" s="426">
        <f t="shared" si="105"/>
        <v>0</v>
      </c>
      <c r="K128" s="426">
        <f t="shared" si="105"/>
        <v>0</v>
      </c>
      <c r="L128" s="426">
        <f t="shared" si="105"/>
        <v>0</v>
      </c>
      <c r="M128" s="426">
        <f t="shared" si="105"/>
        <v>0</v>
      </c>
      <c r="N128" s="426">
        <f t="shared" si="105"/>
        <v>0</v>
      </c>
      <c r="O128" s="427">
        <f t="shared" si="105"/>
        <v>0</v>
      </c>
      <c r="P128" s="428">
        <f>SUM(D128:O128)</f>
        <v>0</v>
      </c>
      <c r="Q128" s="429" t="str">
        <f t="shared" si="99"/>
        <v>-</v>
      </c>
    </row>
    <row r="129" spans="1:18" ht="16.5" customHeight="1" thickBot="1">
      <c r="A129" s="430" t="s">
        <v>20</v>
      </c>
      <c r="B129" s="431">
        <f t="shared" si="105"/>
        <v>0</v>
      </c>
      <c r="C129" s="432">
        <f t="shared" si="105"/>
        <v>0</v>
      </c>
      <c r="D129" s="433">
        <f t="shared" si="105"/>
        <v>0</v>
      </c>
      <c r="E129" s="434">
        <f t="shared" si="105"/>
        <v>0</v>
      </c>
      <c r="F129" s="434">
        <f t="shared" si="105"/>
        <v>0</v>
      </c>
      <c r="G129" s="434">
        <f t="shared" si="105"/>
        <v>0</v>
      </c>
      <c r="H129" s="434">
        <f t="shared" si="105"/>
        <v>0</v>
      </c>
      <c r="I129" s="434">
        <f t="shared" si="105"/>
        <v>0</v>
      </c>
      <c r="J129" s="434">
        <f t="shared" si="105"/>
        <v>0</v>
      </c>
      <c r="K129" s="434">
        <f t="shared" si="105"/>
        <v>0</v>
      </c>
      <c r="L129" s="434">
        <f t="shared" si="105"/>
        <v>0</v>
      </c>
      <c r="M129" s="434">
        <f t="shared" si="105"/>
        <v>0</v>
      </c>
      <c r="N129" s="434">
        <f t="shared" si="105"/>
        <v>0</v>
      </c>
      <c r="O129" s="435">
        <f t="shared" si="105"/>
        <v>0</v>
      </c>
      <c r="P129" s="436">
        <f>SUM(D129:O129)</f>
        <v>0</v>
      </c>
      <c r="Q129" s="437" t="str">
        <f t="shared" si="99"/>
        <v>-</v>
      </c>
    </row>
    <row r="130" spans="1:18" ht="22.5" customHeight="1" thickBot="1">
      <c r="A130" s="362" t="s">
        <v>30</v>
      </c>
      <c r="B130" s="363">
        <f t="shared" ref="B130:P130" si="106">SUM(B131:B132)</f>
        <v>0</v>
      </c>
      <c r="C130" s="416">
        <f t="shared" si="106"/>
        <v>0</v>
      </c>
      <c r="D130" s="417">
        <f t="shared" si="106"/>
        <v>0</v>
      </c>
      <c r="E130" s="418">
        <f t="shared" si="106"/>
        <v>0</v>
      </c>
      <c r="F130" s="418">
        <f t="shared" si="106"/>
        <v>0</v>
      </c>
      <c r="G130" s="418">
        <f t="shared" si="106"/>
        <v>0</v>
      </c>
      <c r="H130" s="418">
        <f t="shared" si="106"/>
        <v>0</v>
      </c>
      <c r="I130" s="418">
        <f t="shared" si="106"/>
        <v>0</v>
      </c>
      <c r="J130" s="418">
        <f t="shared" si="106"/>
        <v>0</v>
      </c>
      <c r="K130" s="418">
        <f t="shared" si="106"/>
        <v>0</v>
      </c>
      <c r="L130" s="418">
        <f t="shared" si="106"/>
        <v>0</v>
      </c>
      <c r="M130" s="418">
        <f t="shared" si="106"/>
        <v>0</v>
      </c>
      <c r="N130" s="418">
        <f t="shared" si="106"/>
        <v>0</v>
      </c>
      <c r="O130" s="419">
        <f t="shared" si="106"/>
        <v>0</v>
      </c>
      <c r="P130" s="420">
        <f t="shared" si="106"/>
        <v>0</v>
      </c>
      <c r="Q130" s="421" t="str">
        <f t="shared" si="99"/>
        <v>-</v>
      </c>
    </row>
    <row r="131" spans="1:18" ht="16.5" customHeight="1">
      <c r="A131" s="422" t="s">
        <v>106</v>
      </c>
      <c r="B131" s="423">
        <f t="shared" ref="B131:O132" si="107">+B85-B108</f>
        <v>0</v>
      </c>
      <c r="C131" s="424">
        <f t="shared" si="107"/>
        <v>0</v>
      </c>
      <c r="D131" s="425">
        <f t="shared" si="107"/>
        <v>0</v>
      </c>
      <c r="E131" s="426">
        <f t="shared" si="107"/>
        <v>0</v>
      </c>
      <c r="F131" s="426">
        <f t="shared" si="107"/>
        <v>0</v>
      </c>
      <c r="G131" s="426">
        <f t="shared" si="107"/>
        <v>0</v>
      </c>
      <c r="H131" s="426">
        <f t="shared" si="107"/>
        <v>0</v>
      </c>
      <c r="I131" s="426">
        <f t="shared" si="107"/>
        <v>0</v>
      </c>
      <c r="J131" s="426">
        <f t="shared" si="107"/>
        <v>0</v>
      </c>
      <c r="K131" s="426">
        <f t="shared" si="107"/>
        <v>0</v>
      </c>
      <c r="L131" s="426">
        <f t="shared" si="107"/>
        <v>0</v>
      </c>
      <c r="M131" s="426">
        <f t="shared" si="107"/>
        <v>0</v>
      </c>
      <c r="N131" s="426">
        <f t="shared" si="107"/>
        <v>0</v>
      </c>
      <c r="O131" s="427">
        <f t="shared" si="107"/>
        <v>0</v>
      </c>
      <c r="P131" s="428">
        <f>SUM(D131:O131)</f>
        <v>0</v>
      </c>
      <c r="Q131" s="429" t="str">
        <f t="shared" si="99"/>
        <v>-</v>
      </c>
    </row>
    <row r="132" spans="1:18" ht="16.5" customHeight="1" thickBot="1">
      <c r="A132" s="438" t="s">
        <v>105</v>
      </c>
      <c r="B132" s="439">
        <f t="shared" si="107"/>
        <v>0</v>
      </c>
      <c r="C132" s="440">
        <f t="shared" si="107"/>
        <v>0</v>
      </c>
      <c r="D132" s="441">
        <f t="shared" si="107"/>
        <v>0</v>
      </c>
      <c r="E132" s="442">
        <f t="shared" si="107"/>
        <v>0</v>
      </c>
      <c r="F132" s="442">
        <f t="shared" si="107"/>
        <v>0</v>
      </c>
      <c r="G132" s="442">
        <f t="shared" si="107"/>
        <v>0</v>
      </c>
      <c r="H132" s="442">
        <f t="shared" si="107"/>
        <v>0</v>
      </c>
      <c r="I132" s="442">
        <f t="shared" si="107"/>
        <v>0</v>
      </c>
      <c r="J132" s="442">
        <f t="shared" si="107"/>
        <v>0</v>
      </c>
      <c r="K132" s="442">
        <f t="shared" si="107"/>
        <v>0</v>
      </c>
      <c r="L132" s="442">
        <f t="shared" si="107"/>
        <v>0</v>
      </c>
      <c r="M132" s="442">
        <f t="shared" si="107"/>
        <v>0</v>
      </c>
      <c r="N132" s="442">
        <f t="shared" si="107"/>
        <v>0</v>
      </c>
      <c r="O132" s="443">
        <f t="shared" si="107"/>
        <v>0</v>
      </c>
      <c r="P132" s="444">
        <f>SUM(D132:O132)</f>
        <v>0</v>
      </c>
      <c r="Q132" s="445" t="str">
        <f t="shared" si="99"/>
        <v>-</v>
      </c>
    </row>
    <row r="133" spans="1:18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8" ht="22.5" customHeight="1" thickBot="1">
      <c r="A134" s="362" t="s">
        <v>86</v>
      </c>
      <c r="B134" s="363">
        <f t="shared" ref="B134:O134" si="108">+B88-B111</f>
        <v>0</v>
      </c>
      <c r="C134" s="364">
        <f t="shared" si="108"/>
        <v>0</v>
      </c>
      <c r="D134" s="365">
        <f t="shared" si="108"/>
        <v>0</v>
      </c>
      <c r="E134" s="366">
        <f t="shared" si="108"/>
        <v>0</v>
      </c>
      <c r="F134" s="366">
        <f t="shared" si="108"/>
        <v>0</v>
      </c>
      <c r="G134" s="366">
        <f t="shared" si="108"/>
        <v>0</v>
      </c>
      <c r="H134" s="366">
        <f t="shared" si="108"/>
        <v>0</v>
      </c>
      <c r="I134" s="366">
        <f t="shared" si="108"/>
        <v>0</v>
      </c>
      <c r="J134" s="366">
        <f t="shared" si="108"/>
        <v>0</v>
      </c>
      <c r="K134" s="366">
        <f t="shared" si="108"/>
        <v>0</v>
      </c>
      <c r="L134" s="366">
        <f t="shared" si="108"/>
        <v>0</v>
      </c>
      <c r="M134" s="366">
        <f t="shared" si="108"/>
        <v>0</v>
      </c>
      <c r="N134" s="366">
        <f t="shared" si="108"/>
        <v>0</v>
      </c>
      <c r="O134" s="448">
        <f t="shared" si="108"/>
        <v>0</v>
      </c>
      <c r="P134" s="363">
        <f>SUM(D134:O134)</f>
        <v>0</v>
      </c>
      <c r="Q134" s="367" t="str">
        <f>IF(P134=0,"-",P134/C134-1)</f>
        <v>-</v>
      </c>
    </row>
    <row r="135" spans="1:18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8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:P136" si="109">+C117+C127+C130+C134</f>
        <v>0</v>
      </c>
      <c r="D136" s="365">
        <f t="shared" si="109"/>
        <v>0</v>
      </c>
      <c r="E136" s="366">
        <f t="shared" si="109"/>
        <v>0</v>
      </c>
      <c r="F136" s="366">
        <f t="shared" si="109"/>
        <v>0</v>
      </c>
      <c r="G136" s="366">
        <f t="shared" si="109"/>
        <v>0</v>
      </c>
      <c r="H136" s="366">
        <f t="shared" si="109"/>
        <v>0</v>
      </c>
      <c r="I136" s="366">
        <f t="shared" si="109"/>
        <v>0</v>
      </c>
      <c r="J136" s="366">
        <f t="shared" si="109"/>
        <v>0</v>
      </c>
      <c r="K136" s="366">
        <f t="shared" si="109"/>
        <v>0</v>
      </c>
      <c r="L136" s="366">
        <f t="shared" si="109"/>
        <v>0</v>
      </c>
      <c r="M136" s="366">
        <f t="shared" si="109"/>
        <v>0</v>
      </c>
      <c r="N136" s="366">
        <f t="shared" si="109"/>
        <v>0</v>
      </c>
      <c r="O136" s="364">
        <f t="shared" si="109"/>
        <v>0</v>
      </c>
      <c r="P136" s="363">
        <f t="shared" si="109"/>
        <v>0</v>
      </c>
      <c r="Q136" s="367" t="str">
        <f>IF(P136=0,"-",P136/C136-1)</f>
        <v>-</v>
      </c>
      <c r="R136" s="630"/>
    </row>
    <row r="137" spans="1:18" ht="15" thickBot="1"/>
    <row r="138" spans="1:18" ht="33" customHeight="1" thickBot="1">
      <c r="A138" s="354"/>
      <c r="B138" s="2372" t="s">
        <v>664</v>
      </c>
      <c r="C138" s="2373"/>
      <c r="D138" s="2377" t="s">
        <v>645</v>
      </c>
      <c r="E138" s="2378">
        <v>0</v>
      </c>
      <c r="F138" s="2378">
        <v>0</v>
      </c>
      <c r="G138" s="2378">
        <v>0</v>
      </c>
      <c r="H138" s="2378">
        <v>0</v>
      </c>
      <c r="I138" s="2378">
        <v>0</v>
      </c>
      <c r="J138" s="2378">
        <v>0</v>
      </c>
      <c r="K138" s="2378">
        <v>0</v>
      </c>
      <c r="L138" s="2378">
        <v>0</v>
      </c>
      <c r="M138" s="2378">
        <v>0</v>
      </c>
      <c r="N138" s="2378">
        <v>0</v>
      </c>
      <c r="O138" s="2378">
        <v>0</v>
      </c>
      <c r="P138" s="2379">
        <v>0</v>
      </c>
      <c r="Q138" s="355" t="s">
        <v>638</v>
      </c>
    </row>
    <row r="139" spans="1:18" ht="30.75" customHeight="1" thickBot="1">
      <c r="A139" s="356"/>
      <c r="B139" s="357" t="s">
        <v>681</v>
      </c>
      <c r="C139" s="357" t="s">
        <v>663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8" ht="22.5" customHeight="1" thickBot="1">
      <c r="A140" s="362" t="s">
        <v>37</v>
      </c>
      <c r="B140" s="363">
        <f>SUM(B141:B173)</f>
        <v>0</v>
      </c>
      <c r="C140" s="364">
        <f t="shared" ref="C140:O140" si="110">SUM(C141:C173)</f>
        <v>0</v>
      </c>
      <c r="D140" s="417">
        <f t="shared" si="110"/>
        <v>0</v>
      </c>
      <c r="E140" s="418">
        <f t="shared" si="110"/>
        <v>0</v>
      </c>
      <c r="F140" s="418">
        <f t="shared" si="110"/>
        <v>0</v>
      </c>
      <c r="G140" s="418">
        <f t="shared" si="110"/>
        <v>0</v>
      </c>
      <c r="H140" s="418">
        <f t="shared" si="110"/>
        <v>0</v>
      </c>
      <c r="I140" s="418">
        <f t="shared" si="110"/>
        <v>0</v>
      </c>
      <c r="J140" s="418">
        <f t="shared" si="110"/>
        <v>0</v>
      </c>
      <c r="K140" s="418">
        <f t="shared" si="110"/>
        <v>0</v>
      </c>
      <c r="L140" s="418">
        <f t="shared" si="110"/>
        <v>0</v>
      </c>
      <c r="M140" s="418">
        <f t="shared" si="110"/>
        <v>0</v>
      </c>
      <c r="N140" s="418">
        <f t="shared" si="110"/>
        <v>0</v>
      </c>
      <c r="O140" s="416">
        <f t="shared" si="110"/>
        <v>0</v>
      </c>
      <c r="P140" s="420">
        <f>SUM(P141:P173)</f>
        <v>0</v>
      </c>
      <c r="Q140" s="421"/>
      <c r="R140" s="353"/>
    </row>
    <row r="141" spans="1:18">
      <c r="A141" s="468" t="s">
        <v>38</v>
      </c>
      <c r="B141" s="469"/>
      <c r="C141" s="470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474">
        <f t="shared" ref="P141:P173" si="111">SUM(D141:O141)</f>
        <v>0</v>
      </c>
      <c r="Q141" s="475" t="str">
        <f>IF(P141=0,"-",P141/C141-1)</f>
        <v>-</v>
      </c>
    </row>
    <row r="142" spans="1:18">
      <c r="A142" s="476" t="s">
        <v>39</v>
      </c>
      <c r="B142" s="477"/>
      <c r="C142" s="478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394">
        <f t="shared" si="111"/>
        <v>0</v>
      </c>
      <c r="Q142" s="482" t="str">
        <f t="shared" ref="Q142:Q173" si="112">IF(P142=0,"-",P142/C142-1)</f>
        <v>-</v>
      </c>
    </row>
    <row r="143" spans="1:18">
      <c r="A143" s="483" t="s">
        <v>67</v>
      </c>
      <c r="B143" s="484"/>
      <c r="C143" s="485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391">
        <f t="shared" si="111"/>
        <v>0</v>
      </c>
      <c r="Q143" s="489" t="str">
        <f t="shared" si="112"/>
        <v>-</v>
      </c>
    </row>
    <row r="144" spans="1:18">
      <c r="A144" s="476" t="s">
        <v>40</v>
      </c>
      <c r="B144" s="477"/>
      <c r="C144" s="478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394">
        <f t="shared" si="111"/>
        <v>0</v>
      </c>
      <c r="Q144" s="482" t="str">
        <f t="shared" si="112"/>
        <v>-</v>
      </c>
    </row>
    <row r="145" spans="1:17">
      <c r="A145" s="483" t="s">
        <v>41</v>
      </c>
      <c r="B145" s="484"/>
      <c r="C145" s="485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391">
        <f t="shared" si="111"/>
        <v>0</v>
      </c>
      <c r="Q145" s="489" t="str">
        <f t="shared" si="112"/>
        <v>-</v>
      </c>
    </row>
    <row r="146" spans="1:17">
      <c r="A146" s="476" t="s">
        <v>42</v>
      </c>
      <c r="B146" s="477"/>
      <c r="C146" s="478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394">
        <f t="shared" si="111"/>
        <v>0</v>
      </c>
      <c r="Q146" s="482" t="str">
        <f t="shared" si="112"/>
        <v>-</v>
      </c>
    </row>
    <row r="147" spans="1:17">
      <c r="A147" s="483" t="s">
        <v>43</v>
      </c>
      <c r="B147" s="484"/>
      <c r="C147" s="485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391">
        <f t="shared" si="111"/>
        <v>0</v>
      </c>
      <c r="Q147" s="489" t="str">
        <f t="shared" si="112"/>
        <v>-</v>
      </c>
    </row>
    <row r="148" spans="1:17">
      <c r="A148" s="476" t="s">
        <v>44</v>
      </c>
      <c r="B148" s="477"/>
      <c r="C148" s="478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394">
        <f t="shared" si="111"/>
        <v>0</v>
      </c>
      <c r="Q148" s="482" t="str">
        <f t="shared" si="112"/>
        <v>-</v>
      </c>
    </row>
    <row r="149" spans="1:17">
      <c r="A149" s="483" t="s">
        <v>45</v>
      </c>
      <c r="B149" s="484"/>
      <c r="C149" s="485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391">
        <f t="shared" si="111"/>
        <v>0</v>
      </c>
      <c r="Q149" s="489" t="str">
        <f t="shared" si="112"/>
        <v>-</v>
      </c>
    </row>
    <row r="150" spans="1:17">
      <c r="A150" s="476" t="s">
        <v>46</v>
      </c>
      <c r="B150" s="477"/>
      <c r="C150" s="478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394">
        <f t="shared" si="111"/>
        <v>0</v>
      </c>
      <c r="Q150" s="482" t="str">
        <f t="shared" si="112"/>
        <v>-</v>
      </c>
    </row>
    <row r="151" spans="1:17" ht="14.25" customHeight="1">
      <c r="A151" s="483" t="s">
        <v>65</v>
      </c>
      <c r="B151" s="484"/>
      <c r="C151" s="485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391">
        <f t="shared" si="111"/>
        <v>0</v>
      </c>
      <c r="Q151" s="489" t="str">
        <f t="shared" si="112"/>
        <v>-</v>
      </c>
    </row>
    <row r="152" spans="1:17">
      <c r="A152" s="476" t="s">
        <v>78</v>
      </c>
      <c r="B152" s="477"/>
      <c r="C152" s="478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394">
        <f t="shared" si="111"/>
        <v>0</v>
      </c>
      <c r="Q152" s="482" t="str">
        <f t="shared" si="112"/>
        <v>-</v>
      </c>
    </row>
    <row r="153" spans="1:17">
      <c r="A153" s="483" t="s">
        <v>47</v>
      </c>
      <c r="B153" s="484"/>
      <c r="C153" s="485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391">
        <f t="shared" si="111"/>
        <v>0</v>
      </c>
      <c r="Q153" s="489" t="str">
        <f t="shared" si="112"/>
        <v>-</v>
      </c>
    </row>
    <row r="154" spans="1:17">
      <c r="A154" s="476" t="s">
        <v>48</v>
      </c>
      <c r="B154" s="477"/>
      <c r="C154" s="478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394">
        <f t="shared" si="111"/>
        <v>0</v>
      </c>
      <c r="Q154" s="482" t="str">
        <f t="shared" si="112"/>
        <v>-</v>
      </c>
    </row>
    <row r="155" spans="1:17">
      <c r="A155" s="483" t="s">
        <v>77</v>
      </c>
      <c r="B155" s="484"/>
      <c r="C155" s="485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391">
        <f t="shared" si="111"/>
        <v>0</v>
      </c>
      <c r="Q155" s="489" t="str">
        <f t="shared" si="112"/>
        <v>-</v>
      </c>
    </row>
    <row r="156" spans="1:17">
      <c r="A156" s="476" t="s">
        <v>49</v>
      </c>
      <c r="B156" s="477"/>
      <c r="C156" s="478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394">
        <f t="shared" si="111"/>
        <v>0</v>
      </c>
      <c r="Q156" s="482" t="str">
        <f t="shared" si="112"/>
        <v>-</v>
      </c>
    </row>
    <row r="157" spans="1:17">
      <c r="A157" s="483" t="s">
        <v>50</v>
      </c>
      <c r="B157" s="484"/>
      <c r="C157" s="485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391">
        <f t="shared" si="111"/>
        <v>0</v>
      </c>
      <c r="Q157" s="489" t="str">
        <f t="shared" si="112"/>
        <v>-</v>
      </c>
    </row>
    <row r="158" spans="1:17" ht="15" customHeight="1">
      <c r="A158" s="476" t="s">
        <v>76</v>
      </c>
      <c r="B158" s="477"/>
      <c r="C158" s="478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394">
        <f t="shared" si="111"/>
        <v>0</v>
      </c>
      <c r="Q158" s="482" t="str">
        <f t="shared" si="112"/>
        <v>-</v>
      </c>
    </row>
    <row r="159" spans="1:17">
      <c r="A159" s="483" t="s">
        <v>51</v>
      </c>
      <c r="B159" s="484"/>
      <c r="C159" s="485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391">
        <f t="shared" si="111"/>
        <v>0</v>
      </c>
      <c r="Q159" s="489" t="str">
        <f t="shared" si="112"/>
        <v>-</v>
      </c>
    </row>
    <row r="160" spans="1:17">
      <c r="A160" s="476" t="s">
        <v>52</v>
      </c>
      <c r="B160" s="477"/>
      <c r="C160" s="478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394">
        <f t="shared" si="111"/>
        <v>0</v>
      </c>
      <c r="Q160" s="482" t="str">
        <f t="shared" si="112"/>
        <v>-</v>
      </c>
    </row>
    <row r="161" spans="1:17">
      <c r="A161" s="483" t="s">
        <v>53</v>
      </c>
      <c r="B161" s="484"/>
      <c r="C161" s="485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391">
        <f t="shared" si="111"/>
        <v>0</v>
      </c>
      <c r="Q161" s="489" t="str">
        <f t="shared" si="112"/>
        <v>-</v>
      </c>
    </row>
    <row r="162" spans="1:17">
      <c r="A162" s="476" t="s">
        <v>54</v>
      </c>
      <c r="B162" s="477"/>
      <c r="C162" s="478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394">
        <f t="shared" si="111"/>
        <v>0</v>
      </c>
      <c r="Q162" s="482" t="str">
        <f t="shared" si="112"/>
        <v>-</v>
      </c>
    </row>
    <row r="163" spans="1:17">
      <c r="A163" s="483" t="s">
        <v>55</v>
      </c>
      <c r="B163" s="484"/>
      <c r="C163" s="485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391">
        <f t="shared" si="111"/>
        <v>0</v>
      </c>
      <c r="Q163" s="489" t="str">
        <f t="shared" si="112"/>
        <v>-</v>
      </c>
    </row>
    <row r="164" spans="1:17">
      <c r="A164" s="476" t="s">
        <v>56</v>
      </c>
      <c r="B164" s="477"/>
      <c r="C164" s="478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394">
        <f t="shared" si="111"/>
        <v>0</v>
      </c>
      <c r="Q164" s="482" t="str">
        <f t="shared" si="112"/>
        <v>-</v>
      </c>
    </row>
    <row r="165" spans="1:17">
      <c r="A165" s="483" t="s">
        <v>57</v>
      </c>
      <c r="B165" s="484"/>
      <c r="C165" s="485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391">
        <f t="shared" si="111"/>
        <v>0</v>
      </c>
      <c r="Q165" s="489" t="str">
        <f t="shared" si="112"/>
        <v>-</v>
      </c>
    </row>
    <row r="166" spans="1:17">
      <c r="A166" s="476" t="s">
        <v>58</v>
      </c>
      <c r="B166" s="477"/>
      <c r="C166" s="478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394">
        <f t="shared" si="111"/>
        <v>0</v>
      </c>
      <c r="Q166" s="482" t="str">
        <f t="shared" si="112"/>
        <v>-</v>
      </c>
    </row>
    <row r="167" spans="1:17">
      <c r="A167" s="483" t="s">
        <v>59</v>
      </c>
      <c r="B167" s="484"/>
      <c r="C167" s="485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391">
        <f t="shared" si="111"/>
        <v>0</v>
      </c>
      <c r="Q167" s="489" t="str">
        <f t="shared" si="112"/>
        <v>-</v>
      </c>
    </row>
    <row r="168" spans="1:17">
      <c r="A168" s="476" t="s">
        <v>60</v>
      </c>
      <c r="B168" s="477"/>
      <c r="C168" s="478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394">
        <f t="shared" si="111"/>
        <v>0</v>
      </c>
      <c r="Q168" s="482" t="str">
        <f t="shared" si="112"/>
        <v>-</v>
      </c>
    </row>
    <row r="169" spans="1:17">
      <c r="A169" s="483" t="s">
        <v>61</v>
      </c>
      <c r="B169" s="484"/>
      <c r="C169" s="485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391">
        <f t="shared" si="111"/>
        <v>0</v>
      </c>
      <c r="Q169" s="489" t="str">
        <f t="shared" si="112"/>
        <v>-</v>
      </c>
    </row>
    <row r="170" spans="1:17">
      <c r="A170" s="476" t="s">
        <v>62</v>
      </c>
      <c r="B170" s="477"/>
      <c r="C170" s="478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394">
        <f t="shared" si="111"/>
        <v>0</v>
      </c>
      <c r="Q170" s="482" t="str">
        <f t="shared" si="112"/>
        <v>-</v>
      </c>
    </row>
    <row r="171" spans="1:17">
      <c r="A171" s="483" t="s">
        <v>63</v>
      </c>
      <c r="B171" s="484"/>
      <c r="C171" s="485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391">
        <f t="shared" si="111"/>
        <v>0</v>
      </c>
      <c r="Q171" s="489" t="str">
        <f t="shared" si="112"/>
        <v>-</v>
      </c>
    </row>
    <row r="172" spans="1:17">
      <c r="A172" s="476" t="s">
        <v>66</v>
      </c>
      <c r="B172" s="477"/>
      <c r="C172" s="478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394">
        <f>SUM(D172:O172)</f>
        <v>0</v>
      </c>
      <c r="Q172" s="482" t="str">
        <f t="shared" si="112"/>
        <v>-</v>
      </c>
    </row>
    <row r="173" spans="1:17" ht="15" thickBot="1">
      <c r="A173" s="490" t="s">
        <v>64</v>
      </c>
      <c r="B173" s="491"/>
      <c r="C173" s="492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496">
        <f t="shared" si="111"/>
        <v>0</v>
      </c>
      <c r="Q173" s="497" t="str">
        <f t="shared" si="112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7" t="s">
        <v>677</v>
      </c>
      <c r="E175" s="2378"/>
      <c r="F175" s="2378"/>
      <c r="G175" s="2378"/>
      <c r="H175" s="2378"/>
      <c r="I175" s="2378"/>
      <c r="J175" s="2378"/>
      <c r="K175" s="2378"/>
      <c r="L175" s="2378"/>
      <c r="M175" s="2378"/>
      <c r="N175" s="2378"/>
      <c r="O175" s="2378"/>
      <c r="P175" s="2379"/>
      <c r="Q175" s="355" t="s">
        <v>638</v>
      </c>
    </row>
    <row r="176" spans="1:17" ht="29.4" thickBot="1">
      <c r="A176" s="498"/>
      <c r="B176" s="357" t="s">
        <v>681</v>
      </c>
      <c r="C176" s="357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503">
        <f>B44</f>
        <v>0</v>
      </c>
      <c r="C177" s="504">
        <f t="shared" ref="C177:P177" si="113">C44</f>
        <v>0</v>
      </c>
      <c r="D177" s="505">
        <f t="shared" si="113"/>
        <v>0</v>
      </c>
      <c r="E177" s="472">
        <f t="shared" si="113"/>
        <v>0</v>
      </c>
      <c r="F177" s="472">
        <f t="shared" si="113"/>
        <v>0</v>
      </c>
      <c r="G177" s="472">
        <f t="shared" si="113"/>
        <v>0</v>
      </c>
      <c r="H177" s="472">
        <f t="shared" si="113"/>
        <v>0</v>
      </c>
      <c r="I177" s="472">
        <f t="shared" si="113"/>
        <v>0</v>
      </c>
      <c r="J177" s="472">
        <f t="shared" si="113"/>
        <v>0</v>
      </c>
      <c r="K177" s="472">
        <f t="shared" si="113"/>
        <v>0</v>
      </c>
      <c r="L177" s="472">
        <f t="shared" si="113"/>
        <v>0</v>
      </c>
      <c r="M177" s="472">
        <f t="shared" si="113"/>
        <v>0</v>
      </c>
      <c r="N177" s="472">
        <f t="shared" si="113"/>
        <v>0</v>
      </c>
      <c r="O177" s="473">
        <f t="shared" si="113"/>
        <v>0</v>
      </c>
      <c r="P177" s="474">
        <f t="shared" si="113"/>
        <v>0</v>
      </c>
      <c r="Q177" s="506" t="str">
        <f t="shared" ref="Q177:Q187" si="114">IF(P177=0,"-",P177/C177-1)</f>
        <v>-</v>
      </c>
    </row>
    <row r="178" spans="1:17" ht="21" customHeight="1">
      <c r="A178" s="476" t="s">
        <v>69</v>
      </c>
      <c r="B178" s="507">
        <f>B67</f>
        <v>0</v>
      </c>
      <c r="C178" s="508">
        <f t="shared" ref="C178:P178" si="115">C67</f>
        <v>0</v>
      </c>
      <c r="D178" s="509">
        <f t="shared" si="115"/>
        <v>0</v>
      </c>
      <c r="E178" s="480">
        <f t="shared" si="115"/>
        <v>0</v>
      </c>
      <c r="F178" s="480">
        <f t="shared" si="115"/>
        <v>0</v>
      </c>
      <c r="G178" s="480">
        <f t="shared" si="115"/>
        <v>0</v>
      </c>
      <c r="H178" s="480">
        <f t="shared" si="115"/>
        <v>0</v>
      </c>
      <c r="I178" s="480">
        <f t="shared" si="115"/>
        <v>0</v>
      </c>
      <c r="J178" s="480">
        <f t="shared" si="115"/>
        <v>0</v>
      </c>
      <c r="K178" s="480">
        <f t="shared" si="115"/>
        <v>0</v>
      </c>
      <c r="L178" s="480">
        <f t="shared" si="115"/>
        <v>0</v>
      </c>
      <c r="M178" s="480">
        <f t="shared" si="115"/>
        <v>0</v>
      </c>
      <c r="N178" s="480">
        <f t="shared" si="115"/>
        <v>0</v>
      </c>
      <c r="O178" s="481">
        <f t="shared" si="115"/>
        <v>0</v>
      </c>
      <c r="P178" s="394">
        <f t="shared" si="115"/>
        <v>0</v>
      </c>
      <c r="Q178" s="510" t="str">
        <f t="shared" si="114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14"/>
        <v>-</v>
      </c>
    </row>
    <row r="180" spans="1:17" ht="21" customHeight="1">
      <c r="A180" s="483" t="s">
        <v>70</v>
      </c>
      <c r="B180" s="511">
        <f>B90-B179</f>
        <v>0</v>
      </c>
      <c r="C180" s="512">
        <f t="shared" ref="C180:P180" si="116">C90-C179</f>
        <v>0</v>
      </c>
      <c r="D180" s="513">
        <f t="shared" si="116"/>
        <v>0</v>
      </c>
      <c r="E180" s="487">
        <f t="shared" si="116"/>
        <v>0</v>
      </c>
      <c r="F180" s="487">
        <f t="shared" si="116"/>
        <v>0</v>
      </c>
      <c r="G180" s="487">
        <f t="shared" si="116"/>
        <v>0</v>
      </c>
      <c r="H180" s="487">
        <f t="shared" si="116"/>
        <v>0</v>
      </c>
      <c r="I180" s="487">
        <f t="shared" si="116"/>
        <v>0</v>
      </c>
      <c r="J180" s="487">
        <f t="shared" si="116"/>
        <v>0</v>
      </c>
      <c r="K180" s="487">
        <f t="shared" si="116"/>
        <v>0</v>
      </c>
      <c r="L180" s="487">
        <f t="shared" si="116"/>
        <v>0</v>
      </c>
      <c r="M180" s="487">
        <f t="shared" si="116"/>
        <v>0</v>
      </c>
      <c r="N180" s="487">
        <f t="shared" si="116"/>
        <v>0</v>
      </c>
      <c r="O180" s="488">
        <f t="shared" si="116"/>
        <v>0</v>
      </c>
      <c r="P180" s="391">
        <f t="shared" si="116"/>
        <v>0</v>
      </c>
      <c r="Q180" s="514" t="str">
        <f t="shared" si="114"/>
        <v>-</v>
      </c>
    </row>
    <row r="181" spans="1:17" ht="21" customHeight="1">
      <c r="A181" s="476" t="s">
        <v>71</v>
      </c>
      <c r="B181" s="507">
        <f>B113</f>
        <v>0</v>
      </c>
      <c r="C181" s="508">
        <f t="shared" ref="C181:P181" si="117">C113</f>
        <v>0</v>
      </c>
      <c r="D181" s="509">
        <f t="shared" si="117"/>
        <v>0</v>
      </c>
      <c r="E181" s="480">
        <f t="shared" si="117"/>
        <v>0</v>
      </c>
      <c r="F181" s="480">
        <f t="shared" si="117"/>
        <v>0</v>
      </c>
      <c r="G181" s="480">
        <f t="shared" si="117"/>
        <v>0</v>
      </c>
      <c r="H181" s="480">
        <f t="shared" si="117"/>
        <v>0</v>
      </c>
      <c r="I181" s="480">
        <f t="shared" si="117"/>
        <v>0</v>
      </c>
      <c r="J181" s="480">
        <f t="shared" si="117"/>
        <v>0</v>
      </c>
      <c r="K181" s="480">
        <f t="shared" si="117"/>
        <v>0</v>
      </c>
      <c r="L181" s="480">
        <f t="shared" si="117"/>
        <v>0</v>
      </c>
      <c r="M181" s="480">
        <f t="shared" si="117"/>
        <v>0</v>
      </c>
      <c r="N181" s="480">
        <f t="shared" si="117"/>
        <v>0</v>
      </c>
      <c r="O181" s="481">
        <f t="shared" si="117"/>
        <v>0</v>
      </c>
      <c r="P181" s="394">
        <f t="shared" si="117"/>
        <v>0</v>
      </c>
      <c r="Q181" s="510" t="str">
        <f t="shared" si="114"/>
        <v>-</v>
      </c>
    </row>
    <row r="182" spans="1:17" ht="21" customHeight="1">
      <c r="A182" s="483" t="s">
        <v>36</v>
      </c>
      <c r="B182" s="511">
        <f>B136</f>
        <v>0</v>
      </c>
      <c r="C182" s="512">
        <f t="shared" ref="C182:P182" si="118">C136</f>
        <v>0</v>
      </c>
      <c r="D182" s="513">
        <f t="shared" si="118"/>
        <v>0</v>
      </c>
      <c r="E182" s="487">
        <f t="shared" si="118"/>
        <v>0</v>
      </c>
      <c r="F182" s="487">
        <f t="shared" si="118"/>
        <v>0</v>
      </c>
      <c r="G182" s="487">
        <f t="shared" si="118"/>
        <v>0</v>
      </c>
      <c r="H182" s="487">
        <f t="shared" si="118"/>
        <v>0</v>
      </c>
      <c r="I182" s="487">
        <f t="shared" si="118"/>
        <v>0</v>
      </c>
      <c r="J182" s="487">
        <f t="shared" si="118"/>
        <v>0</v>
      </c>
      <c r="K182" s="487">
        <f t="shared" si="118"/>
        <v>0</v>
      </c>
      <c r="L182" s="487">
        <f t="shared" si="118"/>
        <v>0</v>
      </c>
      <c r="M182" s="487">
        <f t="shared" si="118"/>
        <v>0</v>
      </c>
      <c r="N182" s="487">
        <f t="shared" si="118"/>
        <v>0</v>
      </c>
      <c r="O182" s="488">
        <f t="shared" si="118"/>
        <v>0</v>
      </c>
      <c r="P182" s="391">
        <f t="shared" si="118"/>
        <v>0</v>
      </c>
      <c r="Q182" s="514" t="str">
        <f t="shared" si="114"/>
        <v>-</v>
      </c>
    </row>
    <row r="183" spans="1:17" ht="21" customHeight="1">
      <c r="A183" s="515" t="s">
        <v>73</v>
      </c>
      <c r="B183" s="516" t="e">
        <f>B182/B180</f>
        <v>#DIV/0!</v>
      </c>
      <c r="C183" s="517" t="e">
        <f t="shared" ref="C183:P183" si="119">C182/C180</f>
        <v>#DIV/0!</v>
      </c>
      <c r="D183" s="518" t="e">
        <f t="shared" si="119"/>
        <v>#DIV/0!</v>
      </c>
      <c r="E183" s="519" t="e">
        <f t="shared" si="119"/>
        <v>#DIV/0!</v>
      </c>
      <c r="F183" s="519" t="e">
        <f t="shared" si="119"/>
        <v>#DIV/0!</v>
      </c>
      <c r="G183" s="519" t="e">
        <f t="shared" si="119"/>
        <v>#DIV/0!</v>
      </c>
      <c r="H183" s="519" t="e">
        <f t="shared" si="119"/>
        <v>#DIV/0!</v>
      </c>
      <c r="I183" s="519" t="e">
        <f t="shared" si="119"/>
        <v>#DIV/0!</v>
      </c>
      <c r="J183" s="519" t="e">
        <f t="shared" si="119"/>
        <v>#DIV/0!</v>
      </c>
      <c r="K183" s="519" t="e">
        <f t="shared" si="119"/>
        <v>#DIV/0!</v>
      </c>
      <c r="L183" s="519" t="e">
        <f t="shared" si="119"/>
        <v>#DIV/0!</v>
      </c>
      <c r="M183" s="519" t="e">
        <f t="shared" si="119"/>
        <v>#DIV/0!</v>
      </c>
      <c r="N183" s="519" t="e">
        <f t="shared" si="119"/>
        <v>#DIV/0!</v>
      </c>
      <c r="O183" s="520" t="e">
        <f t="shared" si="119"/>
        <v>#DIV/0!</v>
      </c>
      <c r="P183" s="521" t="e">
        <f t="shared" si="119"/>
        <v>#DIV/0!</v>
      </c>
      <c r="Q183" s="522" t="e">
        <f t="shared" si="114"/>
        <v>#DIV/0!</v>
      </c>
    </row>
    <row r="184" spans="1:17" ht="21" customHeight="1">
      <c r="A184" s="483" t="s">
        <v>75</v>
      </c>
      <c r="B184" s="511">
        <f>B140</f>
        <v>0</v>
      </c>
      <c r="C184" s="512">
        <f t="shared" ref="C184:P184" si="120">C140</f>
        <v>0</v>
      </c>
      <c r="D184" s="513">
        <f t="shared" si="120"/>
        <v>0</v>
      </c>
      <c r="E184" s="487">
        <f t="shared" si="120"/>
        <v>0</v>
      </c>
      <c r="F184" s="487">
        <f t="shared" si="120"/>
        <v>0</v>
      </c>
      <c r="G184" s="487">
        <f t="shared" si="120"/>
        <v>0</v>
      </c>
      <c r="H184" s="487">
        <f t="shared" si="120"/>
        <v>0</v>
      </c>
      <c r="I184" s="487">
        <f t="shared" si="120"/>
        <v>0</v>
      </c>
      <c r="J184" s="487">
        <f t="shared" si="120"/>
        <v>0</v>
      </c>
      <c r="K184" s="487">
        <f t="shared" si="120"/>
        <v>0</v>
      </c>
      <c r="L184" s="487">
        <f t="shared" si="120"/>
        <v>0</v>
      </c>
      <c r="M184" s="487">
        <f t="shared" si="120"/>
        <v>0</v>
      </c>
      <c r="N184" s="487">
        <f t="shared" si="120"/>
        <v>0</v>
      </c>
      <c r="O184" s="487">
        <f t="shared" si="120"/>
        <v>0</v>
      </c>
      <c r="P184" s="391">
        <f t="shared" si="120"/>
        <v>0</v>
      </c>
      <c r="Q184" s="514" t="str">
        <f t="shared" si="114"/>
        <v>-</v>
      </c>
    </row>
    <row r="185" spans="1:17" s="531" customFormat="1" ht="21" customHeight="1">
      <c r="A185" s="523" t="s">
        <v>74</v>
      </c>
      <c r="B185" s="524" t="e">
        <f>B184/B180</f>
        <v>#DIV/0!</v>
      </c>
      <c r="C185" s="525" t="e">
        <f t="shared" ref="C185:P185" si="121">C184/C180</f>
        <v>#DIV/0!</v>
      </c>
      <c r="D185" s="526" t="e">
        <f t="shared" si="121"/>
        <v>#DIV/0!</v>
      </c>
      <c r="E185" s="527" t="e">
        <f t="shared" si="121"/>
        <v>#DIV/0!</v>
      </c>
      <c r="F185" s="527" t="e">
        <f t="shared" si="121"/>
        <v>#DIV/0!</v>
      </c>
      <c r="G185" s="527" t="e">
        <f t="shared" si="121"/>
        <v>#DIV/0!</v>
      </c>
      <c r="H185" s="527" t="e">
        <f t="shared" si="121"/>
        <v>#DIV/0!</v>
      </c>
      <c r="I185" s="527" t="e">
        <f t="shared" si="121"/>
        <v>#DIV/0!</v>
      </c>
      <c r="J185" s="527" t="e">
        <f t="shared" si="121"/>
        <v>#DIV/0!</v>
      </c>
      <c r="K185" s="527" t="e">
        <f t="shared" si="121"/>
        <v>#DIV/0!</v>
      </c>
      <c r="L185" s="527" t="e">
        <f t="shared" si="121"/>
        <v>#DIV/0!</v>
      </c>
      <c r="M185" s="527" t="e">
        <f t="shared" si="121"/>
        <v>#DIV/0!</v>
      </c>
      <c r="N185" s="527" t="e">
        <f t="shared" si="121"/>
        <v>#DIV/0!</v>
      </c>
      <c r="O185" s="528" t="e">
        <f t="shared" si="121"/>
        <v>#DIV/0!</v>
      </c>
      <c r="P185" s="529" t="e">
        <f t="shared" si="121"/>
        <v>#DIV/0!</v>
      </c>
      <c r="Q185" s="530" t="e">
        <f t="shared" si="114"/>
        <v>#DIV/0!</v>
      </c>
    </row>
    <row r="186" spans="1:17" s="281" customFormat="1" ht="21" customHeight="1" thickBot="1">
      <c r="A186" s="532" t="s">
        <v>79</v>
      </c>
      <c r="B186" s="533">
        <f>B182-B184</f>
        <v>0</v>
      </c>
      <c r="C186" s="534">
        <f t="shared" ref="C186:P186" si="122">C182-C184</f>
        <v>0</v>
      </c>
      <c r="D186" s="535">
        <f t="shared" si="122"/>
        <v>0</v>
      </c>
      <c r="E186" s="536">
        <f t="shared" si="122"/>
        <v>0</v>
      </c>
      <c r="F186" s="536">
        <f t="shared" si="122"/>
        <v>0</v>
      </c>
      <c r="G186" s="536">
        <f t="shared" si="122"/>
        <v>0</v>
      </c>
      <c r="H186" s="536">
        <f t="shared" si="122"/>
        <v>0</v>
      </c>
      <c r="I186" s="536">
        <f t="shared" si="122"/>
        <v>0</v>
      </c>
      <c r="J186" s="536">
        <f t="shared" si="122"/>
        <v>0</v>
      </c>
      <c r="K186" s="536">
        <f t="shared" si="122"/>
        <v>0</v>
      </c>
      <c r="L186" s="536">
        <f t="shared" si="122"/>
        <v>0</v>
      </c>
      <c r="M186" s="536">
        <f t="shared" si="122"/>
        <v>0</v>
      </c>
      <c r="N186" s="536">
        <f t="shared" si="122"/>
        <v>0</v>
      </c>
      <c r="O186" s="537">
        <f t="shared" si="122"/>
        <v>0</v>
      </c>
      <c r="P186" s="496">
        <f t="shared" si="122"/>
        <v>0</v>
      </c>
      <c r="Q186" s="538" t="str">
        <f t="shared" si="114"/>
        <v>-</v>
      </c>
    </row>
    <row r="187" spans="1:17" s="281" customFormat="1" ht="21" customHeight="1" thickBot="1">
      <c r="A187" s="539" t="s">
        <v>80</v>
      </c>
      <c r="B187" s="540" t="e">
        <f>B186/B180</f>
        <v>#DIV/0!</v>
      </c>
      <c r="C187" s="541" t="e">
        <f t="shared" ref="C187:P187" si="123">C186/C180</f>
        <v>#DIV/0!</v>
      </c>
      <c r="D187" s="542" t="e">
        <f t="shared" si="123"/>
        <v>#DIV/0!</v>
      </c>
      <c r="E187" s="543" t="e">
        <f t="shared" si="123"/>
        <v>#DIV/0!</v>
      </c>
      <c r="F187" s="543" t="e">
        <f t="shared" si="123"/>
        <v>#DIV/0!</v>
      </c>
      <c r="G187" s="543" t="e">
        <f t="shared" si="123"/>
        <v>#DIV/0!</v>
      </c>
      <c r="H187" s="543" t="e">
        <f t="shared" si="123"/>
        <v>#DIV/0!</v>
      </c>
      <c r="I187" s="543" t="e">
        <f t="shared" si="123"/>
        <v>#DIV/0!</v>
      </c>
      <c r="J187" s="543" t="e">
        <f t="shared" si="123"/>
        <v>#DIV/0!</v>
      </c>
      <c r="K187" s="543" t="e">
        <f t="shared" si="123"/>
        <v>#DIV/0!</v>
      </c>
      <c r="L187" s="543" t="e">
        <f t="shared" si="123"/>
        <v>#DIV/0!</v>
      </c>
      <c r="M187" s="543" t="e">
        <f t="shared" si="123"/>
        <v>#DIV/0!</v>
      </c>
      <c r="N187" s="543" t="e">
        <f t="shared" si="123"/>
        <v>#DIV/0!</v>
      </c>
      <c r="O187" s="544" t="e">
        <f t="shared" si="123"/>
        <v>#DIV/0!</v>
      </c>
      <c r="P187" s="545" t="e">
        <f t="shared" si="123"/>
        <v>#DIV/0!</v>
      </c>
      <c r="Q187" s="546" t="e">
        <f t="shared" si="114"/>
        <v>#DIV/0!</v>
      </c>
    </row>
  </sheetData>
  <mergeCells count="16">
    <mergeCell ref="B2:C2"/>
    <mergeCell ref="D2:P2"/>
    <mergeCell ref="B23:C23"/>
    <mergeCell ref="D23:P23"/>
    <mergeCell ref="B46:C46"/>
    <mergeCell ref="D46:P46"/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</mergeCells>
  <pageMargins left="0.25" right="0.25" top="0.75" bottom="0.75" header="0.3" footer="0.3"/>
  <pageSetup paperSize="9" scale="73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66"/>
  </sheetPr>
  <dimension ref="A1:U89"/>
  <sheetViews>
    <sheetView workbookViewId="0">
      <selection activeCell="N69" sqref="N69"/>
    </sheetView>
  </sheetViews>
  <sheetFormatPr defaultColWidth="9.109375" defaultRowHeight="12"/>
  <cols>
    <col min="1" max="1" width="20.5546875" style="924" customWidth="1"/>
    <col min="2" max="2" width="13.44140625" style="924" customWidth="1"/>
    <col min="3" max="14" width="11.109375" style="929" customWidth="1"/>
    <col min="15" max="15" width="13.33203125" style="931" customWidth="1"/>
    <col min="16" max="16" width="16.88671875" style="924" customWidth="1"/>
    <col min="17" max="17" width="13.44140625" style="924" bestFit="1" customWidth="1"/>
    <col min="18" max="18" width="13.5546875" style="924" bestFit="1" customWidth="1"/>
    <col min="19" max="19" width="11.109375" style="924" bestFit="1" customWidth="1"/>
    <col min="20" max="16384" width="9.109375" style="924"/>
  </cols>
  <sheetData>
    <row r="1" spans="1:21" ht="32.25" customHeight="1">
      <c r="A1" s="922" t="s">
        <v>305</v>
      </c>
      <c r="B1" s="922" t="s">
        <v>306</v>
      </c>
      <c r="C1" s="923" t="s">
        <v>696</v>
      </c>
      <c r="D1" s="923" t="s">
        <v>682</v>
      </c>
      <c r="E1" s="923" t="s">
        <v>683</v>
      </c>
      <c r="F1" s="923" t="s">
        <v>684</v>
      </c>
      <c r="G1" s="923" t="s">
        <v>685</v>
      </c>
      <c r="H1" s="923" t="s">
        <v>686</v>
      </c>
      <c r="I1" s="923" t="s">
        <v>687</v>
      </c>
      <c r="J1" s="923" t="s">
        <v>688</v>
      </c>
      <c r="K1" s="923" t="s">
        <v>689</v>
      </c>
      <c r="L1" s="923" t="s">
        <v>690</v>
      </c>
      <c r="M1" s="923" t="s">
        <v>691</v>
      </c>
      <c r="N1" s="923" t="s">
        <v>692</v>
      </c>
      <c r="O1" s="923" t="s">
        <v>480</v>
      </c>
    </row>
    <row r="2" spans="1:21" s="930" customFormat="1" ht="19.5" customHeight="1">
      <c r="A2" s="925" t="s">
        <v>291</v>
      </c>
      <c r="B2" s="1103" t="s">
        <v>307</v>
      </c>
      <c r="C2" s="1104">
        <f>SUM(C3:C4)</f>
        <v>0</v>
      </c>
      <c r="D2" s="1104">
        <f t="shared" ref="D2:N2" si="0">SUM(D3:D4)</f>
        <v>0</v>
      </c>
      <c r="E2" s="1104">
        <f t="shared" si="0"/>
        <v>0</v>
      </c>
      <c r="F2" s="1104">
        <f t="shared" si="0"/>
        <v>0</v>
      </c>
      <c r="G2" s="1104">
        <f t="shared" si="0"/>
        <v>0</v>
      </c>
      <c r="H2" s="1104">
        <f t="shared" si="0"/>
        <v>0</v>
      </c>
      <c r="I2" s="1104">
        <f t="shared" si="0"/>
        <v>0</v>
      </c>
      <c r="J2" s="1104">
        <f t="shared" si="0"/>
        <v>0</v>
      </c>
      <c r="K2" s="1104">
        <f t="shared" si="0"/>
        <v>0</v>
      </c>
      <c r="L2" s="1104">
        <f t="shared" si="0"/>
        <v>0</v>
      </c>
      <c r="M2" s="1104">
        <f t="shared" si="0"/>
        <v>0</v>
      </c>
      <c r="N2" s="1104">
        <f t="shared" si="0"/>
        <v>0</v>
      </c>
      <c r="O2" s="1104">
        <f t="shared" ref="O2:O7" si="1">SUM(C2:N2)</f>
        <v>0</v>
      </c>
      <c r="P2" s="1102">
        <f>SUM(C2:N2)</f>
        <v>0</v>
      </c>
      <c r="Q2" s="1102">
        <f>+P3+P4</f>
        <v>0</v>
      </c>
      <c r="R2" s="1671">
        <v>10000000</v>
      </c>
    </row>
    <row r="3" spans="1:21" ht="19.5" customHeight="1">
      <c r="A3" s="928"/>
      <c r="B3" s="926" t="s">
        <v>307</v>
      </c>
      <c r="C3" s="927">
        <v>0</v>
      </c>
      <c r="D3" s="927">
        <v>0</v>
      </c>
      <c r="E3" s="927">
        <v>0</v>
      </c>
      <c r="F3" s="927">
        <v>0</v>
      </c>
      <c r="G3" s="927">
        <v>0</v>
      </c>
      <c r="H3" s="927">
        <v>0</v>
      </c>
      <c r="I3" s="927">
        <v>0</v>
      </c>
      <c r="J3" s="927">
        <v>0</v>
      </c>
      <c r="K3" s="927">
        <v>0</v>
      </c>
      <c r="L3" s="927">
        <v>0</v>
      </c>
      <c r="M3" s="927">
        <v>0</v>
      </c>
      <c r="N3" s="927">
        <v>0</v>
      </c>
      <c r="O3" s="1104">
        <f t="shared" si="1"/>
        <v>0</v>
      </c>
      <c r="P3" s="1300">
        <f>SUM(C3:N3)</f>
        <v>0</v>
      </c>
      <c r="Q3" s="1669" t="e">
        <f>+P3/Q2</f>
        <v>#DIV/0!</v>
      </c>
      <c r="R3" s="1670" t="e">
        <f>+R2*Q3</f>
        <v>#DIV/0!</v>
      </c>
      <c r="S3" s="924" t="e">
        <f>+R3/6</f>
        <v>#DIV/0!</v>
      </c>
      <c r="T3" s="924">
        <v>1277777.7777777801</v>
      </c>
    </row>
    <row r="4" spans="1:21" ht="19.5" customHeight="1">
      <c r="A4" s="928"/>
      <c r="B4" s="926" t="s">
        <v>321</v>
      </c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1104">
        <f t="shared" si="1"/>
        <v>0</v>
      </c>
      <c r="P4" s="1300">
        <f>SUM(C4:N4)</f>
        <v>0</v>
      </c>
      <c r="Q4" s="1669" t="e">
        <f>+P4/Q2</f>
        <v>#DIV/0!</v>
      </c>
      <c r="R4" s="1670" t="e">
        <f>+R2*Q4</f>
        <v>#DIV/0!</v>
      </c>
      <c r="S4" s="924" t="e">
        <f>+R4/6</f>
        <v>#DIV/0!</v>
      </c>
      <c r="T4" s="924">
        <v>388888.88888888899</v>
      </c>
    </row>
    <row r="5" spans="1:21" s="930" customFormat="1" ht="19.5" customHeight="1">
      <c r="A5" s="925" t="s">
        <v>289</v>
      </c>
      <c r="B5" s="1103" t="s">
        <v>307</v>
      </c>
      <c r="C5" s="2181">
        <f>SUM(C6:C7)</f>
        <v>0</v>
      </c>
      <c r="D5" s="1104">
        <f t="shared" ref="D5:M5" si="2">SUM(D6:D7)</f>
        <v>0</v>
      </c>
      <c r="E5" s="1104">
        <f t="shared" si="2"/>
        <v>0</v>
      </c>
      <c r="F5" s="1104">
        <f t="shared" si="2"/>
        <v>0</v>
      </c>
      <c r="G5" s="1104">
        <f t="shared" si="2"/>
        <v>0</v>
      </c>
      <c r="H5" s="1104">
        <f t="shared" si="2"/>
        <v>0</v>
      </c>
      <c r="I5" s="1104">
        <f t="shared" si="2"/>
        <v>0</v>
      </c>
      <c r="J5" s="1104">
        <f t="shared" si="2"/>
        <v>0</v>
      </c>
      <c r="K5" s="1104">
        <f t="shared" si="2"/>
        <v>0</v>
      </c>
      <c r="L5" s="1104">
        <f t="shared" si="2"/>
        <v>0</v>
      </c>
      <c r="M5" s="1104">
        <f t="shared" si="2"/>
        <v>0</v>
      </c>
      <c r="N5" s="1104">
        <f>SUM(N6:N7)</f>
        <v>0</v>
      </c>
      <c r="O5" s="1104">
        <f>SUM(C5:N5)</f>
        <v>0</v>
      </c>
      <c r="P5" s="1300">
        <f t="shared" ref="P5:P8" si="3">SUM(C5:N5)</f>
        <v>0</v>
      </c>
    </row>
    <row r="6" spans="1:21" ht="19.5" customHeight="1">
      <c r="A6" s="928"/>
      <c r="B6" s="2175" t="s">
        <v>307</v>
      </c>
      <c r="C6" s="927">
        <v>0</v>
      </c>
      <c r="D6" s="927">
        <v>0</v>
      </c>
      <c r="E6" s="927">
        <v>0</v>
      </c>
      <c r="F6" s="927">
        <v>0</v>
      </c>
      <c r="G6" s="927">
        <v>0</v>
      </c>
      <c r="H6" s="927">
        <v>0</v>
      </c>
      <c r="I6" s="927">
        <v>0</v>
      </c>
      <c r="J6" s="927">
        <v>0</v>
      </c>
      <c r="K6" s="927">
        <v>0</v>
      </c>
      <c r="L6" s="927">
        <v>0</v>
      </c>
      <c r="M6" s="927">
        <v>0</v>
      </c>
      <c r="N6" s="927">
        <v>0</v>
      </c>
      <c r="O6" s="1104">
        <f t="shared" si="1"/>
        <v>0</v>
      </c>
      <c r="P6" s="1300"/>
    </row>
    <row r="7" spans="1:21" ht="19.5" customHeight="1">
      <c r="A7" s="928"/>
      <c r="B7" s="926" t="s">
        <v>321</v>
      </c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1104">
        <f t="shared" si="1"/>
        <v>0</v>
      </c>
      <c r="P7" s="1300">
        <f t="shared" si="3"/>
        <v>0</v>
      </c>
    </row>
    <row r="8" spans="1:21" s="930" customFormat="1" ht="19.5" customHeight="1">
      <c r="A8" s="925" t="s">
        <v>558</v>
      </c>
      <c r="B8" s="2176" t="s">
        <v>307</v>
      </c>
      <c r="C8" s="1104">
        <f>SUM(C9:C10)</f>
        <v>0</v>
      </c>
      <c r="D8" s="1104">
        <f t="shared" ref="D8:N8" si="4">SUM(D9:D10)</f>
        <v>0</v>
      </c>
      <c r="E8" s="1104">
        <f t="shared" si="4"/>
        <v>0</v>
      </c>
      <c r="F8" s="1104">
        <f t="shared" si="4"/>
        <v>0</v>
      </c>
      <c r="G8" s="1104">
        <f t="shared" si="4"/>
        <v>0</v>
      </c>
      <c r="H8" s="1104">
        <f t="shared" si="4"/>
        <v>0</v>
      </c>
      <c r="I8" s="1104">
        <f t="shared" si="4"/>
        <v>0</v>
      </c>
      <c r="J8" s="1104">
        <f t="shared" si="4"/>
        <v>0</v>
      </c>
      <c r="K8" s="1104">
        <f t="shared" si="4"/>
        <v>0</v>
      </c>
      <c r="L8" s="1104">
        <f t="shared" si="4"/>
        <v>0</v>
      </c>
      <c r="M8" s="1104">
        <f t="shared" si="4"/>
        <v>0</v>
      </c>
      <c r="N8" s="1104">
        <f t="shared" si="4"/>
        <v>0</v>
      </c>
      <c r="O8" s="1104">
        <f>SUM(C8:N8)</f>
        <v>0</v>
      </c>
      <c r="P8" s="1300">
        <f t="shared" si="3"/>
        <v>0</v>
      </c>
      <c r="Q8" s="1671">
        <v>16500000</v>
      </c>
      <c r="R8" s="1671">
        <v>3500000</v>
      </c>
    </row>
    <row r="9" spans="1:21" ht="19.5" customHeight="1">
      <c r="A9" s="928"/>
      <c r="B9" s="2175" t="s">
        <v>307</v>
      </c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1104">
        <f t="shared" ref="O9:O10" si="5">SUM(C9:N9)</f>
        <v>0</v>
      </c>
      <c r="P9" s="1300">
        <v>9050000</v>
      </c>
      <c r="Q9" s="1669">
        <v>0.54848484848484846</v>
      </c>
      <c r="R9" s="1670">
        <v>1919696.9696969697</v>
      </c>
      <c r="S9" s="1669">
        <v>319949.49494949501</v>
      </c>
      <c r="T9" s="924">
        <f>+S9*6</f>
        <v>1919696.9696969702</v>
      </c>
    </row>
    <row r="10" spans="1:21" ht="19.5" customHeight="1">
      <c r="A10" s="928"/>
      <c r="B10" s="2175" t="s">
        <v>321</v>
      </c>
      <c r="C10" s="927"/>
      <c r="D10" s="927"/>
      <c r="E10" s="927"/>
      <c r="F10" s="927"/>
      <c r="G10" s="927"/>
      <c r="H10" s="927"/>
      <c r="I10" s="927"/>
      <c r="J10" s="927"/>
      <c r="K10" s="927"/>
      <c r="L10" s="927"/>
      <c r="M10" s="927"/>
      <c r="N10" s="927"/>
      <c r="O10" s="1104">
        <f t="shared" si="5"/>
        <v>0</v>
      </c>
      <c r="P10" s="1300">
        <v>7450000</v>
      </c>
      <c r="Q10" s="1669">
        <v>0.45151515151515154</v>
      </c>
      <c r="R10" s="1670">
        <v>1580303.0303030303</v>
      </c>
      <c r="S10" s="1669">
        <v>263383.83838383801</v>
      </c>
      <c r="T10" s="924">
        <f>+S10*6</f>
        <v>1580303.0303030279</v>
      </c>
      <c r="U10" s="924">
        <v>1580303.03030303</v>
      </c>
    </row>
    <row r="11" spans="1:21">
      <c r="P11" s="1102"/>
    </row>
    <row r="12" spans="1:21" hidden="1">
      <c r="P12" s="1670">
        <f>+P9+R9</f>
        <v>10969696.969696969</v>
      </c>
    </row>
    <row r="13" spans="1:21" hidden="1">
      <c r="P13" s="929">
        <f>+P10+R10</f>
        <v>9030303.0303030312</v>
      </c>
      <c r="Q13" s="929"/>
      <c r="R13" s="929"/>
      <c r="S13" s="929"/>
    </row>
    <row r="14" spans="1:21" hidden="1">
      <c r="P14" s="1300">
        <f>+P12+P13</f>
        <v>20000000</v>
      </c>
    </row>
    <row r="15" spans="1:21" s="930" customFormat="1" hidden="1">
      <c r="A15" s="930" t="s">
        <v>289</v>
      </c>
      <c r="C15" s="931"/>
      <c r="D15" s="931"/>
      <c r="E15" s="931"/>
      <c r="F15" s="931"/>
      <c r="G15" s="931"/>
      <c r="H15" s="931"/>
      <c r="I15" s="931"/>
      <c r="J15" s="931"/>
      <c r="K15" s="931"/>
      <c r="L15" s="931"/>
      <c r="M15" s="931"/>
      <c r="N15" s="931"/>
      <c r="O15" s="931"/>
    </row>
    <row r="16" spans="1:21" hidden="1">
      <c r="A16" s="932" t="s">
        <v>322</v>
      </c>
      <c r="B16" s="933">
        <v>1</v>
      </c>
      <c r="C16" s="934" t="s">
        <v>257</v>
      </c>
      <c r="P16" s="929"/>
      <c r="Q16" s="929"/>
      <c r="R16" s="929"/>
    </row>
    <row r="17" spans="1:18" s="930" customFormat="1" hidden="1">
      <c r="A17" s="930" t="s">
        <v>291</v>
      </c>
      <c r="C17" s="931"/>
      <c r="D17" s="931"/>
      <c r="E17" s="931"/>
      <c r="F17" s="931"/>
      <c r="G17" s="931"/>
      <c r="H17" s="931"/>
      <c r="I17" s="931"/>
      <c r="J17" s="931"/>
      <c r="K17" s="931"/>
      <c r="L17" s="931"/>
      <c r="M17" s="931"/>
      <c r="N17" s="931"/>
      <c r="O17" s="931"/>
    </row>
    <row r="18" spans="1:18" hidden="1">
      <c r="A18" s="932" t="s">
        <v>323</v>
      </c>
      <c r="B18" s="933">
        <v>1</v>
      </c>
      <c r="C18" s="929" t="s">
        <v>257</v>
      </c>
    </row>
    <row r="19" spans="1:18" s="930" customFormat="1" hidden="1">
      <c r="A19" s="935" t="s">
        <v>324</v>
      </c>
      <c r="B19" s="935"/>
      <c r="C19" s="931" t="s">
        <v>325</v>
      </c>
      <c r="D19" s="931"/>
      <c r="E19" s="931"/>
      <c r="F19" s="931"/>
      <c r="G19" s="931"/>
      <c r="H19" s="931"/>
      <c r="I19" s="931"/>
      <c r="J19" s="931"/>
      <c r="K19" s="931"/>
      <c r="L19" s="931"/>
      <c r="M19" s="931"/>
      <c r="N19" s="931"/>
      <c r="O19" s="931"/>
    </row>
    <row r="20" spans="1:18" hidden="1">
      <c r="A20" s="936" t="s">
        <v>326</v>
      </c>
      <c r="B20" s="936"/>
    </row>
    <row r="21" spans="1:18" hidden="1">
      <c r="A21" s="936" t="s">
        <v>322</v>
      </c>
      <c r="B21" s="936"/>
    </row>
    <row r="22" spans="1:18" hidden="1">
      <c r="A22" s="936" t="s">
        <v>323</v>
      </c>
      <c r="B22" s="936"/>
    </row>
    <row r="23" spans="1:18" s="930" customFormat="1" hidden="1">
      <c r="A23" s="930" t="s">
        <v>327</v>
      </c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</row>
    <row r="24" spans="1:18" hidden="1">
      <c r="A24" s="932" t="s">
        <v>322</v>
      </c>
      <c r="B24" s="933">
        <v>0.45166295517547272</v>
      </c>
      <c r="C24" s="929" t="s">
        <v>257</v>
      </c>
    </row>
    <row r="25" spans="1:18" hidden="1">
      <c r="A25" s="932" t="s">
        <v>323</v>
      </c>
      <c r="B25" s="933">
        <v>0.54833704482452728</v>
      </c>
      <c r="C25" s="929" t="s">
        <v>257</v>
      </c>
    </row>
    <row r="26" spans="1:18" hidden="1"/>
    <row r="27" spans="1:18" hidden="1"/>
    <row r="28" spans="1:18" hidden="1"/>
    <row r="30" spans="1:18">
      <c r="B30" s="930" t="s">
        <v>505</v>
      </c>
    </row>
    <row r="31" spans="1:18" ht="32.25" customHeight="1">
      <c r="A31" s="922" t="s">
        <v>305</v>
      </c>
      <c r="B31" s="922" t="s">
        <v>306</v>
      </c>
      <c r="C31" s="923" t="s">
        <v>696</v>
      </c>
      <c r="D31" s="923" t="s">
        <v>682</v>
      </c>
      <c r="E31" s="923" t="s">
        <v>683</v>
      </c>
      <c r="F31" s="923" t="s">
        <v>684</v>
      </c>
      <c r="G31" s="923" t="s">
        <v>685</v>
      </c>
      <c r="H31" s="923" t="s">
        <v>686</v>
      </c>
      <c r="I31" s="923" t="s">
        <v>687</v>
      </c>
      <c r="J31" s="923" t="s">
        <v>688</v>
      </c>
      <c r="K31" s="923" t="s">
        <v>689</v>
      </c>
      <c r="L31" s="923" t="s">
        <v>690</v>
      </c>
      <c r="M31" s="923" t="s">
        <v>691</v>
      </c>
      <c r="N31" s="923" t="s">
        <v>692</v>
      </c>
      <c r="O31" s="923" t="s">
        <v>507</v>
      </c>
    </row>
    <row r="32" spans="1:18" s="930" customFormat="1" ht="19.5" customHeight="1">
      <c r="A32" s="925" t="s">
        <v>291</v>
      </c>
      <c r="B32" s="1103" t="s">
        <v>307</v>
      </c>
      <c r="C32" s="1104"/>
      <c r="D32" s="1104" t="s">
        <v>587</v>
      </c>
      <c r="E32" s="1104"/>
      <c r="F32" s="1104"/>
      <c r="G32" s="1104"/>
      <c r="H32" s="1104"/>
      <c r="I32" s="1104"/>
      <c r="J32" s="1104"/>
      <c r="K32" s="1104"/>
      <c r="L32" s="1104"/>
      <c r="M32" s="1104"/>
      <c r="N32" s="1104"/>
      <c r="O32" s="1104" t="e">
        <f>AVERAGE(C32:N32)</f>
        <v>#DIV/0!</v>
      </c>
      <c r="P32" s="1102">
        <f>SUM(C32:N32)</f>
        <v>0</v>
      </c>
      <c r="Q32" s="1102">
        <f>+P33+P34</f>
        <v>0</v>
      </c>
      <c r="R32" s="1671">
        <v>10000000</v>
      </c>
    </row>
    <row r="33" spans="1:21" ht="19.5" customHeight="1">
      <c r="A33" s="928"/>
      <c r="B33" s="2175" t="s">
        <v>307</v>
      </c>
      <c r="C33" s="1793"/>
      <c r="D33" s="1793"/>
      <c r="E33" s="1793"/>
      <c r="F33" s="1793"/>
      <c r="G33" s="1793"/>
      <c r="H33" s="1793"/>
      <c r="I33" s="1793"/>
      <c r="J33" s="1793"/>
      <c r="K33" s="1793"/>
      <c r="L33" s="1793"/>
      <c r="M33" s="1793"/>
      <c r="N33" s="1793"/>
      <c r="O33" s="2032" t="e">
        <f t="shared" ref="O33:O40" si="6">AVERAGE(C33:N33)</f>
        <v>#DIV/0!</v>
      </c>
      <c r="P33" s="1300">
        <f>SUM(C33:N33)</f>
        <v>0</v>
      </c>
      <c r="Q33" s="1669" t="e">
        <f>+P33/Q32</f>
        <v>#DIV/0!</v>
      </c>
      <c r="R33" s="1670" t="e">
        <f>+R32*Q33</f>
        <v>#DIV/0!</v>
      </c>
      <c r="S33" s="924" t="e">
        <f>+R33/6</f>
        <v>#DIV/0!</v>
      </c>
      <c r="T33" s="924">
        <v>1277777.7777777801</v>
      </c>
    </row>
    <row r="34" spans="1:21" ht="19.5" customHeight="1">
      <c r="A34" s="928"/>
      <c r="B34" s="2175" t="s">
        <v>321</v>
      </c>
      <c r="C34" s="1793"/>
      <c r="D34" s="1793"/>
      <c r="E34" s="1793"/>
      <c r="F34" s="1793"/>
      <c r="G34" s="1793"/>
      <c r="H34" s="1793"/>
      <c r="I34" s="1793"/>
      <c r="J34" s="1793"/>
      <c r="K34" s="1793"/>
      <c r="L34" s="1793"/>
      <c r="M34" s="1793"/>
      <c r="N34" s="1793"/>
      <c r="O34" s="2032" t="e">
        <f t="shared" si="6"/>
        <v>#DIV/0!</v>
      </c>
      <c r="P34" s="1300">
        <f>SUM(C34:N34)</f>
        <v>0</v>
      </c>
      <c r="Q34" s="1669" t="e">
        <f>+P34/Q32</f>
        <v>#DIV/0!</v>
      </c>
      <c r="R34" s="1670" t="e">
        <f>+R32*Q34</f>
        <v>#DIV/0!</v>
      </c>
      <c r="S34" s="924" t="e">
        <f>+R34/6</f>
        <v>#DIV/0!</v>
      </c>
      <c r="T34" s="924">
        <v>388888.88888888899</v>
      </c>
    </row>
    <row r="35" spans="1:21" s="930" customFormat="1" ht="19.5" customHeight="1">
      <c r="A35" s="925" t="s">
        <v>289</v>
      </c>
      <c r="B35" s="1103" t="s">
        <v>307</v>
      </c>
      <c r="C35" s="1104"/>
      <c r="D35" s="1104"/>
      <c r="E35" s="1104"/>
      <c r="F35" s="1104"/>
      <c r="G35" s="1104"/>
      <c r="H35" s="1104"/>
      <c r="I35" s="1104"/>
      <c r="J35" s="1104"/>
      <c r="K35" s="1104"/>
      <c r="L35" s="1104"/>
      <c r="M35" s="1104"/>
      <c r="N35" s="1104"/>
      <c r="O35" s="1104" t="e">
        <f t="shared" si="6"/>
        <v>#DIV/0!</v>
      </c>
      <c r="P35" s="1300">
        <f t="shared" ref="P35:P38" si="7">SUM(C35:N35)</f>
        <v>0</v>
      </c>
    </row>
    <row r="36" spans="1:21" ht="19.5" customHeight="1">
      <c r="A36" s="928"/>
      <c r="B36" s="2175" t="s">
        <v>307</v>
      </c>
      <c r="C36" s="1793"/>
      <c r="D36" s="1793"/>
      <c r="E36" s="1793"/>
      <c r="F36" s="1793"/>
      <c r="G36" s="1793"/>
      <c r="H36" s="1793"/>
      <c r="I36" s="1793"/>
      <c r="J36" s="1793"/>
      <c r="K36" s="1793"/>
      <c r="L36" s="1793"/>
      <c r="M36" s="1793"/>
      <c r="N36" s="1793"/>
      <c r="O36" s="1104" t="e">
        <f t="shared" si="6"/>
        <v>#DIV/0!</v>
      </c>
      <c r="P36" s="1300">
        <f t="shared" si="7"/>
        <v>0</v>
      </c>
    </row>
    <row r="37" spans="1:21" ht="19.5" customHeight="1">
      <c r="A37" s="928"/>
      <c r="B37" s="2175" t="s">
        <v>321</v>
      </c>
      <c r="C37" s="1793"/>
      <c r="D37" s="1793"/>
      <c r="E37" s="1793"/>
      <c r="F37" s="1793"/>
      <c r="G37" s="1793"/>
      <c r="H37" s="1793"/>
      <c r="I37" s="1793"/>
      <c r="J37" s="1793"/>
      <c r="K37" s="1793"/>
      <c r="L37" s="1793"/>
      <c r="M37" s="1793"/>
      <c r="N37" s="1793"/>
      <c r="O37" s="2031" t="e">
        <f t="shared" si="6"/>
        <v>#DIV/0!</v>
      </c>
      <c r="P37" s="1300">
        <f t="shared" si="7"/>
        <v>0</v>
      </c>
    </row>
    <row r="38" spans="1:21" s="930" customFormat="1" ht="19.5" customHeight="1">
      <c r="A38" s="925" t="s">
        <v>558</v>
      </c>
      <c r="B38" s="1103" t="s">
        <v>307</v>
      </c>
      <c r="C38" s="1104"/>
      <c r="D38" s="1104"/>
      <c r="E38" s="1104"/>
      <c r="F38" s="1104"/>
      <c r="G38" s="1104"/>
      <c r="H38" s="1104"/>
      <c r="I38" s="1104"/>
      <c r="J38" s="1104"/>
      <c r="K38" s="1104"/>
      <c r="L38" s="1104"/>
      <c r="M38" s="1104"/>
      <c r="N38" s="1104"/>
      <c r="O38" s="1104" t="e">
        <f t="shared" si="6"/>
        <v>#DIV/0!</v>
      </c>
      <c r="P38" s="1300">
        <f t="shared" si="7"/>
        <v>0</v>
      </c>
      <c r="Q38" s="1671">
        <v>16500000</v>
      </c>
      <c r="R38" s="1671">
        <v>3500000</v>
      </c>
    </row>
    <row r="39" spans="1:21" ht="19.5" customHeight="1">
      <c r="A39" s="928"/>
      <c r="B39" s="2175" t="s">
        <v>307</v>
      </c>
      <c r="C39" s="2174"/>
      <c r="D39" s="2174"/>
      <c r="E39" s="2174"/>
      <c r="F39" s="2174"/>
      <c r="G39" s="2174"/>
      <c r="H39" s="2174"/>
      <c r="I39" s="2174"/>
      <c r="J39" s="2174"/>
      <c r="K39" s="2174"/>
      <c r="L39" s="2174"/>
      <c r="M39" s="2174"/>
      <c r="N39" s="2174"/>
      <c r="O39" s="1794" t="e">
        <f t="shared" si="6"/>
        <v>#DIV/0!</v>
      </c>
      <c r="P39" s="1300">
        <v>9050000</v>
      </c>
      <c r="Q39" s="1669">
        <v>0.54848484848484846</v>
      </c>
      <c r="R39" s="1670">
        <v>1919696.9696969697</v>
      </c>
      <c r="S39" s="1669">
        <v>319949.49494949501</v>
      </c>
      <c r="T39" s="924">
        <f>+S39*6</f>
        <v>1919696.9696969702</v>
      </c>
    </row>
    <row r="40" spans="1:21" ht="19.5" customHeight="1">
      <c r="A40" s="928"/>
      <c r="B40" s="2175" t="s">
        <v>321</v>
      </c>
      <c r="C40" s="1793"/>
      <c r="D40" s="1793"/>
      <c r="E40" s="1793"/>
      <c r="F40" s="1793"/>
      <c r="G40" s="1793"/>
      <c r="H40" s="1793"/>
      <c r="I40" s="1793"/>
      <c r="J40" s="1793"/>
      <c r="K40" s="1793"/>
      <c r="L40" s="1793"/>
      <c r="M40" s="1793"/>
      <c r="N40" s="1793"/>
      <c r="O40" s="1794" t="e">
        <f t="shared" si="6"/>
        <v>#DIV/0!</v>
      </c>
      <c r="P40" s="1300">
        <v>7450000</v>
      </c>
      <c r="Q40" s="1669">
        <v>0.45151515151515154</v>
      </c>
      <c r="R40" s="1670">
        <v>1580303.0303030303</v>
      </c>
      <c r="S40" s="1669">
        <v>263383.83838383801</v>
      </c>
      <c r="T40" s="924">
        <f>+S40*6</f>
        <v>1580303.0303030279</v>
      </c>
      <c r="U40" s="924">
        <v>1580303.03030303</v>
      </c>
    </row>
    <row r="42" spans="1:21">
      <c r="B42" s="930" t="s">
        <v>506</v>
      </c>
    </row>
    <row r="43" spans="1:21" ht="32.25" customHeight="1">
      <c r="A43" s="922" t="s">
        <v>305</v>
      </c>
      <c r="B43" s="922" t="s">
        <v>306</v>
      </c>
      <c r="C43" s="923" t="s">
        <v>696</v>
      </c>
      <c r="D43" s="923" t="s">
        <v>682</v>
      </c>
      <c r="E43" s="923" t="s">
        <v>683</v>
      </c>
      <c r="F43" s="923" t="s">
        <v>684</v>
      </c>
      <c r="G43" s="923" t="s">
        <v>685</v>
      </c>
      <c r="H43" s="923" t="s">
        <v>686</v>
      </c>
      <c r="I43" s="923" t="s">
        <v>687</v>
      </c>
      <c r="J43" s="923" t="s">
        <v>688</v>
      </c>
      <c r="K43" s="923" t="s">
        <v>689</v>
      </c>
      <c r="L43" s="923" t="s">
        <v>690</v>
      </c>
      <c r="M43" s="923" t="s">
        <v>691</v>
      </c>
      <c r="N43" s="923" t="s">
        <v>692</v>
      </c>
      <c r="O43" s="923" t="s">
        <v>507</v>
      </c>
    </row>
    <row r="44" spans="1:21" s="930" customFormat="1" ht="19.5" customHeight="1">
      <c r="A44" s="925" t="s">
        <v>291</v>
      </c>
      <c r="B44" s="1103" t="s">
        <v>307</v>
      </c>
      <c r="C44" s="1104"/>
      <c r="D44" s="1104"/>
      <c r="E44" s="1104"/>
      <c r="F44" s="1104"/>
      <c r="G44" s="1104"/>
      <c r="H44" s="1104"/>
      <c r="I44" s="1104"/>
      <c r="J44" s="1104"/>
      <c r="K44" s="1104"/>
      <c r="L44" s="1104"/>
      <c r="M44" s="1104"/>
      <c r="N44" s="1104"/>
      <c r="O44" s="1104" t="e">
        <f t="shared" ref="O44:O52" si="8">AVERAGE(C44:N44)</f>
        <v>#DIV/0!</v>
      </c>
      <c r="P44" s="1102">
        <f>SUM(C44:N44)</f>
        <v>0</v>
      </c>
      <c r="Q44" s="1102">
        <f>+P45+P46</f>
        <v>0</v>
      </c>
      <c r="R44" s="1671">
        <v>10000000</v>
      </c>
    </row>
    <row r="45" spans="1:21" ht="19.5" customHeight="1">
      <c r="A45" s="928"/>
      <c r="B45" s="2175" t="s">
        <v>307</v>
      </c>
      <c r="C45" s="1793">
        <f>C33*1.03</f>
        <v>0</v>
      </c>
      <c r="D45" s="1793">
        <f t="shared" ref="D45:N45" si="9">D33*1.03</f>
        <v>0</v>
      </c>
      <c r="E45" s="1793">
        <f t="shared" si="9"/>
        <v>0</v>
      </c>
      <c r="F45" s="1793">
        <f t="shared" si="9"/>
        <v>0</v>
      </c>
      <c r="G45" s="1793">
        <f t="shared" si="9"/>
        <v>0</v>
      </c>
      <c r="H45" s="1793">
        <f t="shared" si="9"/>
        <v>0</v>
      </c>
      <c r="I45" s="1793">
        <f t="shared" si="9"/>
        <v>0</v>
      </c>
      <c r="J45" s="1793">
        <f t="shared" si="9"/>
        <v>0</v>
      </c>
      <c r="K45" s="1793">
        <f t="shared" si="9"/>
        <v>0</v>
      </c>
      <c r="L45" s="1793">
        <f t="shared" si="9"/>
        <v>0</v>
      </c>
      <c r="M45" s="1793">
        <f t="shared" si="9"/>
        <v>0</v>
      </c>
      <c r="N45" s="1793">
        <f t="shared" si="9"/>
        <v>0</v>
      </c>
      <c r="O45" s="2032">
        <f t="shared" si="8"/>
        <v>0</v>
      </c>
      <c r="P45" s="1300">
        <f>SUM(C45:N45)</f>
        <v>0</v>
      </c>
      <c r="Q45" s="1669" t="e">
        <f>+P45/Q44</f>
        <v>#DIV/0!</v>
      </c>
      <c r="R45" s="1670" t="e">
        <f>+R44*Q45</f>
        <v>#DIV/0!</v>
      </c>
      <c r="S45" s="924" t="e">
        <f>+R45/6</f>
        <v>#DIV/0!</v>
      </c>
      <c r="T45" s="924">
        <v>1277777.7777777801</v>
      </c>
    </row>
    <row r="46" spans="1:21" ht="19.5" customHeight="1">
      <c r="A46" s="928"/>
      <c r="B46" s="926" t="s">
        <v>321</v>
      </c>
      <c r="C46" s="1793"/>
      <c r="D46" s="1793"/>
      <c r="E46" s="1793"/>
      <c r="F46" s="1793"/>
      <c r="G46" s="1793"/>
      <c r="H46" s="1793"/>
      <c r="I46" s="1793"/>
      <c r="J46" s="1793"/>
      <c r="K46" s="1793"/>
      <c r="L46" s="1793"/>
      <c r="M46" s="1793"/>
      <c r="N46" s="1793"/>
      <c r="O46" s="2032" t="e">
        <f t="shared" si="8"/>
        <v>#DIV/0!</v>
      </c>
      <c r="P46" s="1300">
        <f>SUM(C46:N46)</f>
        <v>0</v>
      </c>
      <c r="Q46" s="1669" t="e">
        <f>+P46/Q44</f>
        <v>#DIV/0!</v>
      </c>
      <c r="R46" s="1670" t="e">
        <f>+R44*Q46</f>
        <v>#DIV/0!</v>
      </c>
      <c r="S46" s="924" t="e">
        <f>+R46/6</f>
        <v>#DIV/0!</v>
      </c>
      <c r="T46" s="924">
        <v>388888.88888888899</v>
      </c>
    </row>
    <row r="47" spans="1:21" s="930" customFormat="1" ht="19.5" customHeight="1">
      <c r="A47" s="925" t="s">
        <v>289</v>
      </c>
      <c r="B47" s="1103" t="s">
        <v>307</v>
      </c>
      <c r="C47" s="1104"/>
      <c r="D47" s="1104"/>
      <c r="E47" s="1104"/>
      <c r="F47" s="1104"/>
      <c r="G47" s="1104"/>
      <c r="H47" s="1104"/>
      <c r="I47" s="1104"/>
      <c r="J47" s="1104"/>
      <c r="K47" s="1104"/>
      <c r="L47" s="1104"/>
      <c r="M47" s="1104"/>
      <c r="N47" s="1104"/>
      <c r="O47" s="1104" t="e">
        <f t="shared" si="8"/>
        <v>#DIV/0!</v>
      </c>
      <c r="P47" s="1300">
        <f t="shared" ref="P47:P50" si="10">SUM(C47:N47)</f>
        <v>0</v>
      </c>
    </row>
    <row r="48" spans="1:21" ht="19.5" customHeight="1">
      <c r="A48" s="928"/>
      <c r="B48" s="2175" t="s">
        <v>307</v>
      </c>
      <c r="C48" s="1793">
        <f>C36*1.01</f>
        <v>0</v>
      </c>
      <c r="D48" s="1793">
        <f t="shared" ref="D48:N48" si="11">D36*1.01</f>
        <v>0</v>
      </c>
      <c r="E48" s="1793">
        <f t="shared" si="11"/>
        <v>0</v>
      </c>
      <c r="F48" s="1793">
        <f t="shared" si="11"/>
        <v>0</v>
      </c>
      <c r="G48" s="1793">
        <f t="shared" si="11"/>
        <v>0</v>
      </c>
      <c r="H48" s="1793">
        <f t="shared" si="11"/>
        <v>0</v>
      </c>
      <c r="I48" s="1793">
        <f t="shared" si="11"/>
        <v>0</v>
      </c>
      <c r="J48" s="1793">
        <f t="shared" si="11"/>
        <v>0</v>
      </c>
      <c r="K48" s="1793">
        <f t="shared" si="11"/>
        <v>0</v>
      </c>
      <c r="L48" s="1793">
        <f t="shared" si="11"/>
        <v>0</v>
      </c>
      <c r="M48" s="1793">
        <f t="shared" si="11"/>
        <v>0</v>
      </c>
      <c r="N48" s="1793">
        <f t="shared" si="11"/>
        <v>0</v>
      </c>
      <c r="O48" s="2032">
        <f t="shared" si="8"/>
        <v>0</v>
      </c>
      <c r="P48" s="1300">
        <f t="shared" si="10"/>
        <v>0</v>
      </c>
    </row>
    <row r="49" spans="1:21" ht="19.5" customHeight="1">
      <c r="A49" s="928"/>
      <c r="B49" s="926" t="s">
        <v>321</v>
      </c>
      <c r="C49" s="1793"/>
      <c r="D49" s="1793"/>
      <c r="E49" s="1793"/>
      <c r="F49" s="1793"/>
      <c r="G49" s="1793"/>
      <c r="H49" s="1793"/>
      <c r="I49" s="1793"/>
      <c r="J49" s="1793"/>
      <c r="K49" s="1793"/>
      <c r="L49" s="1793"/>
      <c r="M49" s="1793"/>
      <c r="N49" s="1793"/>
      <c r="O49" s="1104" t="e">
        <f t="shared" si="8"/>
        <v>#DIV/0!</v>
      </c>
      <c r="P49" s="1300">
        <f t="shared" si="10"/>
        <v>0</v>
      </c>
    </row>
    <row r="50" spans="1:21" s="930" customFormat="1" ht="19.5" customHeight="1">
      <c r="A50" s="925" t="s">
        <v>558</v>
      </c>
      <c r="B50" s="1103" t="s">
        <v>307</v>
      </c>
      <c r="C50" s="1104"/>
      <c r="D50" s="1104"/>
      <c r="E50" s="1104"/>
      <c r="F50" s="1104"/>
      <c r="G50" s="1104"/>
      <c r="H50" s="1104"/>
      <c r="I50" s="1104"/>
      <c r="J50" s="1104"/>
      <c r="K50" s="1104"/>
      <c r="L50" s="1104"/>
      <c r="M50" s="1104"/>
      <c r="N50" s="1104"/>
      <c r="O50" s="1104" t="e">
        <f t="shared" si="8"/>
        <v>#DIV/0!</v>
      </c>
      <c r="P50" s="1300">
        <f t="shared" si="10"/>
        <v>0</v>
      </c>
      <c r="Q50" s="1671">
        <v>16500000</v>
      </c>
      <c r="R50" s="1671">
        <v>3500000</v>
      </c>
    </row>
    <row r="51" spans="1:21" ht="19.5" customHeight="1">
      <c r="A51" s="928"/>
      <c r="B51" s="2175" t="s">
        <v>307</v>
      </c>
      <c r="C51" s="1793"/>
      <c r="D51" s="1793"/>
      <c r="E51" s="1793"/>
      <c r="F51" s="1793"/>
      <c r="G51" s="1793"/>
      <c r="H51" s="1793"/>
      <c r="I51" s="1793"/>
      <c r="J51" s="1793"/>
      <c r="K51" s="1793"/>
      <c r="L51" s="1793"/>
      <c r="M51" s="1793"/>
      <c r="N51" s="1793"/>
      <c r="O51" s="1794" t="e">
        <f t="shared" si="8"/>
        <v>#DIV/0!</v>
      </c>
      <c r="P51" s="1300">
        <v>9050000</v>
      </c>
      <c r="Q51" s="1669">
        <v>0.54848484848484846</v>
      </c>
      <c r="R51" s="1670">
        <v>1919696.9696969697</v>
      </c>
      <c r="S51" s="1669">
        <v>319949.49494949501</v>
      </c>
      <c r="T51" s="924">
        <f>+S51*6</f>
        <v>1919696.9696969702</v>
      </c>
    </row>
    <row r="52" spans="1:21" ht="19.5" customHeight="1">
      <c r="A52" s="928"/>
      <c r="B52" s="2175" t="s">
        <v>321</v>
      </c>
      <c r="C52" s="1793">
        <f>C40*1.07</f>
        <v>0</v>
      </c>
      <c r="D52" s="1793">
        <f t="shared" ref="D52:N52" si="12">D40*1.07</f>
        <v>0</v>
      </c>
      <c r="E52" s="1793">
        <f t="shared" si="12"/>
        <v>0</v>
      </c>
      <c r="F52" s="1793">
        <f t="shared" si="12"/>
        <v>0</v>
      </c>
      <c r="G52" s="1793">
        <f t="shared" si="12"/>
        <v>0</v>
      </c>
      <c r="H52" s="1793">
        <f t="shared" si="12"/>
        <v>0</v>
      </c>
      <c r="I52" s="1793">
        <f t="shared" si="12"/>
        <v>0</v>
      </c>
      <c r="J52" s="1793">
        <f t="shared" si="12"/>
        <v>0</v>
      </c>
      <c r="K52" s="1793">
        <f t="shared" si="12"/>
        <v>0</v>
      </c>
      <c r="L52" s="1793">
        <f t="shared" si="12"/>
        <v>0</v>
      </c>
      <c r="M52" s="1793">
        <f t="shared" si="12"/>
        <v>0</v>
      </c>
      <c r="N52" s="1793">
        <f t="shared" si="12"/>
        <v>0</v>
      </c>
      <c r="O52" s="1794">
        <f t="shared" si="8"/>
        <v>0</v>
      </c>
      <c r="P52" s="1300">
        <v>7450000</v>
      </c>
      <c r="Q52" s="1669">
        <v>0.45151515151515154</v>
      </c>
      <c r="R52" s="1670">
        <v>1580303.0303030303</v>
      </c>
      <c r="S52" s="1669">
        <v>263383.83838383801</v>
      </c>
      <c r="T52" s="924">
        <f>+S52*6</f>
        <v>1580303.0303030279</v>
      </c>
      <c r="U52" s="924">
        <v>1580303.03030303</v>
      </c>
    </row>
    <row r="53" spans="1:21">
      <c r="C53" s="2019"/>
      <c r="D53" s="2018"/>
    </row>
    <row r="54" spans="1:21">
      <c r="C54" s="2019"/>
      <c r="D54" s="2018"/>
    </row>
    <row r="55" spans="1:21">
      <c r="C55" s="2021"/>
      <c r="D55" s="2020"/>
      <c r="E55" s="2020"/>
      <c r="F55" s="2020"/>
      <c r="G55" s="2020"/>
      <c r="H55" s="2020"/>
      <c r="I55" s="2020"/>
      <c r="J55" s="2020"/>
      <c r="K55" s="2020"/>
      <c r="L55" s="2020"/>
      <c r="M55" s="2020"/>
      <c r="N55" s="2020"/>
    </row>
    <row r="56" spans="1:21">
      <c r="B56" s="924" t="s">
        <v>552</v>
      </c>
      <c r="C56" s="2020">
        <v>4.2516007532956683</v>
      </c>
      <c r="D56" s="2020">
        <v>4.2890177024482092</v>
      </c>
      <c r="E56" s="2020">
        <v>4.3267714041431242</v>
      </c>
      <c r="F56" s="2020">
        <v>4.3648648891532931</v>
      </c>
      <c r="G56" s="2020">
        <v>4.4033012155285531</v>
      </c>
      <c r="H56" s="2020">
        <v>4.4420834688411919</v>
      </c>
      <c r="I56" s="2020">
        <v>4.4812147624336438</v>
      </c>
      <c r="J56" s="2020">
        <v>4.5206982376684275</v>
      </c>
      <c r="K56" s="2020">
        <v>4.5605370642003198</v>
      </c>
      <c r="L56" s="2020">
        <v>4.6007344401308279</v>
      </c>
      <c r="M56" s="2020">
        <v>4.6412935924648862</v>
      </c>
      <c r="N56" s="2020">
        <v>4.682217777169952</v>
      </c>
    </row>
    <row r="57" spans="1:21">
      <c r="C57" s="2019"/>
      <c r="D57" s="2019"/>
      <c r="E57" s="2019"/>
      <c r="F57" s="2019"/>
      <c r="G57" s="2019"/>
      <c r="H57" s="2019"/>
      <c r="I57" s="2019"/>
      <c r="J57" s="2019"/>
      <c r="K57" s="2019"/>
      <c r="L57" s="2019"/>
      <c r="M57" s="2019"/>
      <c r="N57" s="2019"/>
    </row>
    <row r="58" spans="1:21">
      <c r="C58" s="2019">
        <v>0.42516007532956684</v>
      </c>
      <c r="D58" s="2019">
        <v>0.42890177024482096</v>
      </c>
      <c r="E58" s="2019">
        <v>0.43267714041431243</v>
      </c>
      <c r="F58" s="2019">
        <v>0.43648648891532932</v>
      </c>
      <c r="G58" s="2019">
        <v>0.44033012155285534</v>
      </c>
      <c r="H58" s="2019">
        <v>0.4442083468841192</v>
      </c>
      <c r="I58" s="2019">
        <v>0.4481214762433644</v>
      </c>
      <c r="J58" s="2019">
        <v>0.45206982376684279</v>
      </c>
      <c r="K58" s="2019">
        <v>0.45605370642003201</v>
      </c>
      <c r="L58" s="2019">
        <v>0.46007344401308281</v>
      </c>
      <c r="M58" s="2019">
        <v>0.46412935924648863</v>
      </c>
      <c r="N58" s="2019">
        <v>0.46822177771699525</v>
      </c>
    </row>
    <row r="59" spans="1:21">
      <c r="C59" s="2019"/>
      <c r="D59" s="2019"/>
      <c r="E59" s="2019"/>
      <c r="F59" s="2019"/>
      <c r="G59" s="2019"/>
      <c r="H59" s="2019"/>
      <c r="I59" s="2019"/>
      <c r="J59" s="2019"/>
      <c r="K59" s="2019"/>
      <c r="L59" s="2019"/>
      <c r="M59" s="2019"/>
      <c r="N59" s="2019"/>
    </row>
    <row r="60" spans="1:21">
      <c r="A60" s="924" t="s">
        <v>323</v>
      </c>
      <c r="B60" s="924" t="s">
        <v>553</v>
      </c>
      <c r="C60" s="2020">
        <v>3.8264406779661013</v>
      </c>
      <c r="D60" s="2020">
        <v>3.8601159322033882</v>
      </c>
      <c r="E60" s="2020">
        <v>3.8940942637288116</v>
      </c>
      <c r="F60" s="2020">
        <v>3.9283784002379636</v>
      </c>
      <c r="G60" s="2020">
        <v>3.9629710939756979</v>
      </c>
      <c r="H60" s="2020">
        <v>3.9978751219570725</v>
      </c>
      <c r="I60" s="2020">
        <v>4.0330932861902795</v>
      </c>
      <c r="J60" s="2020">
        <v>4.0686284139015845</v>
      </c>
      <c r="K60" s="2020">
        <v>4.1044833577622919</v>
      </c>
      <c r="L60" s="2020">
        <v>4.1406609961177452</v>
      </c>
      <c r="M60" s="2020">
        <v>4.1771642332203998</v>
      </c>
      <c r="N60" s="2020">
        <v>4.2139959994529566</v>
      </c>
    </row>
    <row r="61" spans="1:21">
      <c r="C61" s="2020">
        <v>0</v>
      </c>
      <c r="D61" s="2020">
        <v>0</v>
      </c>
      <c r="E61" s="2020">
        <v>0</v>
      </c>
      <c r="F61" s="2020">
        <v>0</v>
      </c>
      <c r="G61" s="2020">
        <v>0</v>
      </c>
      <c r="H61" s="2020">
        <v>0</v>
      </c>
      <c r="I61" s="2020">
        <v>0</v>
      </c>
      <c r="J61" s="2020">
        <v>0</v>
      </c>
      <c r="K61" s="2020">
        <v>0</v>
      </c>
      <c r="L61" s="2020">
        <v>0</v>
      </c>
      <c r="M61" s="2020">
        <v>0</v>
      </c>
      <c r="N61" s="2020">
        <v>0</v>
      </c>
    </row>
    <row r="62" spans="1:21">
      <c r="C62" s="2020"/>
      <c r="D62" s="2020"/>
      <c r="E62" s="2020"/>
      <c r="F62" s="2020"/>
      <c r="G62" s="2020"/>
      <c r="H62" s="2020"/>
      <c r="I62" s="2020"/>
      <c r="J62" s="2020"/>
      <c r="K62" s="2020"/>
      <c r="L62" s="2020"/>
      <c r="M62" s="2020"/>
      <c r="N62" s="2020"/>
    </row>
    <row r="63" spans="1:21">
      <c r="C63" s="2020"/>
      <c r="D63" s="2020"/>
      <c r="E63" s="2020"/>
      <c r="F63" s="2020"/>
      <c r="G63" s="2020"/>
      <c r="H63" s="2020"/>
      <c r="I63" s="2020"/>
      <c r="J63" s="2020"/>
      <c r="K63" s="2020"/>
      <c r="L63" s="2020"/>
      <c r="M63" s="2020"/>
      <c r="N63" s="2020"/>
    </row>
    <row r="64" spans="1:21">
      <c r="A64" s="924" t="s">
        <v>554</v>
      </c>
      <c r="B64" s="924" t="s">
        <v>555</v>
      </c>
      <c r="C64" s="2020">
        <v>4.279378531073446</v>
      </c>
      <c r="D64" s="2020">
        <v>4.3170454802259881</v>
      </c>
      <c r="E64" s="2020">
        <v>4.355051431920903</v>
      </c>
      <c r="F64" s="2020">
        <v>4.3933994372010696</v>
      </c>
      <c r="G64" s="2020">
        <v>4.432092574488582</v>
      </c>
      <c r="H64" s="2020">
        <v>4.4711339500320602</v>
      </c>
      <c r="I64" s="2020">
        <v>4.5105266979550276</v>
      </c>
      <c r="J64" s="2020">
        <v>4.5502739806095045</v>
      </c>
      <c r="K64" s="2020">
        <v>4.5903789888078705</v>
      </c>
      <c r="L64" s="2020">
        <v>4.6308449420800217</v>
      </c>
      <c r="M64" s="2020">
        <v>4.6716750889316234</v>
      </c>
      <c r="N64" s="2020">
        <v>4.7128727071048893</v>
      </c>
    </row>
    <row r="65" spans="1:14">
      <c r="C65" s="2020">
        <v>0.42793785310734461</v>
      </c>
      <c r="D65" s="2020">
        <v>0.43170454802259883</v>
      </c>
      <c r="E65" s="2020">
        <v>0.43550514319209033</v>
      </c>
      <c r="F65" s="2020">
        <v>0.43933994372010698</v>
      </c>
      <c r="G65" s="2020">
        <v>0.4432092574488582</v>
      </c>
      <c r="H65" s="2020">
        <v>0.44711339500320602</v>
      </c>
      <c r="I65" s="2020">
        <v>0.45105266979550279</v>
      </c>
      <c r="J65" s="2020">
        <v>0.45502739806095049</v>
      </c>
      <c r="K65" s="2020">
        <v>0.45903789888078705</v>
      </c>
      <c r="L65" s="2020">
        <v>0.46308449420800218</v>
      </c>
      <c r="M65" s="2020">
        <v>0.46716750889316239</v>
      </c>
      <c r="N65" s="2020">
        <v>0.47128727071048893</v>
      </c>
    </row>
    <row r="66" spans="1:14">
      <c r="B66" s="924" t="s">
        <v>553</v>
      </c>
      <c r="C66" s="2020">
        <v>3.8514406779661012</v>
      </c>
      <c r="D66" s="2020">
        <v>3.8853409322033894</v>
      </c>
      <c r="E66" s="2020">
        <v>3.9195462887288128</v>
      </c>
      <c r="F66" s="2020">
        <v>3.9540594934629643</v>
      </c>
      <c r="G66" s="2020">
        <v>3.9888833170397238</v>
      </c>
      <c r="H66" s="2020">
        <v>4.0240205550286738</v>
      </c>
      <c r="I66" s="2020">
        <v>4.0594740281595252</v>
      </c>
      <c r="J66" s="2020">
        <v>4.0952465825485538</v>
      </c>
      <c r="K66" s="2020">
        <v>4.1313410899270835</v>
      </c>
      <c r="L66" s="2020">
        <v>4.1677604478720198</v>
      </c>
      <c r="M66" s="2020">
        <v>4.2045075800384613</v>
      </c>
      <c r="N66" s="2020">
        <v>4.2415854363944003</v>
      </c>
    </row>
    <row r="67" spans="1:14">
      <c r="C67" s="2020">
        <f>+C66-C46</f>
        <v>3.8514406779661012</v>
      </c>
      <c r="D67" s="2020">
        <f t="shared" ref="D67:N67" si="13">+D66-D46</f>
        <v>3.8853409322033894</v>
      </c>
      <c r="E67" s="2020">
        <f t="shared" si="13"/>
        <v>3.9195462887288128</v>
      </c>
      <c r="F67" s="2020">
        <f t="shared" si="13"/>
        <v>3.9540594934629643</v>
      </c>
      <c r="G67" s="2020">
        <f t="shared" si="13"/>
        <v>3.9888833170397238</v>
      </c>
      <c r="H67" s="2020">
        <f t="shared" si="13"/>
        <v>4.0240205550286738</v>
      </c>
      <c r="I67" s="2020">
        <f t="shared" si="13"/>
        <v>4.0594740281595252</v>
      </c>
      <c r="J67" s="2020">
        <f t="shared" si="13"/>
        <v>4.0952465825485538</v>
      </c>
      <c r="K67" s="2020">
        <f t="shared" si="13"/>
        <v>4.1313410899270835</v>
      </c>
      <c r="L67" s="2020">
        <f t="shared" si="13"/>
        <v>4.1677604478720198</v>
      </c>
      <c r="M67" s="2020">
        <f t="shared" si="13"/>
        <v>4.2045075800384613</v>
      </c>
      <c r="N67" s="2020">
        <f t="shared" si="13"/>
        <v>4.2415854363944003</v>
      </c>
    </row>
    <row r="68" spans="1:14">
      <c r="A68" s="925" t="s">
        <v>291</v>
      </c>
      <c r="B68" s="1103" t="s">
        <v>307</v>
      </c>
      <c r="C68" s="1104"/>
      <c r="D68" s="1104"/>
      <c r="E68" s="1104"/>
      <c r="F68" s="1104"/>
      <c r="G68" s="1104"/>
      <c r="H68" s="1104"/>
      <c r="I68" s="1104"/>
      <c r="J68" s="1104"/>
      <c r="K68" s="1104"/>
      <c r="L68" s="1104"/>
      <c r="M68" s="1104"/>
      <c r="N68" s="1104"/>
    </row>
    <row r="69" spans="1:14">
      <c r="A69" s="928"/>
      <c r="B69" s="926" t="s">
        <v>307</v>
      </c>
      <c r="C69" s="1793">
        <v>3.8264406779661013</v>
      </c>
      <c r="D69" s="1793">
        <v>3.8601159322033887</v>
      </c>
      <c r="E69" s="1793">
        <v>3.8940942637288116</v>
      </c>
      <c r="F69" s="1793">
        <v>3.9283784002379636</v>
      </c>
      <c r="G69" s="1793">
        <v>3.9629710939756979</v>
      </c>
      <c r="H69" s="1793">
        <v>3.9978751219570725</v>
      </c>
      <c r="I69" s="1793">
        <v>4.0330932861902795</v>
      </c>
      <c r="J69" s="1793">
        <v>4.0686284139015845</v>
      </c>
      <c r="K69" s="1793">
        <v>4.1044833577622919</v>
      </c>
      <c r="L69" s="1793">
        <v>4.1406609961177452</v>
      </c>
      <c r="M69" s="1793">
        <v>4.1771642332203998</v>
      </c>
      <c r="N69" s="1793">
        <v>4.2139959994529566</v>
      </c>
    </row>
    <row r="70" spans="1:14">
      <c r="A70" s="928"/>
      <c r="B70" s="926" t="s">
        <v>321</v>
      </c>
      <c r="C70" s="1793">
        <v>3.8514406779661017</v>
      </c>
      <c r="D70" s="1793">
        <v>3.8853409322033894</v>
      </c>
      <c r="E70" s="1793">
        <v>3.9195462887288128</v>
      </c>
      <c r="F70" s="1793">
        <v>3.9540594934629647</v>
      </c>
      <c r="G70" s="1793">
        <v>3.9888833170397242</v>
      </c>
      <c r="H70" s="1793">
        <v>4.0240205550286738</v>
      </c>
      <c r="I70" s="1793">
        <v>4.0594740281595252</v>
      </c>
      <c r="J70" s="1793">
        <v>4.0952465825485538</v>
      </c>
      <c r="K70" s="1793">
        <v>4.1313410899270835</v>
      </c>
      <c r="L70" s="1793">
        <v>4.1677604478720198</v>
      </c>
      <c r="M70" s="1793">
        <v>4.2045075800384613</v>
      </c>
      <c r="N70" s="1793">
        <v>4.2415854363944003</v>
      </c>
    </row>
    <row r="71" spans="1:14">
      <c r="A71" s="924" t="s">
        <v>520</v>
      </c>
      <c r="B71" s="924" t="s">
        <v>307</v>
      </c>
      <c r="C71" s="1923" t="e">
        <f>SUM(C51-C39)/C51</f>
        <v>#DIV/0!</v>
      </c>
      <c r="D71" s="1923" t="e">
        <f t="shared" ref="D71:N71" si="14">SUM(D51-D39)/D51</f>
        <v>#DIV/0!</v>
      </c>
      <c r="E71" s="1923" t="e">
        <f t="shared" si="14"/>
        <v>#DIV/0!</v>
      </c>
      <c r="F71" s="1923" t="e">
        <f t="shared" si="14"/>
        <v>#DIV/0!</v>
      </c>
      <c r="G71" s="1923" t="e">
        <f t="shared" si="14"/>
        <v>#DIV/0!</v>
      </c>
      <c r="H71" s="1923" t="e">
        <f t="shared" si="14"/>
        <v>#DIV/0!</v>
      </c>
      <c r="I71" s="1923" t="e">
        <f t="shared" si="14"/>
        <v>#DIV/0!</v>
      </c>
      <c r="J71" s="1923" t="e">
        <f t="shared" si="14"/>
        <v>#DIV/0!</v>
      </c>
      <c r="K71" s="1923" t="e">
        <f t="shared" si="14"/>
        <v>#DIV/0!</v>
      </c>
      <c r="L71" s="1923" t="e">
        <f t="shared" si="14"/>
        <v>#DIV/0!</v>
      </c>
      <c r="M71" s="1923" t="e">
        <f t="shared" si="14"/>
        <v>#DIV/0!</v>
      </c>
      <c r="N71" s="1923" t="e">
        <f t="shared" si="14"/>
        <v>#DIV/0!</v>
      </c>
    </row>
    <row r="72" spans="1:14">
      <c r="B72" s="924" t="s">
        <v>521</v>
      </c>
      <c r="C72" s="1923" t="e">
        <f>SUM(C52-C40)/C52</f>
        <v>#DIV/0!</v>
      </c>
      <c r="D72" s="1923" t="e">
        <f t="shared" ref="D72:N72" si="15">SUM(D52-D40)/D52</f>
        <v>#DIV/0!</v>
      </c>
      <c r="E72" s="1923" t="e">
        <f t="shared" si="15"/>
        <v>#DIV/0!</v>
      </c>
      <c r="F72" s="1923" t="e">
        <f t="shared" si="15"/>
        <v>#DIV/0!</v>
      </c>
      <c r="G72" s="1923" t="e">
        <f t="shared" si="15"/>
        <v>#DIV/0!</v>
      </c>
      <c r="H72" s="1923" t="e">
        <f t="shared" si="15"/>
        <v>#DIV/0!</v>
      </c>
      <c r="I72" s="1923" t="e">
        <f t="shared" si="15"/>
        <v>#DIV/0!</v>
      </c>
      <c r="J72" s="1923" t="e">
        <f t="shared" si="15"/>
        <v>#DIV/0!</v>
      </c>
      <c r="K72" s="1923" t="e">
        <f t="shared" si="15"/>
        <v>#DIV/0!</v>
      </c>
      <c r="L72" s="1923" t="e">
        <f t="shared" si="15"/>
        <v>#DIV/0!</v>
      </c>
      <c r="M72" s="1923" t="e">
        <f t="shared" si="15"/>
        <v>#DIV/0!</v>
      </c>
      <c r="N72" s="1923" t="e">
        <f t="shared" si="15"/>
        <v>#DIV/0!</v>
      </c>
    </row>
    <row r="73" spans="1:14">
      <c r="C73" s="1923"/>
      <c r="D73" s="1923"/>
      <c r="E73" s="1923"/>
      <c r="F73" s="1923"/>
      <c r="G73" s="1923"/>
      <c r="H73" s="1923"/>
      <c r="I73" s="1923"/>
      <c r="J73" s="1923"/>
      <c r="K73" s="1923"/>
      <c r="L73" s="1923"/>
      <c r="M73" s="1923"/>
      <c r="N73" s="1923"/>
    </row>
    <row r="74" spans="1:14">
      <c r="A74" s="924" t="s">
        <v>522</v>
      </c>
      <c r="B74" s="924" t="s">
        <v>307</v>
      </c>
      <c r="C74" s="1923"/>
      <c r="D74" s="1923"/>
      <c r="E74" s="1923"/>
      <c r="F74" s="1923"/>
      <c r="G74" s="1923"/>
      <c r="H74" s="1923"/>
      <c r="I74" s="1923"/>
      <c r="J74" s="1923"/>
      <c r="K74" s="1923"/>
      <c r="L74" s="1923"/>
      <c r="M74" s="1923"/>
      <c r="N74" s="1923"/>
    </row>
    <row r="75" spans="1:14">
      <c r="B75" s="924" t="s">
        <v>521</v>
      </c>
      <c r="C75" s="1923" t="e">
        <f>SUM(C49-C37)/C49</f>
        <v>#DIV/0!</v>
      </c>
      <c r="D75" s="1923" t="e">
        <f t="shared" ref="D75:N75" si="16">SUM(D49-D37)/D49</f>
        <v>#DIV/0!</v>
      </c>
      <c r="E75" s="1923" t="e">
        <f t="shared" si="16"/>
        <v>#DIV/0!</v>
      </c>
      <c r="F75" s="1923" t="e">
        <f t="shared" si="16"/>
        <v>#DIV/0!</v>
      </c>
      <c r="G75" s="1923" t="e">
        <f t="shared" si="16"/>
        <v>#DIV/0!</v>
      </c>
      <c r="H75" s="1923" t="e">
        <f t="shared" si="16"/>
        <v>#DIV/0!</v>
      </c>
      <c r="I75" s="1923" t="e">
        <f t="shared" si="16"/>
        <v>#DIV/0!</v>
      </c>
      <c r="J75" s="1923" t="e">
        <f t="shared" si="16"/>
        <v>#DIV/0!</v>
      </c>
      <c r="K75" s="1923" t="e">
        <f t="shared" si="16"/>
        <v>#DIV/0!</v>
      </c>
      <c r="L75" s="1923" t="e">
        <f t="shared" si="16"/>
        <v>#DIV/0!</v>
      </c>
      <c r="M75" s="1923" t="e">
        <f t="shared" si="16"/>
        <v>#DIV/0!</v>
      </c>
      <c r="N75" s="1923" t="e">
        <f t="shared" si="16"/>
        <v>#DIV/0!</v>
      </c>
    </row>
    <row r="76" spans="1:14">
      <c r="C76" s="1923"/>
      <c r="D76" s="1923"/>
      <c r="E76" s="1923"/>
      <c r="F76" s="1923"/>
      <c r="G76" s="1923"/>
      <c r="H76" s="1923"/>
      <c r="I76" s="1923"/>
      <c r="J76" s="1923"/>
      <c r="K76" s="1923"/>
      <c r="L76" s="1923"/>
      <c r="M76" s="1923"/>
      <c r="N76" s="1923"/>
    </row>
    <row r="77" spans="1:14">
      <c r="A77" s="924" t="s">
        <v>523</v>
      </c>
      <c r="B77" s="924" t="s">
        <v>307</v>
      </c>
      <c r="C77" s="1923" t="e">
        <f t="shared" ref="C77:N77" si="17">SUM(C45-C33)/C45</f>
        <v>#DIV/0!</v>
      </c>
      <c r="D77" s="1923" t="e">
        <f t="shared" si="17"/>
        <v>#DIV/0!</v>
      </c>
      <c r="E77" s="1923" t="e">
        <f t="shared" si="17"/>
        <v>#DIV/0!</v>
      </c>
      <c r="F77" s="1923" t="e">
        <f t="shared" si="17"/>
        <v>#DIV/0!</v>
      </c>
      <c r="G77" s="1923" t="e">
        <f t="shared" si="17"/>
        <v>#DIV/0!</v>
      </c>
      <c r="H77" s="1923" t="e">
        <f t="shared" si="17"/>
        <v>#DIV/0!</v>
      </c>
      <c r="I77" s="1923" t="e">
        <f t="shared" si="17"/>
        <v>#DIV/0!</v>
      </c>
      <c r="J77" s="1923" t="e">
        <f t="shared" si="17"/>
        <v>#DIV/0!</v>
      </c>
      <c r="K77" s="1923" t="e">
        <f t="shared" si="17"/>
        <v>#DIV/0!</v>
      </c>
      <c r="L77" s="1923" t="e">
        <f t="shared" si="17"/>
        <v>#DIV/0!</v>
      </c>
      <c r="M77" s="1923" t="e">
        <f t="shared" si="17"/>
        <v>#DIV/0!</v>
      </c>
      <c r="N77" s="1923" t="e">
        <f t="shared" si="17"/>
        <v>#DIV/0!</v>
      </c>
    </row>
    <row r="78" spans="1:14">
      <c r="B78" s="924" t="s">
        <v>521</v>
      </c>
      <c r="C78" s="1923" t="e">
        <f t="shared" ref="C78:N78" si="18">SUM(C46-C34)/C46</f>
        <v>#DIV/0!</v>
      </c>
      <c r="D78" s="1923" t="e">
        <f t="shared" si="18"/>
        <v>#DIV/0!</v>
      </c>
      <c r="E78" s="1923" t="e">
        <f t="shared" si="18"/>
        <v>#DIV/0!</v>
      </c>
      <c r="F78" s="1923" t="e">
        <f t="shared" si="18"/>
        <v>#DIV/0!</v>
      </c>
      <c r="G78" s="1923" t="e">
        <f t="shared" si="18"/>
        <v>#DIV/0!</v>
      </c>
      <c r="H78" s="1923" t="e">
        <f t="shared" si="18"/>
        <v>#DIV/0!</v>
      </c>
      <c r="I78" s="1923" t="e">
        <f t="shared" si="18"/>
        <v>#DIV/0!</v>
      </c>
      <c r="J78" s="1923" t="e">
        <f t="shared" si="18"/>
        <v>#DIV/0!</v>
      </c>
      <c r="K78" s="1923" t="e">
        <f t="shared" si="18"/>
        <v>#DIV/0!</v>
      </c>
      <c r="L78" s="1923" t="e">
        <f t="shared" si="18"/>
        <v>#DIV/0!</v>
      </c>
      <c r="M78" s="1923" t="e">
        <f t="shared" si="18"/>
        <v>#DIV/0!</v>
      </c>
      <c r="N78" s="1923" t="e">
        <f t="shared" si="18"/>
        <v>#DIV/0!</v>
      </c>
    </row>
    <row r="79" spans="1:14">
      <c r="C79" s="1923"/>
      <c r="D79" s="1923"/>
      <c r="E79" s="1923"/>
      <c r="F79" s="1923"/>
      <c r="G79" s="1923"/>
      <c r="H79" s="1923"/>
      <c r="I79" s="1923"/>
      <c r="J79" s="1923"/>
      <c r="K79" s="1923"/>
      <c r="L79" s="1923"/>
      <c r="M79" s="1923"/>
      <c r="N79" s="1923"/>
    </row>
    <row r="80" spans="1:14">
      <c r="C80" s="1923"/>
      <c r="D80" s="1923"/>
      <c r="E80" s="1923"/>
      <c r="F80" s="1923"/>
      <c r="G80" s="1923"/>
      <c r="H80" s="1923"/>
      <c r="I80" s="1923"/>
      <c r="J80" s="1923"/>
      <c r="K80" s="1923"/>
      <c r="L80" s="1923"/>
      <c r="M80" s="1923"/>
      <c r="N80" s="1923"/>
    </row>
    <row r="81" spans="3:15">
      <c r="C81" s="929">
        <f>+C9*C39</f>
        <v>0</v>
      </c>
      <c r="D81" s="929">
        <f t="shared" ref="D81:N81" si="19">+D9*D39</f>
        <v>0</v>
      </c>
      <c r="E81" s="929">
        <f t="shared" si="19"/>
        <v>0</v>
      </c>
      <c r="F81" s="929">
        <f t="shared" si="19"/>
        <v>0</v>
      </c>
      <c r="G81" s="929">
        <f t="shared" si="19"/>
        <v>0</v>
      </c>
      <c r="H81" s="929">
        <f t="shared" si="19"/>
        <v>0</v>
      </c>
      <c r="I81" s="929">
        <f t="shared" si="19"/>
        <v>0</v>
      </c>
      <c r="J81" s="929">
        <f t="shared" si="19"/>
        <v>0</v>
      </c>
      <c r="K81" s="929">
        <f t="shared" si="19"/>
        <v>0</v>
      </c>
      <c r="L81" s="929">
        <f t="shared" si="19"/>
        <v>0</v>
      </c>
      <c r="M81" s="929">
        <f t="shared" si="19"/>
        <v>0</v>
      </c>
      <c r="N81" s="929">
        <f t="shared" si="19"/>
        <v>0</v>
      </c>
      <c r="O81" s="931">
        <f t="shared" ref="O81:O85" si="20">SUM(C81:N81)</f>
        <v>0</v>
      </c>
    </row>
    <row r="82" spans="3:15">
      <c r="C82" s="929">
        <f>+C10*C40</f>
        <v>0</v>
      </c>
      <c r="D82" s="929">
        <f t="shared" ref="D82:N82" si="21">+D10*D40</f>
        <v>0</v>
      </c>
      <c r="E82" s="929">
        <f t="shared" si="21"/>
        <v>0</v>
      </c>
      <c r="F82" s="929">
        <f t="shared" si="21"/>
        <v>0</v>
      </c>
      <c r="G82" s="929">
        <f t="shared" si="21"/>
        <v>0</v>
      </c>
      <c r="H82" s="929">
        <f t="shared" si="21"/>
        <v>0</v>
      </c>
      <c r="I82" s="929">
        <f t="shared" si="21"/>
        <v>0</v>
      </c>
      <c r="J82" s="929">
        <f t="shared" si="21"/>
        <v>0</v>
      </c>
      <c r="K82" s="929">
        <f t="shared" si="21"/>
        <v>0</v>
      </c>
      <c r="L82" s="929">
        <f t="shared" si="21"/>
        <v>0</v>
      </c>
      <c r="M82" s="929">
        <f t="shared" si="21"/>
        <v>0</v>
      </c>
      <c r="N82" s="929">
        <f t="shared" si="21"/>
        <v>0</v>
      </c>
      <c r="O82" s="931">
        <f t="shared" si="20"/>
        <v>0</v>
      </c>
    </row>
    <row r="84" spans="3:15">
      <c r="C84" s="929">
        <f>+C9*C51</f>
        <v>0</v>
      </c>
      <c r="D84" s="929">
        <f t="shared" ref="D84:N84" si="22">+D9*D51</f>
        <v>0</v>
      </c>
      <c r="E84" s="929">
        <f t="shared" si="22"/>
        <v>0</v>
      </c>
      <c r="F84" s="929">
        <f t="shared" si="22"/>
        <v>0</v>
      </c>
      <c r="G84" s="929">
        <f t="shared" si="22"/>
        <v>0</v>
      </c>
      <c r="H84" s="929">
        <f t="shared" si="22"/>
        <v>0</v>
      </c>
      <c r="I84" s="929">
        <f t="shared" si="22"/>
        <v>0</v>
      </c>
      <c r="J84" s="929">
        <f t="shared" si="22"/>
        <v>0</v>
      </c>
      <c r="K84" s="929">
        <f t="shared" si="22"/>
        <v>0</v>
      </c>
      <c r="L84" s="929">
        <f t="shared" si="22"/>
        <v>0</v>
      </c>
      <c r="M84" s="929">
        <f t="shared" si="22"/>
        <v>0</v>
      </c>
      <c r="N84" s="929">
        <f t="shared" si="22"/>
        <v>0</v>
      </c>
      <c r="O84" s="931">
        <f t="shared" si="20"/>
        <v>0</v>
      </c>
    </row>
    <row r="85" spans="3:15">
      <c r="C85" s="929">
        <f>+C10*C52</f>
        <v>0</v>
      </c>
      <c r="D85" s="929">
        <f t="shared" ref="D85:N85" si="23">+D10*D52</f>
        <v>0</v>
      </c>
      <c r="E85" s="929">
        <f t="shared" si="23"/>
        <v>0</v>
      </c>
      <c r="F85" s="929">
        <f t="shared" si="23"/>
        <v>0</v>
      </c>
      <c r="G85" s="929">
        <f t="shared" si="23"/>
        <v>0</v>
      </c>
      <c r="H85" s="929">
        <f t="shared" si="23"/>
        <v>0</v>
      </c>
      <c r="I85" s="929">
        <f t="shared" si="23"/>
        <v>0</v>
      </c>
      <c r="J85" s="929">
        <f t="shared" si="23"/>
        <v>0</v>
      </c>
      <c r="K85" s="929">
        <f t="shared" si="23"/>
        <v>0</v>
      </c>
      <c r="L85" s="929">
        <f t="shared" si="23"/>
        <v>0</v>
      </c>
      <c r="M85" s="929">
        <f t="shared" si="23"/>
        <v>0</v>
      </c>
      <c r="N85" s="929">
        <f t="shared" si="23"/>
        <v>0</v>
      </c>
      <c r="O85" s="931">
        <f t="shared" si="20"/>
        <v>0</v>
      </c>
    </row>
    <row r="89" spans="3:15">
      <c r="O89" s="931">
        <f>+O84+O85-O81-O82</f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0066"/>
  </sheetPr>
  <dimension ref="A1:Y97"/>
  <sheetViews>
    <sheetView showGridLines="0" zoomScaleNormal="100" workbookViewId="0">
      <pane xSplit="1" ySplit="1" topLeftCell="B37" activePane="bottomRight" state="frozen"/>
      <selection pane="topRight" activeCell="B1" sqref="B1"/>
      <selection pane="bottomLeft" activeCell="A2" sqref="A2"/>
      <selection pane="bottomRight" activeCell="C4" sqref="C4"/>
    </sheetView>
  </sheetViews>
  <sheetFormatPr defaultColWidth="9.109375" defaultRowHeight="11.4"/>
  <cols>
    <col min="1" max="1" width="16.109375" style="1098" bestFit="1" customWidth="1"/>
    <col min="2" max="2" width="14" style="1098" customWidth="1"/>
    <col min="3" max="7" width="13.5546875" style="1299" bestFit="1" customWidth="1"/>
    <col min="8" max="13" width="14.44140625" style="1299" bestFit="1" customWidth="1"/>
    <col min="14" max="14" width="13.5546875" style="1299" bestFit="1" customWidth="1"/>
    <col min="15" max="15" width="15.33203125" style="1299" bestFit="1" customWidth="1"/>
    <col min="16" max="16384" width="9.109375" style="1098"/>
  </cols>
  <sheetData>
    <row r="1" spans="1:15" ht="51.75" customHeight="1">
      <c r="A1" s="1685" t="s">
        <v>330</v>
      </c>
      <c r="B1" s="1685" t="s">
        <v>306</v>
      </c>
      <c r="C1" s="1686" t="s">
        <v>606</v>
      </c>
      <c r="D1" s="1686" t="s">
        <v>607</v>
      </c>
      <c r="E1" s="1686" t="s">
        <v>608</v>
      </c>
      <c r="F1" s="1686" t="s">
        <v>609</v>
      </c>
      <c r="G1" s="1686" t="s">
        <v>610</v>
      </c>
      <c r="H1" s="1686" t="s">
        <v>611</v>
      </c>
      <c r="I1" s="1686" t="s">
        <v>612</v>
      </c>
      <c r="J1" s="1686" t="s">
        <v>613</v>
      </c>
      <c r="K1" s="1686" t="s">
        <v>614</v>
      </c>
      <c r="L1" s="1686" t="s">
        <v>615</v>
      </c>
      <c r="M1" s="1686" t="s">
        <v>616</v>
      </c>
      <c r="N1" s="1686" t="s">
        <v>617</v>
      </c>
      <c r="O1" s="1686" t="s">
        <v>37</v>
      </c>
    </row>
    <row r="2" spans="1:15" s="1101" customFormat="1" ht="12">
      <c r="A2" s="2380" t="s">
        <v>159</v>
      </c>
      <c r="B2" s="1100" t="s">
        <v>348</v>
      </c>
      <c r="C2" s="2268"/>
      <c r="D2" s="2268"/>
      <c r="E2" s="2268"/>
      <c r="F2" s="2268"/>
      <c r="G2" s="2268"/>
      <c r="H2" s="2268"/>
      <c r="I2" s="2268"/>
      <c r="J2" s="2268"/>
      <c r="K2" s="2268"/>
      <c r="L2" s="2268"/>
      <c r="M2" s="2268"/>
      <c r="N2" s="2268"/>
      <c r="O2" s="1297">
        <f>O3+O4+O5+O6</f>
        <v>0</v>
      </c>
    </row>
    <row r="3" spans="1:15">
      <c r="A3" s="2381"/>
      <c r="B3" s="1099" t="s">
        <v>307</v>
      </c>
      <c r="C3" s="1298">
        <f>C2-C5</f>
        <v>0</v>
      </c>
      <c r="D3" s="1298">
        <f t="shared" ref="D3:N3" si="0">D2-D5</f>
        <v>0</v>
      </c>
      <c r="E3" s="1298">
        <f t="shared" si="0"/>
        <v>0</v>
      </c>
      <c r="F3" s="1298">
        <f t="shared" si="0"/>
        <v>0</v>
      </c>
      <c r="G3" s="1298">
        <f t="shared" si="0"/>
        <v>0</v>
      </c>
      <c r="H3" s="1298">
        <f t="shared" si="0"/>
        <v>0</v>
      </c>
      <c r="I3" s="1298">
        <f t="shared" si="0"/>
        <v>0</v>
      </c>
      <c r="J3" s="1298">
        <f t="shared" si="0"/>
        <v>0</v>
      </c>
      <c r="K3" s="1298">
        <f t="shared" si="0"/>
        <v>0</v>
      </c>
      <c r="L3" s="1298">
        <f t="shared" si="0"/>
        <v>0</v>
      </c>
      <c r="M3" s="1298">
        <f t="shared" si="0"/>
        <v>0</v>
      </c>
      <c r="N3" s="1298">
        <f t="shared" si="0"/>
        <v>0</v>
      </c>
      <c r="O3" s="1297">
        <f t="shared" ref="O3:O31" si="1">SUM(C3:N3)</f>
        <v>0</v>
      </c>
    </row>
    <row r="4" spans="1:15">
      <c r="A4" s="2381"/>
      <c r="B4" s="1099" t="s">
        <v>321</v>
      </c>
      <c r="C4" s="1298"/>
      <c r="D4" s="1298"/>
      <c r="E4" s="1298"/>
      <c r="F4" s="1298"/>
      <c r="G4" s="1298"/>
      <c r="H4" s="1298"/>
      <c r="I4" s="1298"/>
      <c r="J4" s="1298"/>
      <c r="K4" s="1298"/>
      <c r="L4" s="1298"/>
      <c r="M4" s="1298"/>
      <c r="N4" s="1298"/>
      <c r="O4" s="1297">
        <f t="shared" si="1"/>
        <v>0</v>
      </c>
    </row>
    <row r="5" spans="1:15">
      <c r="A5" s="2381"/>
      <c r="B5" s="1099" t="s">
        <v>349</v>
      </c>
      <c r="C5" s="1298">
        <f>C2*0.07</f>
        <v>0</v>
      </c>
      <c r="D5" s="1298">
        <f t="shared" ref="D5:N5" si="2">D2*0.07</f>
        <v>0</v>
      </c>
      <c r="E5" s="1298">
        <f t="shared" si="2"/>
        <v>0</v>
      </c>
      <c r="F5" s="1298">
        <f t="shared" si="2"/>
        <v>0</v>
      </c>
      <c r="G5" s="1298">
        <f t="shared" si="2"/>
        <v>0</v>
      </c>
      <c r="H5" s="1298">
        <f t="shared" si="2"/>
        <v>0</v>
      </c>
      <c r="I5" s="1298">
        <f t="shared" si="2"/>
        <v>0</v>
      </c>
      <c r="J5" s="1298">
        <f t="shared" si="2"/>
        <v>0</v>
      </c>
      <c r="K5" s="1298">
        <f t="shared" si="2"/>
        <v>0</v>
      </c>
      <c r="L5" s="1298">
        <f t="shared" si="2"/>
        <v>0</v>
      </c>
      <c r="M5" s="1298">
        <f t="shared" si="2"/>
        <v>0</v>
      </c>
      <c r="N5" s="1298">
        <f t="shared" si="2"/>
        <v>0</v>
      </c>
      <c r="O5" s="1297">
        <f t="shared" si="1"/>
        <v>0</v>
      </c>
    </row>
    <row r="6" spans="1:15">
      <c r="A6" s="2381"/>
      <c r="B6" s="1099" t="s">
        <v>350</v>
      </c>
      <c r="C6" s="1298"/>
      <c r="D6" s="1298"/>
      <c r="E6" s="1298"/>
      <c r="F6" s="1298"/>
      <c r="G6" s="1298"/>
      <c r="H6" s="1298"/>
      <c r="I6" s="1298"/>
      <c r="J6" s="1298"/>
      <c r="K6" s="1298"/>
      <c r="L6" s="1298"/>
      <c r="M6" s="1298"/>
      <c r="N6" s="1298"/>
      <c r="O6" s="1297">
        <f t="shared" si="1"/>
        <v>0</v>
      </c>
    </row>
    <row r="7" spans="1:15">
      <c r="A7" s="2382"/>
      <c r="B7" s="1099" t="s">
        <v>351</v>
      </c>
      <c r="C7" s="1298">
        <v>0</v>
      </c>
      <c r="D7" s="1298"/>
      <c r="E7" s="1298"/>
      <c r="F7" s="1298"/>
      <c r="G7" s="1298"/>
      <c r="H7" s="1298"/>
      <c r="I7" s="1298"/>
      <c r="J7" s="1298"/>
      <c r="K7" s="1298"/>
      <c r="L7" s="1298"/>
      <c r="M7" s="1298"/>
      <c r="N7" s="1298"/>
      <c r="O7" s="1297">
        <f t="shared" si="1"/>
        <v>0</v>
      </c>
    </row>
    <row r="8" spans="1:15" s="1101" customFormat="1" ht="12">
      <c r="A8" s="2380" t="s">
        <v>90</v>
      </c>
      <c r="B8" s="1100" t="s">
        <v>348</v>
      </c>
      <c r="C8" s="1297"/>
      <c r="D8" s="1297"/>
      <c r="E8" s="1297"/>
      <c r="F8" s="1297"/>
      <c r="G8" s="1297"/>
      <c r="H8" s="1297"/>
      <c r="I8" s="1297"/>
      <c r="J8" s="1297"/>
      <c r="K8" s="1297"/>
      <c r="L8" s="1297"/>
      <c r="M8" s="1297"/>
      <c r="N8" s="1297"/>
      <c r="O8" s="1297">
        <f>O9+O10+O11+O12</f>
        <v>0</v>
      </c>
    </row>
    <row r="9" spans="1:15">
      <c r="A9" s="2381"/>
      <c r="B9" s="1099" t="s">
        <v>307</v>
      </c>
      <c r="C9" s="1298">
        <f>C8*0.94</f>
        <v>0</v>
      </c>
      <c r="D9" s="1298">
        <f t="shared" ref="D9:N9" si="3">D8*0.94</f>
        <v>0</v>
      </c>
      <c r="E9" s="1298">
        <f t="shared" si="3"/>
        <v>0</v>
      </c>
      <c r="F9" s="1298">
        <f t="shared" si="3"/>
        <v>0</v>
      </c>
      <c r="G9" s="1298">
        <f t="shared" si="3"/>
        <v>0</v>
      </c>
      <c r="H9" s="1298">
        <f t="shared" si="3"/>
        <v>0</v>
      </c>
      <c r="I9" s="1298">
        <f t="shared" si="3"/>
        <v>0</v>
      </c>
      <c r="J9" s="1298">
        <f t="shared" si="3"/>
        <v>0</v>
      </c>
      <c r="K9" s="1298">
        <f t="shared" si="3"/>
        <v>0</v>
      </c>
      <c r="L9" s="1298">
        <f t="shared" si="3"/>
        <v>0</v>
      </c>
      <c r="M9" s="1298">
        <f t="shared" si="3"/>
        <v>0</v>
      </c>
      <c r="N9" s="1298">
        <f t="shared" si="3"/>
        <v>0</v>
      </c>
      <c r="O9" s="1297">
        <f t="shared" si="1"/>
        <v>0</v>
      </c>
    </row>
    <row r="10" spans="1:15">
      <c r="A10" s="2381"/>
      <c r="B10" s="1099" t="s">
        <v>321</v>
      </c>
      <c r="C10" s="1298"/>
      <c r="D10" s="1298"/>
      <c r="E10" s="1298"/>
      <c r="F10" s="1298"/>
      <c r="G10" s="1298"/>
      <c r="H10" s="1298"/>
      <c r="I10" s="1298"/>
      <c r="J10" s="1298"/>
      <c r="K10" s="1298"/>
      <c r="L10" s="1298"/>
      <c r="M10" s="1298"/>
      <c r="N10" s="1298"/>
      <c r="O10" s="1297">
        <f t="shared" si="1"/>
        <v>0</v>
      </c>
    </row>
    <row r="11" spans="1:15">
      <c r="A11" s="2381"/>
      <c r="B11" s="1099" t="s">
        <v>349</v>
      </c>
      <c r="C11" s="1298">
        <f>C8-C9</f>
        <v>0</v>
      </c>
      <c r="D11" s="1298">
        <f t="shared" ref="D11:N11" si="4">D8-D9</f>
        <v>0</v>
      </c>
      <c r="E11" s="1298">
        <f t="shared" si="4"/>
        <v>0</v>
      </c>
      <c r="F11" s="1298">
        <f t="shared" si="4"/>
        <v>0</v>
      </c>
      <c r="G11" s="1298">
        <f t="shared" si="4"/>
        <v>0</v>
      </c>
      <c r="H11" s="1298">
        <f t="shared" si="4"/>
        <v>0</v>
      </c>
      <c r="I11" s="1298">
        <f t="shared" si="4"/>
        <v>0</v>
      </c>
      <c r="J11" s="1298">
        <f t="shared" si="4"/>
        <v>0</v>
      </c>
      <c r="K11" s="1298">
        <f t="shared" si="4"/>
        <v>0</v>
      </c>
      <c r="L11" s="1298">
        <f t="shared" si="4"/>
        <v>0</v>
      </c>
      <c r="M11" s="1298">
        <f t="shared" si="4"/>
        <v>0</v>
      </c>
      <c r="N11" s="1298">
        <f t="shared" si="4"/>
        <v>0</v>
      </c>
      <c r="O11" s="1297">
        <f t="shared" si="1"/>
        <v>0</v>
      </c>
    </row>
    <row r="12" spans="1:15">
      <c r="A12" s="2381"/>
      <c r="B12" s="1099" t="s">
        <v>350</v>
      </c>
      <c r="C12" s="1298"/>
      <c r="D12" s="1298"/>
      <c r="E12" s="1298"/>
      <c r="F12" s="1298"/>
      <c r="G12" s="1298"/>
      <c r="H12" s="1298"/>
      <c r="I12" s="1298"/>
      <c r="J12" s="1298"/>
      <c r="K12" s="1298"/>
      <c r="L12" s="1298"/>
      <c r="M12" s="1298"/>
      <c r="N12" s="1298"/>
      <c r="O12" s="1297">
        <f t="shared" si="1"/>
        <v>0</v>
      </c>
    </row>
    <row r="13" spans="1:15">
      <c r="A13" s="2382"/>
      <c r="B13" s="1099" t="s">
        <v>351</v>
      </c>
      <c r="C13" s="1298"/>
      <c r="D13" s="1298"/>
      <c r="E13" s="1298"/>
      <c r="F13" s="1298"/>
      <c r="G13" s="1298"/>
      <c r="H13" s="1298"/>
      <c r="I13" s="1298"/>
      <c r="J13" s="1298"/>
      <c r="K13" s="1298"/>
      <c r="L13" s="1298"/>
      <c r="M13" s="1298"/>
      <c r="N13" s="1298"/>
      <c r="O13" s="1297">
        <f t="shared" si="1"/>
        <v>0</v>
      </c>
    </row>
    <row r="14" spans="1:15" s="1101" customFormat="1" ht="12">
      <c r="A14" s="2383" t="s">
        <v>91</v>
      </c>
      <c r="B14" s="1100" t="s">
        <v>348</v>
      </c>
      <c r="C14" s="1297"/>
      <c r="D14" s="1297"/>
      <c r="E14" s="1297"/>
      <c r="F14" s="1297"/>
      <c r="G14" s="1297"/>
      <c r="H14" s="1297"/>
      <c r="I14" s="1297"/>
      <c r="J14" s="1297"/>
      <c r="K14" s="1297"/>
      <c r="L14" s="1297"/>
      <c r="M14" s="1297"/>
      <c r="N14" s="1297"/>
      <c r="O14" s="1297">
        <f>O15+O16+O17+O18</f>
        <v>0</v>
      </c>
    </row>
    <row r="15" spans="1:15">
      <c r="A15" s="2384"/>
      <c r="B15" s="1099" t="s">
        <v>307</v>
      </c>
      <c r="C15" s="1298">
        <f>C14*0.95</f>
        <v>0</v>
      </c>
      <c r="D15" s="1298">
        <f t="shared" ref="D15:N15" si="5">D14*0.95</f>
        <v>0</v>
      </c>
      <c r="E15" s="1298">
        <f t="shared" si="5"/>
        <v>0</v>
      </c>
      <c r="F15" s="1298">
        <f t="shared" si="5"/>
        <v>0</v>
      </c>
      <c r="G15" s="1298">
        <f t="shared" si="5"/>
        <v>0</v>
      </c>
      <c r="H15" s="1298">
        <f t="shared" si="5"/>
        <v>0</v>
      </c>
      <c r="I15" s="1298">
        <f t="shared" si="5"/>
        <v>0</v>
      </c>
      <c r="J15" s="1298">
        <f t="shared" si="5"/>
        <v>0</v>
      </c>
      <c r="K15" s="1298">
        <f t="shared" si="5"/>
        <v>0</v>
      </c>
      <c r="L15" s="1298">
        <f t="shared" si="5"/>
        <v>0</v>
      </c>
      <c r="M15" s="1298">
        <f t="shared" si="5"/>
        <v>0</v>
      </c>
      <c r="N15" s="1298">
        <f t="shared" si="5"/>
        <v>0</v>
      </c>
      <c r="O15" s="1297">
        <f t="shared" si="1"/>
        <v>0</v>
      </c>
    </row>
    <row r="16" spans="1:15">
      <c r="A16" s="2384"/>
      <c r="B16" s="1099" t="s">
        <v>321</v>
      </c>
      <c r="C16" s="1298"/>
      <c r="D16" s="1298"/>
      <c r="E16" s="1298"/>
      <c r="F16" s="1298"/>
      <c r="G16" s="1298"/>
      <c r="H16" s="1298"/>
      <c r="I16" s="1298"/>
      <c r="J16" s="1298"/>
      <c r="K16" s="1298"/>
      <c r="L16" s="1298"/>
      <c r="M16" s="1298"/>
      <c r="N16" s="1298"/>
      <c r="O16" s="1297">
        <f t="shared" si="1"/>
        <v>0</v>
      </c>
    </row>
    <row r="17" spans="1:25">
      <c r="A17" s="2384"/>
      <c r="B17" s="1099" t="s">
        <v>349</v>
      </c>
      <c r="C17" s="1298">
        <f>C14-C15</f>
        <v>0</v>
      </c>
      <c r="D17" s="1298">
        <f t="shared" ref="D17:N17" si="6">D14-D15</f>
        <v>0</v>
      </c>
      <c r="E17" s="1298">
        <f t="shared" si="6"/>
        <v>0</v>
      </c>
      <c r="F17" s="1298">
        <f t="shared" si="6"/>
        <v>0</v>
      </c>
      <c r="G17" s="1298">
        <f t="shared" si="6"/>
        <v>0</v>
      </c>
      <c r="H17" s="1298">
        <f t="shared" si="6"/>
        <v>0</v>
      </c>
      <c r="I17" s="1298">
        <f t="shared" si="6"/>
        <v>0</v>
      </c>
      <c r="J17" s="1298">
        <f t="shared" si="6"/>
        <v>0</v>
      </c>
      <c r="K17" s="1298">
        <f t="shared" si="6"/>
        <v>0</v>
      </c>
      <c r="L17" s="1298">
        <f t="shared" si="6"/>
        <v>0</v>
      </c>
      <c r="M17" s="1298">
        <f t="shared" si="6"/>
        <v>0</v>
      </c>
      <c r="N17" s="1298">
        <f t="shared" si="6"/>
        <v>0</v>
      </c>
      <c r="O17" s="1297">
        <f t="shared" si="1"/>
        <v>0</v>
      </c>
    </row>
    <row r="18" spans="1:25">
      <c r="A18" s="2384"/>
      <c r="B18" s="1099" t="s">
        <v>350</v>
      </c>
      <c r="C18" s="1298"/>
      <c r="D18" s="1298"/>
      <c r="E18" s="1298"/>
      <c r="F18" s="1298"/>
      <c r="G18" s="1298"/>
      <c r="H18" s="1298"/>
      <c r="I18" s="1298"/>
      <c r="J18" s="1298"/>
      <c r="K18" s="1298"/>
      <c r="L18" s="1298"/>
      <c r="M18" s="1298"/>
      <c r="N18" s="1298"/>
      <c r="O18" s="1297">
        <f t="shared" si="1"/>
        <v>0</v>
      </c>
    </row>
    <row r="19" spans="1:25">
      <c r="A19" s="2385"/>
      <c r="B19" s="1099" t="s">
        <v>351</v>
      </c>
      <c r="C19" s="1298"/>
      <c r="D19" s="1298"/>
      <c r="E19" s="1298"/>
      <c r="F19" s="1298"/>
      <c r="G19" s="1298"/>
      <c r="H19" s="1298"/>
      <c r="I19" s="1298"/>
      <c r="J19" s="1298"/>
      <c r="K19" s="1298"/>
      <c r="L19" s="1298"/>
      <c r="M19" s="1298"/>
      <c r="N19" s="1298"/>
      <c r="O19" s="1297">
        <f t="shared" si="1"/>
        <v>0</v>
      </c>
    </row>
    <row r="20" spans="1:25" s="1101" customFormat="1" ht="12">
      <c r="A20" s="2383" t="s">
        <v>104</v>
      </c>
      <c r="B20" s="1100" t="s">
        <v>348</v>
      </c>
      <c r="C20" s="1297"/>
      <c r="D20" s="1297"/>
      <c r="E20" s="1297"/>
      <c r="F20" s="1297"/>
      <c r="G20" s="1297"/>
      <c r="H20" s="1297"/>
      <c r="I20" s="1297"/>
      <c r="J20" s="1297"/>
      <c r="K20" s="1297"/>
      <c r="L20" s="1297"/>
      <c r="M20" s="1297"/>
      <c r="N20" s="1297"/>
      <c r="O20" s="1297">
        <f>O21+O22+O23+O24</f>
        <v>0</v>
      </c>
    </row>
    <row r="21" spans="1:25">
      <c r="A21" s="2384"/>
      <c r="B21" s="1099" t="s">
        <v>307</v>
      </c>
      <c r="C21" s="1298">
        <f>C20*0.87</f>
        <v>0</v>
      </c>
      <c r="D21" s="1298">
        <f t="shared" ref="D21:N21" si="7">D20*0.87</f>
        <v>0</v>
      </c>
      <c r="E21" s="1298">
        <f t="shared" si="7"/>
        <v>0</v>
      </c>
      <c r="F21" s="1298">
        <f t="shared" si="7"/>
        <v>0</v>
      </c>
      <c r="G21" s="1298">
        <f t="shared" si="7"/>
        <v>0</v>
      </c>
      <c r="H21" s="1298">
        <f t="shared" si="7"/>
        <v>0</v>
      </c>
      <c r="I21" s="1298">
        <f t="shared" si="7"/>
        <v>0</v>
      </c>
      <c r="J21" s="1298">
        <f t="shared" si="7"/>
        <v>0</v>
      </c>
      <c r="K21" s="1298">
        <f t="shared" si="7"/>
        <v>0</v>
      </c>
      <c r="L21" s="1298">
        <f t="shared" si="7"/>
        <v>0</v>
      </c>
      <c r="M21" s="1298">
        <f t="shared" si="7"/>
        <v>0</v>
      </c>
      <c r="N21" s="1298">
        <f t="shared" si="7"/>
        <v>0</v>
      </c>
      <c r="O21" s="1297">
        <f t="shared" si="1"/>
        <v>0</v>
      </c>
    </row>
    <row r="22" spans="1:25">
      <c r="A22" s="2384"/>
      <c r="B22" s="1099" t="s">
        <v>321</v>
      </c>
      <c r="C22" s="1298"/>
      <c r="D22" s="1298"/>
      <c r="E22" s="1298"/>
      <c r="F22" s="1298"/>
      <c r="G22" s="1298"/>
      <c r="H22" s="1298"/>
      <c r="I22" s="1298"/>
      <c r="J22" s="1298"/>
      <c r="K22" s="1298"/>
      <c r="L22" s="1298"/>
      <c r="M22" s="1298"/>
      <c r="N22" s="1298"/>
      <c r="O22" s="1297">
        <f t="shared" si="1"/>
        <v>0</v>
      </c>
    </row>
    <row r="23" spans="1:25">
      <c r="A23" s="2384"/>
      <c r="B23" s="1099" t="s">
        <v>349</v>
      </c>
      <c r="C23" s="1298">
        <f>C20-C21</f>
        <v>0</v>
      </c>
      <c r="D23" s="1298">
        <f t="shared" ref="D23:N23" si="8">D20-D21</f>
        <v>0</v>
      </c>
      <c r="E23" s="1298">
        <f t="shared" si="8"/>
        <v>0</v>
      </c>
      <c r="F23" s="1298">
        <f t="shared" si="8"/>
        <v>0</v>
      </c>
      <c r="G23" s="1298">
        <f t="shared" si="8"/>
        <v>0</v>
      </c>
      <c r="H23" s="1298">
        <f t="shared" si="8"/>
        <v>0</v>
      </c>
      <c r="I23" s="1298">
        <f t="shared" si="8"/>
        <v>0</v>
      </c>
      <c r="J23" s="1298">
        <f t="shared" si="8"/>
        <v>0</v>
      </c>
      <c r="K23" s="1298">
        <f t="shared" si="8"/>
        <v>0</v>
      </c>
      <c r="L23" s="1298">
        <f t="shared" si="8"/>
        <v>0</v>
      </c>
      <c r="M23" s="1298">
        <f t="shared" si="8"/>
        <v>0</v>
      </c>
      <c r="N23" s="1298">
        <f t="shared" si="8"/>
        <v>0</v>
      </c>
      <c r="O23" s="1297">
        <f t="shared" si="1"/>
        <v>0</v>
      </c>
    </row>
    <row r="24" spans="1:25">
      <c r="A24" s="2384"/>
      <c r="B24" s="1099" t="s">
        <v>350</v>
      </c>
      <c r="C24" s="1298">
        <v>0</v>
      </c>
      <c r="D24" s="1298">
        <v>0</v>
      </c>
      <c r="E24" s="1298">
        <v>0</v>
      </c>
      <c r="F24" s="1298">
        <v>0</v>
      </c>
      <c r="G24" s="1298">
        <v>0</v>
      </c>
      <c r="H24" s="1298">
        <v>0</v>
      </c>
      <c r="I24" s="1298">
        <v>0</v>
      </c>
      <c r="J24" s="1298">
        <v>0</v>
      </c>
      <c r="K24" s="1298">
        <v>0</v>
      </c>
      <c r="L24" s="1298">
        <v>0</v>
      </c>
      <c r="M24" s="1298">
        <v>0</v>
      </c>
      <c r="N24" s="1298">
        <v>0</v>
      </c>
      <c r="O24" s="1297">
        <f t="shared" si="1"/>
        <v>0</v>
      </c>
    </row>
    <row r="25" spans="1:25">
      <c r="A25" s="2385"/>
      <c r="B25" s="1099" t="s">
        <v>351</v>
      </c>
      <c r="C25" s="1298">
        <v>0</v>
      </c>
      <c r="D25" s="1298">
        <v>0</v>
      </c>
      <c r="E25" s="1298">
        <v>0</v>
      </c>
      <c r="F25" s="1298">
        <v>0</v>
      </c>
      <c r="G25" s="1298">
        <v>0</v>
      </c>
      <c r="H25" s="1298">
        <v>0</v>
      </c>
      <c r="I25" s="1298">
        <v>0</v>
      </c>
      <c r="J25" s="1298">
        <v>0</v>
      </c>
      <c r="K25" s="1298">
        <v>0</v>
      </c>
      <c r="L25" s="1298">
        <v>0</v>
      </c>
      <c r="M25" s="1298">
        <v>0</v>
      </c>
      <c r="N25" s="1298">
        <v>0</v>
      </c>
      <c r="O25" s="1297">
        <f t="shared" si="1"/>
        <v>0</v>
      </c>
    </row>
    <row r="26" spans="1:25" s="1101" customFormat="1" ht="12">
      <c r="A26" s="2386" t="s">
        <v>515</v>
      </c>
      <c r="B26" s="1100" t="s">
        <v>348</v>
      </c>
      <c r="C26" s="1297">
        <f>SUM(C27:C31)</f>
        <v>0</v>
      </c>
      <c r="D26" s="1297">
        <f t="shared" ref="D26:N26" si="9">SUM(D27:D31)</f>
        <v>0</v>
      </c>
      <c r="E26" s="1297">
        <f t="shared" si="9"/>
        <v>0</v>
      </c>
      <c r="F26" s="1297">
        <f t="shared" si="9"/>
        <v>0</v>
      </c>
      <c r="G26" s="1297">
        <f t="shared" si="9"/>
        <v>0</v>
      </c>
      <c r="H26" s="1297">
        <f t="shared" si="9"/>
        <v>0</v>
      </c>
      <c r="I26" s="1297">
        <f t="shared" si="9"/>
        <v>0</v>
      </c>
      <c r="J26" s="1297">
        <f t="shared" si="9"/>
        <v>0</v>
      </c>
      <c r="K26" s="1297">
        <f t="shared" si="9"/>
        <v>0</v>
      </c>
      <c r="L26" s="1297">
        <f t="shared" si="9"/>
        <v>0</v>
      </c>
      <c r="M26" s="1297">
        <f t="shared" si="9"/>
        <v>0</v>
      </c>
      <c r="N26" s="1297">
        <f t="shared" si="9"/>
        <v>0</v>
      </c>
      <c r="O26" s="1297">
        <f>O27+O28+O29+O30</f>
        <v>0</v>
      </c>
    </row>
    <row r="27" spans="1:25">
      <c r="A27" s="2387"/>
      <c r="B27" s="1099" t="s">
        <v>307</v>
      </c>
      <c r="C27" s="1298">
        <v>0</v>
      </c>
      <c r="D27" s="1298">
        <v>0</v>
      </c>
      <c r="E27" s="1298">
        <v>0</v>
      </c>
      <c r="F27" s="1298">
        <v>0</v>
      </c>
      <c r="G27" s="1298">
        <v>0</v>
      </c>
      <c r="H27" s="1298">
        <v>0</v>
      </c>
      <c r="I27" s="1298">
        <v>0</v>
      </c>
      <c r="J27" s="1298">
        <v>0</v>
      </c>
      <c r="K27" s="1298">
        <v>0</v>
      </c>
      <c r="L27" s="1298">
        <v>0</v>
      </c>
      <c r="M27" s="1298">
        <v>0</v>
      </c>
      <c r="N27" s="1298">
        <v>0</v>
      </c>
      <c r="O27" s="1297">
        <f>SUM(C27:N27)</f>
        <v>0</v>
      </c>
      <c r="Q27" s="1098">
        <v>1000</v>
      </c>
    </row>
    <row r="28" spans="1:25">
      <c r="A28" s="2387"/>
      <c r="B28" s="1099" t="s">
        <v>321</v>
      </c>
      <c r="C28" s="1298"/>
      <c r="D28" s="1298"/>
      <c r="E28" s="1298"/>
      <c r="F28" s="1298"/>
      <c r="G28" s="1298"/>
      <c r="H28" s="1298"/>
      <c r="I28" s="1298"/>
      <c r="J28" s="1298"/>
      <c r="K28" s="1298"/>
      <c r="L28" s="1298"/>
      <c r="M28" s="1298"/>
      <c r="N28" s="1298"/>
      <c r="O28" s="1297">
        <f>SUM(C28:N28)</f>
        <v>0</v>
      </c>
    </row>
    <row r="29" spans="1:25">
      <c r="A29" s="2387"/>
      <c r="B29" s="1099" t="s">
        <v>349</v>
      </c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7">
        <f>SUM(C29:N29)</f>
        <v>0</v>
      </c>
    </row>
    <row r="30" spans="1:25">
      <c r="A30" s="2387"/>
      <c r="B30" s="1099" t="s">
        <v>350</v>
      </c>
      <c r="C30" s="1298">
        <v>0</v>
      </c>
      <c r="D30" s="1298">
        <v>0</v>
      </c>
      <c r="E30" s="1298">
        <v>0</v>
      </c>
      <c r="F30" s="1298">
        <v>0</v>
      </c>
      <c r="G30" s="1298">
        <v>0</v>
      </c>
      <c r="H30" s="1298">
        <v>0</v>
      </c>
      <c r="I30" s="1298">
        <v>0</v>
      </c>
      <c r="J30" s="1298">
        <v>0</v>
      </c>
      <c r="K30" s="1298">
        <v>0</v>
      </c>
      <c r="L30" s="1298">
        <v>0</v>
      </c>
      <c r="M30" s="1298">
        <v>0</v>
      </c>
      <c r="N30" s="1298">
        <v>0</v>
      </c>
      <c r="O30" s="1297">
        <f>SUM(C30:N30)</f>
        <v>0</v>
      </c>
      <c r="Y30" s="1668"/>
    </row>
    <row r="31" spans="1:25">
      <c r="A31" s="2388"/>
      <c r="B31" s="1099" t="s">
        <v>351</v>
      </c>
      <c r="C31" s="1298">
        <v>0</v>
      </c>
      <c r="D31" s="1298">
        <v>0</v>
      </c>
      <c r="E31" s="1298">
        <v>0</v>
      </c>
      <c r="F31" s="1298">
        <v>0</v>
      </c>
      <c r="G31" s="1298">
        <v>0</v>
      </c>
      <c r="H31" s="1298">
        <v>0</v>
      </c>
      <c r="I31" s="1298">
        <v>0</v>
      </c>
      <c r="J31" s="1298">
        <v>0</v>
      </c>
      <c r="K31" s="1298">
        <v>0</v>
      </c>
      <c r="L31" s="1298">
        <v>0</v>
      </c>
      <c r="M31" s="1298">
        <v>0</v>
      </c>
      <c r="N31" s="1298">
        <v>0</v>
      </c>
      <c r="O31" s="1297">
        <f t="shared" si="1"/>
        <v>0</v>
      </c>
    </row>
    <row r="32" spans="1:25" s="1101" customFormat="1" ht="12">
      <c r="A32" s="2383" t="s">
        <v>486</v>
      </c>
      <c r="B32" s="1100" t="s">
        <v>348</v>
      </c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>
        <f>O33+O34+O35+O36</f>
        <v>0</v>
      </c>
    </row>
    <row r="33" spans="1:15">
      <c r="A33" s="2384"/>
      <c r="B33" s="1099" t="s">
        <v>307</v>
      </c>
      <c r="C33" s="1298">
        <f>C32-C35</f>
        <v>0</v>
      </c>
      <c r="D33" s="1298">
        <f t="shared" ref="D33:N33" si="10">D32-D35</f>
        <v>0</v>
      </c>
      <c r="E33" s="1298">
        <f t="shared" si="10"/>
        <v>0</v>
      </c>
      <c r="F33" s="1298">
        <f t="shared" si="10"/>
        <v>0</v>
      </c>
      <c r="G33" s="1298">
        <f t="shared" si="10"/>
        <v>0</v>
      </c>
      <c r="H33" s="1298">
        <f t="shared" si="10"/>
        <v>0</v>
      </c>
      <c r="I33" s="1298">
        <f t="shared" si="10"/>
        <v>0</v>
      </c>
      <c r="J33" s="1298">
        <f t="shared" si="10"/>
        <v>0</v>
      </c>
      <c r="K33" s="1298">
        <f t="shared" si="10"/>
        <v>0</v>
      </c>
      <c r="L33" s="1298">
        <f t="shared" si="10"/>
        <v>0</v>
      </c>
      <c r="M33" s="1298">
        <f t="shared" si="10"/>
        <v>0</v>
      </c>
      <c r="N33" s="1298">
        <f t="shared" si="10"/>
        <v>0</v>
      </c>
      <c r="O33" s="1297">
        <f t="shared" ref="O33:O59" si="11">SUM(C33:N33)</f>
        <v>0</v>
      </c>
    </row>
    <row r="34" spans="1:15">
      <c r="A34" s="2384"/>
      <c r="B34" s="1099" t="s">
        <v>321</v>
      </c>
      <c r="C34" s="1298"/>
      <c r="D34" s="1298"/>
      <c r="E34" s="1298"/>
      <c r="F34" s="1298"/>
      <c r="G34" s="1298"/>
      <c r="H34" s="1298"/>
      <c r="I34" s="1298"/>
      <c r="J34" s="1298"/>
      <c r="K34" s="1298"/>
      <c r="L34" s="1298"/>
      <c r="M34" s="1298"/>
      <c r="N34" s="1298"/>
      <c r="O34" s="1297">
        <f t="shared" si="11"/>
        <v>0</v>
      </c>
    </row>
    <row r="35" spans="1:15">
      <c r="A35" s="2384"/>
      <c r="B35" s="1099" t="s">
        <v>349</v>
      </c>
      <c r="C35" s="1298">
        <f>C32*0.05</f>
        <v>0</v>
      </c>
      <c r="D35" s="1298">
        <f t="shared" ref="D35:M35" si="12">D32*0.05</f>
        <v>0</v>
      </c>
      <c r="E35" s="1298">
        <f t="shared" si="12"/>
        <v>0</v>
      </c>
      <c r="F35" s="1298">
        <f t="shared" si="12"/>
        <v>0</v>
      </c>
      <c r="G35" s="1298">
        <f t="shared" si="12"/>
        <v>0</v>
      </c>
      <c r="H35" s="1298">
        <f t="shared" si="12"/>
        <v>0</v>
      </c>
      <c r="I35" s="1298">
        <f t="shared" si="12"/>
        <v>0</v>
      </c>
      <c r="J35" s="1298">
        <f t="shared" si="12"/>
        <v>0</v>
      </c>
      <c r="K35" s="1298">
        <f t="shared" si="12"/>
        <v>0</v>
      </c>
      <c r="L35" s="1298">
        <f t="shared" si="12"/>
        <v>0</v>
      </c>
      <c r="M35" s="1298">
        <f t="shared" si="12"/>
        <v>0</v>
      </c>
      <c r="N35" s="1298">
        <f t="shared" ref="N35" si="13">N32*0.05</f>
        <v>0</v>
      </c>
      <c r="O35" s="1297">
        <f t="shared" si="11"/>
        <v>0</v>
      </c>
    </row>
    <row r="36" spans="1:15">
      <c r="A36" s="2384"/>
      <c r="B36" s="1099" t="s">
        <v>350</v>
      </c>
      <c r="C36" s="1298"/>
      <c r="D36" s="1298"/>
      <c r="E36" s="1298"/>
      <c r="F36" s="1298"/>
      <c r="G36" s="1298"/>
      <c r="H36" s="1298"/>
      <c r="I36" s="1298"/>
      <c r="J36" s="1298"/>
      <c r="K36" s="1298"/>
      <c r="L36" s="1298"/>
      <c r="M36" s="1298"/>
      <c r="N36" s="1298"/>
      <c r="O36" s="1297">
        <f t="shared" si="11"/>
        <v>0</v>
      </c>
    </row>
    <row r="37" spans="1:15">
      <c r="A37" s="2385"/>
      <c r="B37" s="1099" t="s">
        <v>351</v>
      </c>
      <c r="C37" s="1298"/>
      <c r="D37" s="1298"/>
      <c r="E37" s="1298"/>
      <c r="F37" s="1298"/>
      <c r="G37" s="1298"/>
      <c r="H37" s="1298"/>
      <c r="I37" s="1298"/>
      <c r="J37" s="1298"/>
      <c r="K37" s="1298"/>
      <c r="L37" s="1298"/>
      <c r="M37" s="1298"/>
      <c r="N37" s="1298"/>
      <c r="O37" s="1297">
        <f t="shared" si="11"/>
        <v>0</v>
      </c>
    </row>
    <row r="38" spans="1:15" s="1101" customFormat="1" ht="12">
      <c r="A38" s="2383" t="s">
        <v>101</v>
      </c>
      <c r="B38" s="1100" t="s">
        <v>348</v>
      </c>
      <c r="C38" s="1297"/>
      <c r="D38" s="1297"/>
      <c r="E38" s="1297"/>
      <c r="F38" s="1297"/>
      <c r="G38" s="1297"/>
      <c r="H38" s="1297"/>
      <c r="I38" s="1297"/>
      <c r="J38" s="1297"/>
      <c r="K38" s="1297"/>
      <c r="L38" s="1297"/>
      <c r="M38" s="1297"/>
      <c r="N38" s="1297"/>
      <c r="O38" s="1297">
        <f>O39+O40+O41+O42</f>
        <v>0</v>
      </c>
    </row>
    <row r="39" spans="1:15">
      <c r="A39" s="2384"/>
      <c r="B39" s="1099" t="s">
        <v>307</v>
      </c>
      <c r="C39" s="1298">
        <f>C38-C41</f>
        <v>0</v>
      </c>
      <c r="D39" s="1298">
        <f t="shared" ref="D39:N39" si="14">D38-D41</f>
        <v>0</v>
      </c>
      <c r="E39" s="1298">
        <f t="shared" si="14"/>
        <v>0</v>
      </c>
      <c r="F39" s="1298">
        <f t="shared" si="14"/>
        <v>0</v>
      </c>
      <c r="G39" s="1298">
        <f t="shared" si="14"/>
        <v>0</v>
      </c>
      <c r="H39" s="1298">
        <f t="shared" si="14"/>
        <v>0</v>
      </c>
      <c r="I39" s="1298">
        <f t="shared" si="14"/>
        <v>0</v>
      </c>
      <c r="J39" s="1298">
        <f t="shared" si="14"/>
        <v>0</v>
      </c>
      <c r="K39" s="1298">
        <f t="shared" si="14"/>
        <v>0</v>
      </c>
      <c r="L39" s="1298">
        <f t="shared" si="14"/>
        <v>0</v>
      </c>
      <c r="M39" s="1298">
        <f t="shared" si="14"/>
        <v>0</v>
      </c>
      <c r="N39" s="1298">
        <f t="shared" si="14"/>
        <v>0</v>
      </c>
      <c r="O39" s="1297">
        <f t="shared" si="11"/>
        <v>0</v>
      </c>
    </row>
    <row r="40" spans="1:15">
      <c r="A40" s="2384"/>
      <c r="B40" s="1099" t="s">
        <v>321</v>
      </c>
      <c r="C40" s="1298"/>
      <c r="D40" s="1298"/>
      <c r="E40" s="1298"/>
      <c r="F40" s="1298"/>
      <c r="G40" s="1298"/>
      <c r="H40" s="1298"/>
      <c r="I40" s="1298"/>
      <c r="J40" s="1298"/>
      <c r="K40" s="1298"/>
      <c r="L40" s="1298"/>
      <c r="M40" s="1298"/>
      <c r="N40" s="1298"/>
      <c r="O40" s="1297">
        <f t="shared" si="11"/>
        <v>0</v>
      </c>
    </row>
    <row r="41" spans="1:15">
      <c r="A41" s="2384"/>
      <c r="B41" s="1099" t="s">
        <v>349</v>
      </c>
      <c r="C41" s="1298">
        <f>C38*0.06</f>
        <v>0</v>
      </c>
      <c r="D41" s="1298">
        <f t="shared" ref="D41:N41" si="15">D38*0.06</f>
        <v>0</v>
      </c>
      <c r="E41" s="1298">
        <f t="shared" si="15"/>
        <v>0</v>
      </c>
      <c r="F41" s="1298">
        <f t="shared" si="15"/>
        <v>0</v>
      </c>
      <c r="G41" s="1298">
        <f t="shared" si="15"/>
        <v>0</v>
      </c>
      <c r="H41" s="1298">
        <f t="shared" si="15"/>
        <v>0</v>
      </c>
      <c r="I41" s="1298">
        <f t="shared" si="15"/>
        <v>0</v>
      </c>
      <c r="J41" s="1298">
        <f t="shared" si="15"/>
        <v>0</v>
      </c>
      <c r="K41" s="1298">
        <f t="shared" si="15"/>
        <v>0</v>
      </c>
      <c r="L41" s="1298">
        <f t="shared" si="15"/>
        <v>0</v>
      </c>
      <c r="M41" s="1298">
        <f t="shared" si="15"/>
        <v>0</v>
      </c>
      <c r="N41" s="1298">
        <f t="shared" si="15"/>
        <v>0</v>
      </c>
      <c r="O41" s="1297">
        <f t="shared" si="11"/>
        <v>0</v>
      </c>
    </row>
    <row r="42" spans="1:15">
      <c r="A42" s="2384"/>
      <c r="B42" s="1099" t="s">
        <v>350</v>
      </c>
      <c r="C42" s="1298"/>
      <c r="D42" s="1298"/>
      <c r="E42" s="1298"/>
      <c r="F42" s="1298"/>
      <c r="G42" s="1298"/>
      <c r="H42" s="1298"/>
      <c r="I42" s="1298"/>
      <c r="J42" s="1298"/>
      <c r="K42" s="1298"/>
      <c r="L42" s="1298"/>
      <c r="M42" s="1298"/>
      <c r="N42" s="1298"/>
      <c r="O42" s="1297">
        <f t="shared" si="11"/>
        <v>0</v>
      </c>
    </row>
    <row r="43" spans="1:15">
      <c r="A43" s="2385"/>
      <c r="B43" s="1099" t="s">
        <v>351</v>
      </c>
      <c r="C43" s="1298"/>
      <c r="D43" s="1298"/>
      <c r="E43" s="1298"/>
      <c r="F43" s="1298"/>
      <c r="G43" s="1298"/>
      <c r="H43" s="1298"/>
      <c r="I43" s="1298"/>
      <c r="J43" s="1298"/>
      <c r="K43" s="1298"/>
      <c r="L43" s="1298"/>
      <c r="M43" s="1298"/>
      <c r="N43" s="1298"/>
      <c r="O43" s="1297">
        <f t="shared" si="11"/>
        <v>0</v>
      </c>
    </row>
    <row r="44" spans="1:15" s="1101" customFormat="1" ht="12">
      <c r="A44" s="2383" t="s">
        <v>96</v>
      </c>
      <c r="B44" s="1100" t="s">
        <v>348</v>
      </c>
      <c r="C44" s="1297"/>
      <c r="D44" s="1297"/>
      <c r="E44" s="1297"/>
      <c r="F44" s="1297"/>
      <c r="G44" s="1297"/>
      <c r="H44" s="1297"/>
      <c r="I44" s="1297"/>
      <c r="J44" s="1297"/>
      <c r="K44" s="1297"/>
      <c r="L44" s="1297"/>
      <c r="M44" s="1297"/>
      <c r="N44" s="1297"/>
      <c r="O44" s="1297">
        <f>O45+O46+O47+O48</f>
        <v>0</v>
      </c>
    </row>
    <row r="45" spans="1:15">
      <c r="A45" s="2384"/>
      <c r="B45" s="1099" t="s">
        <v>307</v>
      </c>
      <c r="C45" s="1298">
        <f>C44*0.93</f>
        <v>0</v>
      </c>
      <c r="D45" s="1298">
        <f t="shared" ref="D45:N45" si="16">D44*0.93</f>
        <v>0</v>
      </c>
      <c r="E45" s="1298">
        <f t="shared" si="16"/>
        <v>0</v>
      </c>
      <c r="F45" s="1298">
        <f t="shared" si="16"/>
        <v>0</v>
      </c>
      <c r="G45" s="1298">
        <f t="shared" si="16"/>
        <v>0</v>
      </c>
      <c r="H45" s="1298">
        <f t="shared" si="16"/>
        <v>0</v>
      </c>
      <c r="I45" s="1298">
        <f t="shared" si="16"/>
        <v>0</v>
      </c>
      <c r="J45" s="1298">
        <f t="shared" si="16"/>
        <v>0</v>
      </c>
      <c r="K45" s="1298">
        <f t="shared" si="16"/>
        <v>0</v>
      </c>
      <c r="L45" s="1298">
        <f t="shared" si="16"/>
        <v>0</v>
      </c>
      <c r="M45" s="1298">
        <f t="shared" si="16"/>
        <v>0</v>
      </c>
      <c r="N45" s="1298">
        <f t="shared" si="16"/>
        <v>0</v>
      </c>
      <c r="O45" s="1297">
        <f t="shared" si="11"/>
        <v>0</v>
      </c>
    </row>
    <row r="46" spans="1:15">
      <c r="A46" s="2384"/>
      <c r="B46" s="1099" t="s">
        <v>321</v>
      </c>
      <c r="C46" s="1298"/>
      <c r="D46" s="1298"/>
      <c r="E46" s="1298"/>
      <c r="F46" s="1298"/>
      <c r="G46" s="1298"/>
      <c r="H46" s="1298"/>
      <c r="I46" s="1298"/>
      <c r="J46" s="1298"/>
      <c r="K46" s="1298"/>
      <c r="L46" s="1298"/>
      <c r="M46" s="1298"/>
      <c r="N46" s="1298"/>
      <c r="O46" s="1297">
        <f t="shared" si="11"/>
        <v>0</v>
      </c>
    </row>
    <row r="47" spans="1:15">
      <c r="A47" s="2384"/>
      <c r="B47" s="1099" t="s">
        <v>349</v>
      </c>
      <c r="C47" s="1298">
        <f>C44-C45</f>
        <v>0</v>
      </c>
      <c r="D47" s="1298">
        <f t="shared" ref="D47:N47" si="17">D44-D45</f>
        <v>0</v>
      </c>
      <c r="E47" s="1298">
        <f t="shared" si="17"/>
        <v>0</v>
      </c>
      <c r="F47" s="1298">
        <f t="shared" si="17"/>
        <v>0</v>
      </c>
      <c r="G47" s="1298">
        <f t="shared" si="17"/>
        <v>0</v>
      </c>
      <c r="H47" s="1298">
        <f t="shared" si="17"/>
        <v>0</v>
      </c>
      <c r="I47" s="1298">
        <f t="shared" si="17"/>
        <v>0</v>
      </c>
      <c r="J47" s="1298">
        <f t="shared" si="17"/>
        <v>0</v>
      </c>
      <c r="K47" s="1298">
        <f t="shared" si="17"/>
        <v>0</v>
      </c>
      <c r="L47" s="1298">
        <f t="shared" si="17"/>
        <v>0</v>
      </c>
      <c r="M47" s="1298">
        <f t="shared" si="17"/>
        <v>0</v>
      </c>
      <c r="N47" s="1298">
        <f t="shared" si="17"/>
        <v>0</v>
      </c>
      <c r="O47" s="1297">
        <f t="shared" si="11"/>
        <v>0</v>
      </c>
    </row>
    <row r="48" spans="1:15">
      <c r="A48" s="2384"/>
      <c r="B48" s="1099" t="s">
        <v>350</v>
      </c>
      <c r="C48" s="1298"/>
      <c r="D48" s="1298"/>
      <c r="E48" s="1298"/>
      <c r="F48" s="1298"/>
      <c r="G48" s="1298"/>
      <c r="H48" s="1298"/>
      <c r="I48" s="1298"/>
      <c r="J48" s="1298"/>
      <c r="K48" s="1298"/>
      <c r="L48" s="1298"/>
      <c r="M48" s="1298"/>
      <c r="N48" s="1298"/>
      <c r="O48" s="1297">
        <f t="shared" si="11"/>
        <v>0</v>
      </c>
    </row>
    <row r="49" spans="1:15">
      <c r="A49" s="2385"/>
      <c r="B49" s="1099" t="s">
        <v>351</v>
      </c>
      <c r="C49" s="1298"/>
      <c r="D49" s="1298"/>
      <c r="E49" s="1298"/>
      <c r="F49" s="1298"/>
      <c r="G49" s="1298"/>
      <c r="H49" s="1298"/>
      <c r="I49" s="1298"/>
      <c r="J49" s="1298"/>
      <c r="K49" s="1298"/>
      <c r="L49" s="1298"/>
      <c r="M49" s="1298"/>
      <c r="N49" s="1298"/>
      <c r="O49" s="1297">
        <f t="shared" si="11"/>
        <v>0</v>
      </c>
    </row>
    <row r="50" spans="1:15" s="1101" customFormat="1" ht="12">
      <c r="A50" s="2383" t="s">
        <v>583</v>
      </c>
      <c r="B50" s="1100" t="s">
        <v>348</v>
      </c>
      <c r="C50" s="2171"/>
      <c r="D50" s="2171"/>
      <c r="E50" s="2171"/>
      <c r="F50" s="2171"/>
      <c r="G50" s="2171"/>
      <c r="H50" s="2171"/>
      <c r="I50" s="2171"/>
      <c r="J50" s="2171"/>
      <c r="K50" s="2171"/>
      <c r="L50" s="2171"/>
      <c r="M50" s="2171"/>
      <c r="N50" s="2171"/>
      <c r="O50" s="2171">
        <f>O51+O52+O53+O54</f>
        <v>0</v>
      </c>
    </row>
    <row r="51" spans="1:15">
      <c r="A51" s="2384"/>
      <c r="B51" s="1099" t="s">
        <v>307</v>
      </c>
      <c r="C51" s="2172">
        <f>C50*0.89</f>
        <v>0</v>
      </c>
      <c r="D51" s="2172">
        <f t="shared" ref="D51:N51" si="18">D50*0.89</f>
        <v>0</v>
      </c>
      <c r="E51" s="2172">
        <f t="shared" si="18"/>
        <v>0</v>
      </c>
      <c r="F51" s="2172">
        <f t="shared" si="18"/>
        <v>0</v>
      </c>
      <c r="G51" s="2172">
        <f t="shared" si="18"/>
        <v>0</v>
      </c>
      <c r="H51" s="2172">
        <f t="shared" si="18"/>
        <v>0</v>
      </c>
      <c r="I51" s="2172">
        <f t="shared" si="18"/>
        <v>0</v>
      </c>
      <c r="J51" s="2172">
        <f t="shared" si="18"/>
        <v>0</v>
      </c>
      <c r="K51" s="2172">
        <f t="shared" si="18"/>
        <v>0</v>
      </c>
      <c r="L51" s="2172">
        <f t="shared" si="18"/>
        <v>0</v>
      </c>
      <c r="M51" s="2172">
        <f t="shared" si="18"/>
        <v>0</v>
      </c>
      <c r="N51" s="2172">
        <f t="shared" si="18"/>
        <v>0</v>
      </c>
      <c r="O51" s="2171">
        <f t="shared" si="11"/>
        <v>0</v>
      </c>
    </row>
    <row r="52" spans="1:15">
      <c r="A52" s="2384"/>
      <c r="B52" s="1099" t="s">
        <v>321</v>
      </c>
      <c r="C52" s="2172"/>
      <c r="D52" s="2172"/>
      <c r="E52" s="2172"/>
      <c r="F52" s="2172"/>
      <c r="G52" s="2172"/>
      <c r="H52" s="2172"/>
      <c r="I52" s="2172"/>
      <c r="J52" s="2172"/>
      <c r="K52" s="2172"/>
      <c r="L52" s="2172"/>
      <c r="M52" s="2172"/>
      <c r="N52" s="2172"/>
      <c r="O52" s="2171">
        <f t="shared" si="11"/>
        <v>0</v>
      </c>
    </row>
    <row r="53" spans="1:15">
      <c r="A53" s="2384"/>
      <c r="B53" s="1099" t="s">
        <v>349</v>
      </c>
      <c r="C53" s="2172">
        <f>C50-C51</f>
        <v>0</v>
      </c>
      <c r="D53" s="2172">
        <f t="shared" ref="D53:N53" si="19">D50-D51</f>
        <v>0</v>
      </c>
      <c r="E53" s="2172">
        <f t="shared" si="19"/>
        <v>0</v>
      </c>
      <c r="F53" s="2172">
        <f t="shared" si="19"/>
        <v>0</v>
      </c>
      <c r="G53" s="2172">
        <f t="shared" si="19"/>
        <v>0</v>
      </c>
      <c r="H53" s="2172">
        <f t="shared" si="19"/>
        <v>0</v>
      </c>
      <c r="I53" s="2172">
        <f t="shared" si="19"/>
        <v>0</v>
      </c>
      <c r="J53" s="2172">
        <f t="shared" si="19"/>
        <v>0</v>
      </c>
      <c r="K53" s="2172">
        <f t="shared" si="19"/>
        <v>0</v>
      </c>
      <c r="L53" s="2172">
        <f t="shared" si="19"/>
        <v>0</v>
      </c>
      <c r="M53" s="2172">
        <f t="shared" si="19"/>
        <v>0</v>
      </c>
      <c r="N53" s="2172">
        <f t="shared" si="19"/>
        <v>0</v>
      </c>
      <c r="O53" s="2171">
        <f t="shared" si="11"/>
        <v>0</v>
      </c>
    </row>
    <row r="54" spans="1:15">
      <c r="A54" s="2384"/>
      <c r="B54" s="1099" t="s">
        <v>350</v>
      </c>
      <c r="C54" s="2172"/>
      <c r="D54" s="2172"/>
      <c r="E54" s="2172"/>
      <c r="F54" s="2172"/>
      <c r="G54" s="2172"/>
      <c r="H54" s="2172"/>
      <c r="I54" s="2172"/>
      <c r="J54" s="2172"/>
      <c r="K54" s="2172"/>
      <c r="L54" s="2172"/>
      <c r="M54" s="2172"/>
      <c r="N54" s="2172"/>
      <c r="O54" s="2171">
        <f t="shared" si="11"/>
        <v>0</v>
      </c>
    </row>
    <row r="55" spans="1:15">
      <c r="A55" s="2385"/>
      <c r="B55" s="1099" t="s">
        <v>351</v>
      </c>
      <c r="C55" s="2172"/>
      <c r="D55" s="2172"/>
      <c r="E55" s="2172"/>
      <c r="F55" s="2172"/>
      <c r="G55" s="2172"/>
      <c r="H55" s="2172"/>
      <c r="I55" s="2172"/>
      <c r="J55" s="2172"/>
      <c r="K55" s="2172"/>
      <c r="L55" s="2172"/>
      <c r="M55" s="2172"/>
      <c r="N55" s="2172"/>
      <c r="O55" s="2171">
        <f t="shared" si="11"/>
        <v>0</v>
      </c>
    </row>
    <row r="56" spans="1:15" s="1101" customFormat="1" ht="12">
      <c r="A56" s="2383" t="s">
        <v>584</v>
      </c>
      <c r="B56" s="1100" t="s">
        <v>348</v>
      </c>
      <c r="C56" s="1297"/>
      <c r="D56" s="1297"/>
      <c r="E56" s="1297"/>
      <c r="F56" s="1297"/>
      <c r="G56" s="1297"/>
      <c r="H56" s="1297"/>
      <c r="I56" s="1297"/>
      <c r="J56" s="1297"/>
      <c r="K56" s="1297"/>
      <c r="L56" s="1297"/>
      <c r="M56" s="1297"/>
      <c r="N56" s="1297"/>
      <c r="O56" s="1297">
        <f>O57+O58+O59+O60</f>
        <v>0</v>
      </c>
    </row>
    <row r="57" spans="1:15">
      <c r="A57" s="2384"/>
      <c r="B57" s="1099" t="s">
        <v>307</v>
      </c>
      <c r="C57" s="1298">
        <f>C56*0.94</f>
        <v>0</v>
      </c>
      <c r="D57" s="1298">
        <f t="shared" ref="D57:N57" si="20">D56*0.94</f>
        <v>0</v>
      </c>
      <c r="E57" s="1298">
        <f t="shared" si="20"/>
        <v>0</v>
      </c>
      <c r="F57" s="1298">
        <f t="shared" si="20"/>
        <v>0</v>
      </c>
      <c r="G57" s="1298">
        <f t="shared" si="20"/>
        <v>0</v>
      </c>
      <c r="H57" s="1298">
        <f t="shared" si="20"/>
        <v>0</v>
      </c>
      <c r="I57" s="1298">
        <f t="shared" si="20"/>
        <v>0</v>
      </c>
      <c r="J57" s="1298">
        <f t="shared" si="20"/>
        <v>0</v>
      </c>
      <c r="K57" s="1298">
        <f t="shared" si="20"/>
        <v>0</v>
      </c>
      <c r="L57" s="1298">
        <f t="shared" si="20"/>
        <v>0</v>
      </c>
      <c r="M57" s="1298">
        <f t="shared" si="20"/>
        <v>0</v>
      </c>
      <c r="N57" s="1298">
        <f t="shared" si="20"/>
        <v>0</v>
      </c>
      <c r="O57" s="1297">
        <f t="shared" si="11"/>
        <v>0</v>
      </c>
    </row>
    <row r="58" spans="1:15">
      <c r="A58" s="2384"/>
      <c r="B58" s="1099" t="s">
        <v>321</v>
      </c>
      <c r="C58" s="1298"/>
      <c r="D58" s="1298"/>
      <c r="E58" s="1298"/>
      <c r="F58" s="1298"/>
      <c r="G58" s="1298"/>
      <c r="H58" s="1298"/>
      <c r="I58" s="1298"/>
      <c r="J58" s="1298"/>
      <c r="K58" s="1298"/>
      <c r="L58" s="1298"/>
      <c r="M58" s="1298"/>
      <c r="N58" s="1298"/>
      <c r="O58" s="1297">
        <f t="shared" si="11"/>
        <v>0</v>
      </c>
    </row>
    <row r="59" spans="1:15">
      <c r="A59" s="2384"/>
      <c r="B59" s="1099" t="s">
        <v>349</v>
      </c>
      <c r="C59" s="1298">
        <f>C56-C57</f>
        <v>0</v>
      </c>
      <c r="D59" s="1298">
        <f t="shared" ref="D59:N59" si="21">D56-D57</f>
        <v>0</v>
      </c>
      <c r="E59" s="1298">
        <f t="shared" si="21"/>
        <v>0</v>
      </c>
      <c r="F59" s="1298">
        <f t="shared" si="21"/>
        <v>0</v>
      </c>
      <c r="G59" s="1298">
        <f t="shared" si="21"/>
        <v>0</v>
      </c>
      <c r="H59" s="1298">
        <f t="shared" si="21"/>
        <v>0</v>
      </c>
      <c r="I59" s="1298">
        <f t="shared" si="21"/>
        <v>0</v>
      </c>
      <c r="J59" s="1298">
        <f t="shared" si="21"/>
        <v>0</v>
      </c>
      <c r="K59" s="1298">
        <f t="shared" si="21"/>
        <v>0</v>
      </c>
      <c r="L59" s="1298">
        <f t="shared" si="21"/>
        <v>0</v>
      </c>
      <c r="M59" s="1298">
        <f t="shared" si="21"/>
        <v>0</v>
      </c>
      <c r="N59" s="1298">
        <f t="shared" si="21"/>
        <v>0</v>
      </c>
      <c r="O59" s="1297">
        <f t="shared" si="11"/>
        <v>0</v>
      </c>
    </row>
    <row r="60" spans="1:15">
      <c r="A60" s="2384"/>
      <c r="B60" s="1099" t="s">
        <v>350</v>
      </c>
      <c r="C60" s="1298"/>
      <c r="D60" s="1298"/>
      <c r="E60" s="1298"/>
      <c r="F60" s="1298"/>
      <c r="G60" s="1298"/>
      <c r="H60" s="1298"/>
      <c r="I60" s="1298"/>
      <c r="J60" s="1298"/>
      <c r="K60" s="1298"/>
      <c r="L60" s="1298"/>
      <c r="M60" s="1298"/>
      <c r="N60" s="1298"/>
      <c r="O60" s="1297">
        <f t="shared" ref="O60:O85" si="22">SUM(C60:N60)</f>
        <v>0</v>
      </c>
    </row>
    <row r="61" spans="1:15">
      <c r="A61" s="2385"/>
      <c r="B61" s="1099" t="s">
        <v>351</v>
      </c>
      <c r="C61" s="1298"/>
      <c r="D61" s="1298"/>
      <c r="E61" s="1298"/>
      <c r="F61" s="1298"/>
      <c r="G61" s="1298"/>
      <c r="H61" s="1298"/>
      <c r="I61" s="1298"/>
      <c r="J61" s="1298"/>
      <c r="K61" s="1298"/>
      <c r="L61" s="1298"/>
      <c r="M61" s="1298"/>
      <c r="N61" s="1298"/>
      <c r="O61" s="1297">
        <f t="shared" si="22"/>
        <v>0</v>
      </c>
    </row>
    <row r="62" spans="1:15" s="1101" customFormat="1" ht="12">
      <c r="A62" s="2383" t="s">
        <v>561</v>
      </c>
      <c r="B62" s="1100" t="s">
        <v>348</v>
      </c>
      <c r="C62" s="1297"/>
      <c r="D62" s="1297"/>
      <c r="E62" s="1297"/>
      <c r="F62" s="1297"/>
      <c r="G62" s="1297"/>
      <c r="H62" s="1297"/>
      <c r="I62" s="1297"/>
      <c r="J62" s="1297"/>
      <c r="K62" s="1297"/>
      <c r="L62" s="1297"/>
      <c r="M62" s="1297"/>
      <c r="N62" s="1297"/>
      <c r="O62" s="1297">
        <f>O63+O64+O65+O66</f>
        <v>0</v>
      </c>
    </row>
    <row r="63" spans="1:15">
      <c r="A63" s="2384"/>
      <c r="B63" s="1099" t="s">
        <v>307</v>
      </c>
      <c r="C63" s="1298">
        <f>C62*0.92</f>
        <v>0</v>
      </c>
      <c r="D63" s="1298">
        <f t="shared" ref="D63:N63" si="23">D62*0.92</f>
        <v>0</v>
      </c>
      <c r="E63" s="1298">
        <f t="shared" si="23"/>
        <v>0</v>
      </c>
      <c r="F63" s="1298">
        <f t="shared" si="23"/>
        <v>0</v>
      </c>
      <c r="G63" s="1298">
        <f t="shared" si="23"/>
        <v>0</v>
      </c>
      <c r="H63" s="1298">
        <f t="shared" si="23"/>
        <v>0</v>
      </c>
      <c r="I63" s="1298">
        <f t="shared" si="23"/>
        <v>0</v>
      </c>
      <c r="J63" s="1298">
        <f t="shared" si="23"/>
        <v>0</v>
      </c>
      <c r="K63" s="1298">
        <f t="shared" si="23"/>
        <v>0</v>
      </c>
      <c r="L63" s="1298">
        <f t="shared" si="23"/>
        <v>0</v>
      </c>
      <c r="M63" s="1298">
        <f t="shared" si="23"/>
        <v>0</v>
      </c>
      <c r="N63" s="1298">
        <f t="shared" si="23"/>
        <v>0</v>
      </c>
      <c r="O63" s="1297">
        <f t="shared" si="22"/>
        <v>0</v>
      </c>
    </row>
    <row r="64" spans="1:15">
      <c r="A64" s="2384"/>
      <c r="B64" s="1099" t="s">
        <v>321</v>
      </c>
      <c r="C64" s="1298"/>
      <c r="D64" s="1298"/>
      <c r="E64" s="1298"/>
      <c r="F64" s="1298"/>
      <c r="G64" s="1298"/>
      <c r="H64" s="1298"/>
      <c r="I64" s="1298"/>
      <c r="J64" s="1298"/>
      <c r="K64" s="1298"/>
      <c r="L64" s="1298"/>
      <c r="M64" s="1298"/>
      <c r="N64" s="1298"/>
      <c r="O64" s="1297">
        <f t="shared" si="22"/>
        <v>0</v>
      </c>
    </row>
    <row r="65" spans="1:15">
      <c r="A65" s="2384"/>
      <c r="B65" s="1099" t="s">
        <v>349</v>
      </c>
      <c r="C65" s="1298">
        <f>C62-C63</f>
        <v>0</v>
      </c>
      <c r="D65" s="1298">
        <f t="shared" ref="D65:N65" si="24">D62-D63</f>
        <v>0</v>
      </c>
      <c r="E65" s="1298">
        <f t="shared" si="24"/>
        <v>0</v>
      </c>
      <c r="F65" s="1298">
        <f t="shared" si="24"/>
        <v>0</v>
      </c>
      <c r="G65" s="1298">
        <f t="shared" si="24"/>
        <v>0</v>
      </c>
      <c r="H65" s="1298">
        <f t="shared" si="24"/>
        <v>0</v>
      </c>
      <c r="I65" s="1298">
        <f t="shared" si="24"/>
        <v>0</v>
      </c>
      <c r="J65" s="1298">
        <f t="shared" si="24"/>
        <v>0</v>
      </c>
      <c r="K65" s="1298">
        <f t="shared" si="24"/>
        <v>0</v>
      </c>
      <c r="L65" s="1298">
        <f t="shared" si="24"/>
        <v>0</v>
      </c>
      <c r="M65" s="1298">
        <f t="shared" si="24"/>
        <v>0</v>
      </c>
      <c r="N65" s="1298">
        <f t="shared" si="24"/>
        <v>0</v>
      </c>
      <c r="O65" s="1297">
        <f t="shared" si="22"/>
        <v>0</v>
      </c>
    </row>
    <row r="66" spans="1:15">
      <c r="A66" s="2384"/>
      <c r="B66" s="1099" t="s">
        <v>350</v>
      </c>
      <c r="C66" s="1298"/>
      <c r="D66" s="1298"/>
      <c r="E66" s="1298"/>
      <c r="F66" s="1298"/>
      <c r="G66" s="1298"/>
      <c r="H66" s="1298"/>
      <c r="I66" s="1298"/>
      <c r="J66" s="1298"/>
      <c r="K66" s="1298"/>
      <c r="L66" s="1298"/>
      <c r="M66" s="1298"/>
      <c r="N66" s="1298"/>
      <c r="O66" s="1297">
        <f t="shared" si="22"/>
        <v>0</v>
      </c>
    </row>
    <row r="67" spans="1:15">
      <c r="A67" s="2385"/>
      <c r="B67" s="1099" t="s">
        <v>351</v>
      </c>
      <c r="C67" s="1298"/>
      <c r="D67" s="1298"/>
      <c r="E67" s="1298"/>
      <c r="F67" s="1298"/>
      <c r="G67" s="1298"/>
      <c r="H67" s="1298"/>
      <c r="I67" s="1298"/>
      <c r="J67" s="1298"/>
      <c r="K67" s="1298"/>
      <c r="L67" s="1298"/>
      <c r="M67" s="1298"/>
      <c r="N67" s="1298"/>
      <c r="O67" s="1297">
        <f t="shared" si="22"/>
        <v>0</v>
      </c>
    </row>
    <row r="68" spans="1:15" s="1101" customFormat="1" ht="12">
      <c r="A68" s="2383" t="s">
        <v>488</v>
      </c>
      <c r="B68" s="1100" t="s">
        <v>348</v>
      </c>
      <c r="C68" s="1297"/>
      <c r="D68" s="1297"/>
      <c r="E68" s="1297"/>
      <c r="F68" s="1297"/>
      <c r="G68" s="1297"/>
      <c r="H68" s="1297"/>
      <c r="I68" s="1297"/>
      <c r="J68" s="1297"/>
      <c r="K68" s="1297"/>
      <c r="L68" s="1297"/>
      <c r="M68" s="1297"/>
      <c r="N68" s="1297"/>
      <c r="O68" s="1297">
        <f>O69+O70+O71+O72</f>
        <v>0</v>
      </c>
    </row>
    <row r="69" spans="1:15">
      <c r="A69" s="2384"/>
      <c r="B69" s="1099" t="s">
        <v>307</v>
      </c>
      <c r="C69" s="1298">
        <f>C68-C71</f>
        <v>0</v>
      </c>
      <c r="D69" s="1298">
        <f t="shared" ref="D69:N69" si="25">D68-D71</f>
        <v>0</v>
      </c>
      <c r="E69" s="1298">
        <f t="shared" si="25"/>
        <v>0</v>
      </c>
      <c r="F69" s="1298">
        <f t="shared" si="25"/>
        <v>0</v>
      </c>
      <c r="G69" s="1298">
        <f t="shared" si="25"/>
        <v>0</v>
      </c>
      <c r="H69" s="1298">
        <f t="shared" si="25"/>
        <v>0</v>
      </c>
      <c r="I69" s="1298">
        <f t="shared" si="25"/>
        <v>0</v>
      </c>
      <c r="J69" s="1298">
        <f t="shared" si="25"/>
        <v>0</v>
      </c>
      <c r="K69" s="1298">
        <f t="shared" si="25"/>
        <v>0</v>
      </c>
      <c r="L69" s="1298">
        <f t="shared" si="25"/>
        <v>0</v>
      </c>
      <c r="M69" s="1298">
        <f t="shared" si="25"/>
        <v>0</v>
      </c>
      <c r="N69" s="1298">
        <f t="shared" si="25"/>
        <v>0</v>
      </c>
      <c r="O69" s="1297">
        <f t="shared" si="22"/>
        <v>0</v>
      </c>
    </row>
    <row r="70" spans="1:15">
      <c r="A70" s="2384"/>
      <c r="B70" s="1099" t="s">
        <v>321</v>
      </c>
      <c r="C70" s="1298"/>
      <c r="D70" s="1298"/>
      <c r="E70" s="1298"/>
      <c r="F70" s="1298"/>
      <c r="G70" s="1298"/>
      <c r="H70" s="1298"/>
      <c r="I70" s="1298"/>
      <c r="J70" s="1298"/>
      <c r="K70" s="1298"/>
      <c r="L70" s="1298"/>
      <c r="M70" s="1298"/>
      <c r="N70" s="1298"/>
      <c r="O70" s="1297">
        <f t="shared" si="22"/>
        <v>0</v>
      </c>
    </row>
    <row r="71" spans="1:15">
      <c r="A71" s="2384"/>
      <c r="B71" s="1099" t="s">
        <v>349</v>
      </c>
      <c r="C71" s="1298">
        <f>C68*0.08</f>
        <v>0</v>
      </c>
      <c r="D71" s="1298">
        <f t="shared" ref="D71:N71" si="26">D68*0.08</f>
        <v>0</v>
      </c>
      <c r="E71" s="1298">
        <f t="shared" si="26"/>
        <v>0</v>
      </c>
      <c r="F71" s="1298">
        <f t="shared" si="26"/>
        <v>0</v>
      </c>
      <c r="G71" s="1298">
        <f t="shared" si="26"/>
        <v>0</v>
      </c>
      <c r="H71" s="1298">
        <f t="shared" si="26"/>
        <v>0</v>
      </c>
      <c r="I71" s="1298">
        <f t="shared" si="26"/>
        <v>0</v>
      </c>
      <c r="J71" s="1298">
        <f t="shared" si="26"/>
        <v>0</v>
      </c>
      <c r="K71" s="1298">
        <f t="shared" si="26"/>
        <v>0</v>
      </c>
      <c r="L71" s="1298">
        <f t="shared" si="26"/>
        <v>0</v>
      </c>
      <c r="M71" s="1298">
        <f t="shared" si="26"/>
        <v>0</v>
      </c>
      <c r="N71" s="1298">
        <f t="shared" si="26"/>
        <v>0</v>
      </c>
      <c r="O71" s="1297">
        <f t="shared" si="22"/>
        <v>0</v>
      </c>
    </row>
    <row r="72" spans="1:15">
      <c r="A72" s="2384"/>
      <c r="B72" s="1099" t="s">
        <v>350</v>
      </c>
      <c r="C72" s="1298"/>
      <c r="D72" s="1298"/>
      <c r="E72" s="1298"/>
      <c r="F72" s="1298"/>
      <c r="G72" s="1298"/>
      <c r="H72" s="1298"/>
      <c r="I72" s="1298"/>
      <c r="J72" s="1298"/>
      <c r="K72" s="1298"/>
      <c r="L72" s="1298"/>
      <c r="M72" s="1298"/>
      <c r="N72" s="1298"/>
      <c r="O72" s="1297">
        <f t="shared" si="22"/>
        <v>0</v>
      </c>
    </row>
    <row r="73" spans="1:15">
      <c r="A73" s="2385"/>
      <c r="B73" s="1099" t="s">
        <v>351</v>
      </c>
      <c r="C73" s="1298"/>
      <c r="D73" s="1298"/>
      <c r="E73" s="1298"/>
      <c r="F73" s="1298"/>
      <c r="G73" s="1298"/>
      <c r="H73" s="1298"/>
      <c r="I73" s="1298"/>
      <c r="J73" s="1298"/>
      <c r="K73" s="1298"/>
      <c r="L73" s="1298"/>
      <c r="M73" s="1298"/>
      <c r="N73" s="1298"/>
      <c r="O73" s="1297">
        <f t="shared" si="22"/>
        <v>0</v>
      </c>
    </row>
    <row r="74" spans="1:15" s="1101" customFormat="1" ht="12">
      <c r="A74" s="2383" t="s">
        <v>102</v>
      </c>
      <c r="B74" s="1100" t="s">
        <v>348</v>
      </c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>
        <f>O75+O76+O77+O78</f>
        <v>0</v>
      </c>
    </row>
    <row r="75" spans="1:15">
      <c r="A75" s="2384"/>
      <c r="B75" s="1099" t="s">
        <v>307</v>
      </c>
      <c r="C75" s="1298">
        <f>C74-C77</f>
        <v>0</v>
      </c>
      <c r="D75" s="1298">
        <f t="shared" ref="D75:N75" si="27">D74-D77</f>
        <v>0</v>
      </c>
      <c r="E75" s="1298">
        <f t="shared" si="27"/>
        <v>0</v>
      </c>
      <c r="F75" s="1298">
        <f t="shared" si="27"/>
        <v>0</v>
      </c>
      <c r="G75" s="1298">
        <f t="shared" si="27"/>
        <v>0</v>
      </c>
      <c r="H75" s="1298">
        <f t="shared" si="27"/>
        <v>0</v>
      </c>
      <c r="I75" s="1298">
        <f t="shared" si="27"/>
        <v>0</v>
      </c>
      <c r="J75" s="1298">
        <f t="shared" si="27"/>
        <v>0</v>
      </c>
      <c r="K75" s="1298">
        <f t="shared" si="27"/>
        <v>0</v>
      </c>
      <c r="L75" s="1298">
        <f t="shared" si="27"/>
        <v>0</v>
      </c>
      <c r="M75" s="1298">
        <f t="shared" si="27"/>
        <v>0</v>
      </c>
      <c r="N75" s="1298">
        <f t="shared" si="27"/>
        <v>0</v>
      </c>
      <c r="O75" s="1297">
        <f t="shared" si="22"/>
        <v>0</v>
      </c>
    </row>
    <row r="76" spans="1:15">
      <c r="A76" s="2384"/>
      <c r="B76" s="1099" t="s">
        <v>321</v>
      </c>
      <c r="C76" s="1298"/>
      <c r="D76" s="1298"/>
      <c r="E76" s="1298"/>
      <c r="F76" s="1298"/>
      <c r="G76" s="1298"/>
      <c r="H76" s="1298"/>
      <c r="I76" s="1298"/>
      <c r="J76" s="1298"/>
      <c r="K76" s="1298"/>
      <c r="L76" s="1298"/>
      <c r="M76" s="1298"/>
      <c r="N76" s="1298"/>
      <c r="O76" s="1297">
        <f t="shared" si="22"/>
        <v>0</v>
      </c>
    </row>
    <row r="77" spans="1:15">
      <c r="A77" s="2384"/>
      <c r="B77" s="1099" t="s">
        <v>349</v>
      </c>
      <c r="C77" s="1298">
        <f>C74*0.07</f>
        <v>0</v>
      </c>
      <c r="D77" s="1298">
        <f t="shared" ref="D77:N77" si="28">D74*0.07</f>
        <v>0</v>
      </c>
      <c r="E77" s="1298">
        <f t="shared" si="28"/>
        <v>0</v>
      </c>
      <c r="F77" s="1298">
        <f t="shared" si="28"/>
        <v>0</v>
      </c>
      <c r="G77" s="1298">
        <f t="shared" si="28"/>
        <v>0</v>
      </c>
      <c r="H77" s="1298">
        <f t="shared" si="28"/>
        <v>0</v>
      </c>
      <c r="I77" s="1298">
        <f t="shared" si="28"/>
        <v>0</v>
      </c>
      <c r="J77" s="1298">
        <f t="shared" si="28"/>
        <v>0</v>
      </c>
      <c r="K77" s="1298">
        <f t="shared" si="28"/>
        <v>0</v>
      </c>
      <c r="L77" s="1298">
        <f t="shared" si="28"/>
        <v>0</v>
      </c>
      <c r="M77" s="1298">
        <f t="shared" si="28"/>
        <v>0</v>
      </c>
      <c r="N77" s="1298">
        <f t="shared" si="28"/>
        <v>0</v>
      </c>
      <c r="O77" s="1297">
        <f t="shared" si="22"/>
        <v>0</v>
      </c>
    </row>
    <row r="78" spans="1:15">
      <c r="A78" s="2384"/>
      <c r="B78" s="1099" t="s">
        <v>350</v>
      </c>
      <c r="C78" s="1298"/>
      <c r="D78" s="1298"/>
      <c r="E78" s="1298"/>
      <c r="F78" s="1298"/>
      <c r="G78" s="1298"/>
      <c r="H78" s="1298"/>
      <c r="I78" s="1298"/>
      <c r="J78" s="1298"/>
      <c r="K78" s="1298"/>
      <c r="L78" s="1298"/>
      <c r="M78" s="1298"/>
      <c r="N78" s="1298"/>
      <c r="O78" s="1297">
        <f t="shared" si="22"/>
        <v>0</v>
      </c>
    </row>
    <row r="79" spans="1:15">
      <c r="A79" s="2385"/>
      <c r="B79" s="1099" t="s">
        <v>351</v>
      </c>
      <c r="C79" s="1298"/>
      <c r="D79" s="1298"/>
      <c r="E79" s="1298"/>
      <c r="F79" s="1298"/>
      <c r="G79" s="1298"/>
      <c r="H79" s="1298"/>
      <c r="I79" s="1298"/>
      <c r="J79" s="1298"/>
      <c r="K79" s="1298"/>
      <c r="L79" s="1298"/>
      <c r="M79" s="1298"/>
      <c r="N79" s="1298"/>
      <c r="O79" s="1297">
        <f t="shared" si="22"/>
        <v>0</v>
      </c>
    </row>
    <row r="80" spans="1:15" s="1101" customFormat="1" ht="12">
      <c r="A80" s="2383" t="s">
        <v>559</v>
      </c>
      <c r="B80" s="1100" t="s">
        <v>348</v>
      </c>
      <c r="C80" s="1297"/>
      <c r="D80" s="1297"/>
      <c r="E80" s="1297"/>
      <c r="F80" s="1297"/>
      <c r="G80" s="1297"/>
      <c r="H80" s="1297"/>
      <c r="I80" s="1297"/>
      <c r="J80" s="1297"/>
      <c r="K80" s="1297"/>
      <c r="L80" s="1297"/>
      <c r="M80" s="1297"/>
      <c r="N80" s="1297"/>
      <c r="O80" s="1297">
        <f>O81+O82+O83+O84</f>
        <v>0</v>
      </c>
    </row>
    <row r="81" spans="1:15">
      <c r="A81" s="2384"/>
      <c r="B81" s="1099" t="s">
        <v>307</v>
      </c>
      <c r="C81" s="1298">
        <f>C80*0.94</f>
        <v>0</v>
      </c>
      <c r="D81" s="1298">
        <f t="shared" ref="D81:N81" si="29">D80*0.94</f>
        <v>0</v>
      </c>
      <c r="E81" s="1298">
        <f t="shared" si="29"/>
        <v>0</v>
      </c>
      <c r="F81" s="1298">
        <f t="shared" si="29"/>
        <v>0</v>
      </c>
      <c r="G81" s="1298">
        <f t="shared" si="29"/>
        <v>0</v>
      </c>
      <c r="H81" s="1298">
        <f t="shared" si="29"/>
        <v>0</v>
      </c>
      <c r="I81" s="1298">
        <f t="shared" si="29"/>
        <v>0</v>
      </c>
      <c r="J81" s="1298">
        <f t="shared" si="29"/>
        <v>0</v>
      </c>
      <c r="K81" s="1298">
        <f t="shared" si="29"/>
        <v>0</v>
      </c>
      <c r="L81" s="1298">
        <f t="shared" si="29"/>
        <v>0</v>
      </c>
      <c r="M81" s="1298">
        <f t="shared" si="29"/>
        <v>0</v>
      </c>
      <c r="N81" s="1298">
        <f t="shared" si="29"/>
        <v>0</v>
      </c>
      <c r="O81" s="1297">
        <f t="shared" si="22"/>
        <v>0</v>
      </c>
    </row>
    <row r="82" spans="1:15">
      <c r="A82" s="2384"/>
      <c r="B82" s="1099" t="s">
        <v>321</v>
      </c>
      <c r="C82" s="1298"/>
      <c r="D82" s="1298"/>
      <c r="E82" s="1298"/>
      <c r="F82" s="1298"/>
      <c r="G82" s="1298"/>
      <c r="H82" s="1298"/>
      <c r="I82" s="1298"/>
      <c r="J82" s="1298"/>
      <c r="K82" s="1298"/>
      <c r="L82" s="1298"/>
      <c r="M82" s="1298"/>
      <c r="N82" s="1298"/>
      <c r="O82" s="1297">
        <f t="shared" si="22"/>
        <v>0</v>
      </c>
    </row>
    <row r="83" spans="1:15">
      <c r="A83" s="2384"/>
      <c r="B83" s="1099" t="s">
        <v>349</v>
      </c>
      <c r="C83" s="1298">
        <f>C80-C81</f>
        <v>0</v>
      </c>
      <c r="D83" s="1298">
        <f t="shared" ref="D83:N83" si="30">D80-D81</f>
        <v>0</v>
      </c>
      <c r="E83" s="1298">
        <f t="shared" si="30"/>
        <v>0</v>
      </c>
      <c r="F83" s="1298">
        <f t="shared" si="30"/>
        <v>0</v>
      </c>
      <c r="G83" s="1298">
        <f t="shared" si="30"/>
        <v>0</v>
      </c>
      <c r="H83" s="1298">
        <f t="shared" si="30"/>
        <v>0</v>
      </c>
      <c r="I83" s="1298">
        <f t="shared" si="30"/>
        <v>0</v>
      </c>
      <c r="J83" s="1298">
        <f t="shared" si="30"/>
        <v>0</v>
      </c>
      <c r="K83" s="1298">
        <f t="shared" si="30"/>
        <v>0</v>
      </c>
      <c r="L83" s="1298">
        <f t="shared" si="30"/>
        <v>0</v>
      </c>
      <c r="M83" s="1298">
        <f t="shared" si="30"/>
        <v>0</v>
      </c>
      <c r="N83" s="1298">
        <f t="shared" si="30"/>
        <v>0</v>
      </c>
      <c r="O83" s="1297">
        <f t="shared" si="22"/>
        <v>0</v>
      </c>
    </row>
    <row r="84" spans="1:15">
      <c r="A84" s="2384"/>
      <c r="B84" s="1099" t="s">
        <v>350</v>
      </c>
      <c r="C84" s="1298"/>
      <c r="D84" s="1298"/>
      <c r="E84" s="1298"/>
      <c r="F84" s="1298"/>
      <c r="G84" s="1298"/>
      <c r="H84" s="1298"/>
      <c r="I84" s="1298"/>
      <c r="J84" s="1298"/>
      <c r="K84" s="1298"/>
      <c r="L84" s="1298"/>
      <c r="M84" s="1298"/>
      <c r="N84" s="1298"/>
      <c r="O84" s="1297">
        <f t="shared" si="22"/>
        <v>0</v>
      </c>
    </row>
    <row r="85" spans="1:15">
      <c r="A85" s="2385"/>
      <c r="B85" s="1099" t="s">
        <v>351</v>
      </c>
      <c r="C85" s="1298"/>
      <c r="D85" s="1298"/>
      <c r="E85" s="1298"/>
      <c r="F85" s="1298"/>
      <c r="G85" s="1298"/>
      <c r="H85" s="1298"/>
      <c r="I85" s="1298"/>
      <c r="J85" s="1298"/>
      <c r="K85" s="1298"/>
      <c r="L85" s="1298"/>
      <c r="M85" s="1298"/>
      <c r="N85" s="1298"/>
      <c r="O85" s="1297">
        <f t="shared" si="22"/>
        <v>0</v>
      </c>
    </row>
    <row r="86" spans="1:15" s="1101" customFormat="1" ht="12">
      <c r="A86" s="2383" t="s">
        <v>100</v>
      </c>
      <c r="B86" s="1100" t="s">
        <v>348</v>
      </c>
      <c r="C86" s="1297"/>
      <c r="D86" s="1297"/>
      <c r="E86" s="1297"/>
      <c r="F86" s="1297"/>
      <c r="G86" s="1297"/>
      <c r="H86" s="1297"/>
      <c r="I86" s="1297"/>
      <c r="J86" s="1297"/>
      <c r="K86" s="1297"/>
      <c r="L86" s="1297"/>
      <c r="M86" s="1297"/>
      <c r="N86" s="1297"/>
      <c r="O86" s="1297">
        <f>O87+O88+O89+O90</f>
        <v>0</v>
      </c>
    </row>
    <row r="87" spans="1:15">
      <c r="A87" s="2384"/>
      <c r="B87" s="1099" t="s">
        <v>307</v>
      </c>
      <c r="C87" s="1298">
        <f>C86-C89</f>
        <v>0</v>
      </c>
      <c r="D87" s="1298">
        <f t="shared" ref="D87:N87" si="31">D86-D89</f>
        <v>0</v>
      </c>
      <c r="E87" s="1298">
        <f t="shared" si="31"/>
        <v>0</v>
      </c>
      <c r="F87" s="1298">
        <f t="shared" si="31"/>
        <v>0</v>
      </c>
      <c r="G87" s="1298">
        <f t="shared" si="31"/>
        <v>0</v>
      </c>
      <c r="H87" s="1298">
        <f t="shared" si="31"/>
        <v>0</v>
      </c>
      <c r="I87" s="1298">
        <f t="shared" si="31"/>
        <v>0</v>
      </c>
      <c r="J87" s="1298">
        <f t="shared" si="31"/>
        <v>0</v>
      </c>
      <c r="K87" s="1298">
        <f t="shared" si="31"/>
        <v>0</v>
      </c>
      <c r="L87" s="1298">
        <f t="shared" si="31"/>
        <v>0</v>
      </c>
      <c r="M87" s="1298">
        <f t="shared" si="31"/>
        <v>0</v>
      </c>
      <c r="N87" s="1298">
        <f t="shared" si="31"/>
        <v>0</v>
      </c>
      <c r="O87" s="1297">
        <f t="shared" ref="O87:O94" si="32">SUM(C87:N87)</f>
        <v>0</v>
      </c>
    </row>
    <row r="88" spans="1:15">
      <c r="A88" s="2384"/>
      <c r="B88" s="1099" t="s">
        <v>321</v>
      </c>
      <c r="C88" s="1298"/>
      <c r="D88" s="1298"/>
      <c r="E88" s="1298"/>
      <c r="F88" s="1298"/>
      <c r="G88" s="1298"/>
      <c r="H88" s="1298"/>
      <c r="I88" s="1298"/>
      <c r="J88" s="1298"/>
      <c r="K88" s="1298"/>
      <c r="L88" s="1298"/>
      <c r="M88" s="1298"/>
      <c r="N88" s="1298"/>
      <c r="O88" s="1297">
        <f t="shared" si="32"/>
        <v>0</v>
      </c>
    </row>
    <row r="89" spans="1:15">
      <c r="A89" s="2384"/>
      <c r="B89" s="1099" t="s">
        <v>349</v>
      </c>
      <c r="C89" s="1298">
        <f>C86*0.05</f>
        <v>0</v>
      </c>
      <c r="D89" s="1298">
        <f t="shared" ref="D89:N89" si="33">D86*0.05</f>
        <v>0</v>
      </c>
      <c r="E89" s="1298">
        <f t="shared" si="33"/>
        <v>0</v>
      </c>
      <c r="F89" s="1298">
        <f t="shared" si="33"/>
        <v>0</v>
      </c>
      <c r="G89" s="1298">
        <f t="shared" si="33"/>
        <v>0</v>
      </c>
      <c r="H89" s="1298">
        <f t="shared" si="33"/>
        <v>0</v>
      </c>
      <c r="I89" s="1298">
        <f t="shared" si="33"/>
        <v>0</v>
      </c>
      <c r="J89" s="1298">
        <f t="shared" si="33"/>
        <v>0</v>
      </c>
      <c r="K89" s="1298">
        <f t="shared" si="33"/>
        <v>0</v>
      </c>
      <c r="L89" s="1298">
        <f t="shared" si="33"/>
        <v>0</v>
      </c>
      <c r="M89" s="1298">
        <f t="shared" si="33"/>
        <v>0</v>
      </c>
      <c r="N89" s="1298">
        <f t="shared" si="33"/>
        <v>0</v>
      </c>
      <c r="O89" s="1297">
        <f t="shared" si="32"/>
        <v>0</v>
      </c>
    </row>
    <row r="90" spans="1:15">
      <c r="A90" s="2384"/>
      <c r="B90" s="1099" t="s">
        <v>350</v>
      </c>
      <c r="C90" s="1298"/>
      <c r="D90" s="1298"/>
      <c r="E90" s="1298"/>
      <c r="F90" s="1298"/>
      <c r="G90" s="1298"/>
      <c r="H90" s="1298"/>
      <c r="I90" s="1298"/>
      <c r="J90" s="1298"/>
      <c r="K90" s="1298"/>
      <c r="L90" s="1298"/>
      <c r="M90" s="1298"/>
      <c r="N90" s="1298"/>
      <c r="O90" s="1297">
        <f t="shared" si="32"/>
        <v>0</v>
      </c>
    </row>
    <row r="91" spans="1:15">
      <c r="A91" s="2385"/>
      <c r="B91" s="1099" t="s">
        <v>351</v>
      </c>
      <c r="C91" s="1298"/>
      <c r="D91" s="1298"/>
      <c r="E91" s="1298"/>
      <c r="F91" s="1298"/>
      <c r="G91" s="1298"/>
      <c r="H91" s="1298"/>
      <c r="I91" s="1298"/>
      <c r="J91" s="1298"/>
      <c r="K91" s="1298"/>
      <c r="L91" s="1298"/>
      <c r="M91" s="1298"/>
      <c r="N91" s="1298"/>
      <c r="O91" s="1297">
        <f t="shared" si="32"/>
        <v>0</v>
      </c>
    </row>
    <row r="92" spans="1:15" s="1101" customFormat="1" ht="12">
      <c r="A92" s="2389" t="s">
        <v>352</v>
      </c>
      <c r="B92" s="1681" t="s">
        <v>348</v>
      </c>
      <c r="C92" s="1682">
        <f>C93+C94+C95+C96</f>
        <v>0</v>
      </c>
      <c r="D92" s="1682">
        <f t="shared" ref="D92:N92" si="34">D93+D94+D95+D96</f>
        <v>0</v>
      </c>
      <c r="E92" s="1682">
        <f t="shared" si="34"/>
        <v>0</v>
      </c>
      <c r="F92" s="1682">
        <f t="shared" si="34"/>
        <v>0</v>
      </c>
      <c r="G92" s="1682">
        <f t="shared" si="34"/>
        <v>0</v>
      </c>
      <c r="H92" s="1682">
        <f t="shared" si="34"/>
        <v>0</v>
      </c>
      <c r="I92" s="1682">
        <f t="shared" si="34"/>
        <v>0</v>
      </c>
      <c r="J92" s="1682">
        <f t="shared" si="34"/>
        <v>0</v>
      </c>
      <c r="K92" s="1682">
        <f t="shared" si="34"/>
        <v>0</v>
      </c>
      <c r="L92" s="1682">
        <f t="shared" si="34"/>
        <v>0</v>
      </c>
      <c r="M92" s="1682">
        <f t="shared" si="34"/>
        <v>0</v>
      </c>
      <c r="N92" s="1682">
        <f t="shared" si="34"/>
        <v>0</v>
      </c>
      <c r="O92" s="1682">
        <f>SUM(O93:O97)</f>
        <v>0</v>
      </c>
    </row>
    <row r="93" spans="1:15">
      <c r="A93" s="2389"/>
      <c r="B93" s="1683" t="s">
        <v>307</v>
      </c>
      <c r="C93" s="1684">
        <f>C3+C9+C15+C21+C27+C33+C39+C45+C51+C57+C63+C69+C75+C81+C87</f>
        <v>0</v>
      </c>
      <c r="D93" s="1684">
        <f>D3+D9+D15+D21+D27+D33+D39+D45+D51+D57+D63+D69+D75+D81+D87</f>
        <v>0</v>
      </c>
      <c r="E93" s="1684">
        <f t="shared" ref="E93:N93" si="35">E3+E9+E15+E21+E27+E33+E39+E45+E51+E57+E63+E69+E75+E81+E87</f>
        <v>0</v>
      </c>
      <c r="F93" s="1684">
        <f t="shared" si="35"/>
        <v>0</v>
      </c>
      <c r="G93" s="1684">
        <f t="shared" si="35"/>
        <v>0</v>
      </c>
      <c r="H93" s="1684">
        <f t="shared" si="35"/>
        <v>0</v>
      </c>
      <c r="I93" s="1684">
        <f t="shared" si="35"/>
        <v>0</v>
      </c>
      <c r="J93" s="1684">
        <f t="shared" si="35"/>
        <v>0</v>
      </c>
      <c r="K93" s="1684">
        <f t="shared" si="35"/>
        <v>0</v>
      </c>
      <c r="L93" s="1684">
        <f t="shared" si="35"/>
        <v>0</v>
      </c>
      <c r="M93" s="1684">
        <f t="shared" si="35"/>
        <v>0</v>
      </c>
      <c r="N93" s="1684">
        <f t="shared" si="35"/>
        <v>0</v>
      </c>
      <c r="O93" s="1682">
        <f>SUM(C93:N93)</f>
        <v>0</v>
      </c>
    </row>
    <row r="94" spans="1:15">
      <c r="A94" s="2389"/>
      <c r="B94" s="1683" t="s">
        <v>321</v>
      </c>
      <c r="C94" s="1684">
        <f>C4+C10+C16+C22+C28+C34+C40+C46+C52+C58+C64+C70+C76+C82+C88</f>
        <v>0</v>
      </c>
      <c r="D94" s="1684">
        <f t="shared" ref="D94:N94" si="36">D4+D10+D16+D22+D28+D34+D40+D46+D52+D58+D64+D70+D76+D82+D88</f>
        <v>0</v>
      </c>
      <c r="E94" s="1684">
        <f t="shared" si="36"/>
        <v>0</v>
      </c>
      <c r="F94" s="1684">
        <f t="shared" si="36"/>
        <v>0</v>
      </c>
      <c r="G94" s="1684">
        <f t="shared" si="36"/>
        <v>0</v>
      </c>
      <c r="H94" s="1684">
        <f t="shared" si="36"/>
        <v>0</v>
      </c>
      <c r="I94" s="1684">
        <f t="shared" si="36"/>
        <v>0</v>
      </c>
      <c r="J94" s="1684">
        <f t="shared" si="36"/>
        <v>0</v>
      </c>
      <c r="K94" s="1684">
        <f t="shared" si="36"/>
        <v>0</v>
      </c>
      <c r="L94" s="1684">
        <f t="shared" si="36"/>
        <v>0</v>
      </c>
      <c r="M94" s="1684">
        <f t="shared" si="36"/>
        <v>0</v>
      </c>
      <c r="N94" s="1684">
        <f t="shared" si="36"/>
        <v>0</v>
      </c>
      <c r="O94" s="1682">
        <f t="shared" si="32"/>
        <v>0</v>
      </c>
    </row>
    <row r="95" spans="1:15">
      <c r="A95" s="2389"/>
      <c r="B95" s="1683" t="s">
        <v>349</v>
      </c>
      <c r="C95" s="1684">
        <f>C5+C11+C17+C23+C29+C35+C41+C47+C53+C59+C65+C71+C77+C83+C89</f>
        <v>0</v>
      </c>
      <c r="D95" s="1684">
        <f t="shared" ref="D95:N95" si="37">D5+D11+D17+D23+D29+D35+D41+D47+D53+D59+D65+D71+D77+D83+D89</f>
        <v>0</v>
      </c>
      <c r="E95" s="1684">
        <f t="shared" si="37"/>
        <v>0</v>
      </c>
      <c r="F95" s="1684">
        <f t="shared" si="37"/>
        <v>0</v>
      </c>
      <c r="G95" s="1684">
        <f t="shared" si="37"/>
        <v>0</v>
      </c>
      <c r="H95" s="1684">
        <f t="shared" si="37"/>
        <v>0</v>
      </c>
      <c r="I95" s="1684">
        <f t="shared" si="37"/>
        <v>0</v>
      </c>
      <c r="J95" s="1684">
        <f t="shared" si="37"/>
        <v>0</v>
      </c>
      <c r="K95" s="1684">
        <f t="shared" si="37"/>
        <v>0</v>
      </c>
      <c r="L95" s="1684">
        <f t="shared" si="37"/>
        <v>0</v>
      </c>
      <c r="M95" s="1684">
        <f t="shared" si="37"/>
        <v>0</v>
      </c>
      <c r="N95" s="1684">
        <f t="shared" si="37"/>
        <v>0</v>
      </c>
      <c r="O95" s="1682">
        <f>SUM(C95:N95)</f>
        <v>0</v>
      </c>
    </row>
    <row r="96" spans="1:15">
      <c r="A96" s="2389"/>
      <c r="B96" s="1683" t="s">
        <v>350</v>
      </c>
      <c r="C96" s="1684">
        <f t="shared" ref="C96:N96" si="38">C6+C12+C18+C24+C30+C36+C42+C48+C54+C60+C66+C72+C78+C84+C90</f>
        <v>0</v>
      </c>
      <c r="D96" s="1684">
        <f t="shared" si="38"/>
        <v>0</v>
      </c>
      <c r="E96" s="1684">
        <f t="shared" si="38"/>
        <v>0</v>
      </c>
      <c r="F96" s="1684">
        <f t="shared" si="38"/>
        <v>0</v>
      </c>
      <c r="G96" s="1684">
        <f t="shared" si="38"/>
        <v>0</v>
      </c>
      <c r="H96" s="1684">
        <f t="shared" si="38"/>
        <v>0</v>
      </c>
      <c r="I96" s="1684">
        <f t="shared" si="38"/>
        <v>0</v>
      </c>
      <c r="J96" s="1684">
        <f t="shared" si="38"/>
        <v>0</v>
      </c>
      <c r="K96" s="1684">
        <f t="shared" si="38"/>
        <v>0</v>
      </c>
      <c r="L96" s="1684">
        <f t="shared" si="38"/>
        <v>0</v>
      </c>
      <c r="M96" s="1684">
        <f t="shared" si="38"/>
        <v>0</v>
      </c>
      <c r="N96" s="1684">
        <f t="shared" si="38"/>
        <v>0</v>
      </c>
      <c r="O96" s="1682">
        <f>SUM(C96:N96)</f>
        <v>0</v>
      </c>
    </row>
    <row r="97" spans="1:15">
      <c r="A97" s="2389"/>
      <c r="B97" s="1683" t="s">
        <v>351</v>
      </c>
      <c r="C97" s="1684">
        <f t="shared" ref="C97:N97" si="39">C7+C13+C19+C25+C31+C37+C43+C49+C55+C61+C67+C73+C79+C85+C91</f>
        <v>0</v>
      </c>
      <c r="D97" s="1684">
        <f t="shared" si="39"/>
        <v>0</v>
      </c>
      <c r="E97" s="1684">
        <f t="shared" si="39"/>
        <v>0</v>
      </c>
      <c r="F97" s="1684">
        <f t="shared" si="39"/>
        <v>0</v>
      </c>
      <c r="G97" s="1684">
        <f t="shared" si="39"/>
        <v>0</v>
      </c>
      <c r="H97" s="1684">
        <f t="shared" si="39"/>
        <v>0</v>
      </c>
      <c r="I97" s="1684">
        <f t="shared" si="39"/>
        <v>0</v>
      </c>
      <c r="J97" s="1684">
        <f t="shared" si="39"/>
        <v>0</v>
      </c>
      <c r="K97" s="1684">
        <f t="shared" si="39"/>
        <v>0</v>
      </c>
      <c r="L97" s="1684">
        <f t="shared" si="39"/>
        <v>0</v>
      </c>
      <c r="M97" s="1684">
        <f t="shared" si="39"/>
        <v>0</v>
      </c>
      <c r="N97" s="1684">
        <f t="shared" si="39"/>
        <v>0</v>
      </c>
      <c r="O97" s="1682">
        <f>SUM(C97:N97)</f>
        <v>0</v>
      </c>
    </row>
  </sheetData>
  <mergeCells count="16">
    <mergeCell ref="A92:A97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2:A7"/>
    <mergeCell ref="A14:A19"/>
    <mergeCell ref="A20:A25"/>
    <mergeCell ref="A26:A31"/>
    <mergeCell ref="A8:A13"/>
  </mergeCells>
  <phoneticPr fontId="134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66"/>
    <pageSetUpPr fitToPage="1"/>
  </sheetPr>
  <dimension ref="A1:U377"/>
  <sheetViews>
    <sheetView showGridLines="0" zoomScale="85" zoomScaleNormal="85" workbookViewId="0">
      <selection activeCell="D9" sqref="D9"/>
    </sheetView>
  </sheetViews>
  <sheetFormatPr defaultColWidth="9.109375" defaultRowHeight="15.6"/>
  <cols>
    <col min="1" max="1" width="28.5546875" style="550" customWidth="1"/>
    <col min="2" max="2" width="6.109375" style="550" customWidth="1"/>
    <col min="3" max="3" width="11" style="550" customWidth="1"/>
    <col min="4" max="4" width="16.6640625" style="550" bestFit="1" customWidth="1"/>
    <col min="5" max="6" width="12.109375" style="550" bestFit="1" customWidth="1"/>
    <col min="7" max="7" width="16.6640625" style="550" bestFit="1" customWidth="1"/>
    <col min="8" max="13" width="12.109375" style="550" bestFit="1" customWidth="1"/>
    <col min="14" max="14" width="12.109375" style="648" bestFit="1" customWidth="1"/>
    <col min="15" max="15" width="12.109375" style="550" bestFit="1" customWidth="1"/>
    <col min="16" max="16" width="16.6640625" style="550" bestFit="1" customWidth="1"/>
    <col min="17" max="17" width="12.33203125" style="550" customWidth="1"/>
    <col min="18" max="18" width="21.5546875" style="550" customWidth="1"/>
    <col min="19" max="19" width="13.88671875" style="550" customWidth="1"/>
    <col min="20" max="20" width="14.109375" style="550" customWidth="1"/>
    <col min="21" max="16384" width="9.109375" style="550"/>
  </cols>
  <sheetData>
    <row r="1" spans="1:20" ht="16.2" thickBot="1">
      <c r="R1" s="1460" t="s">
        <v>433</v>
      </c>
      <c r="S1" s="1460" t="s">
        <v>434</v>
      </c>
      <c r="T1" s="1460" t="s">
        <v>435</v>
      </c>
    </row>
    <row r="2" spans="1:20" ht="32.1" customHeight="1" thickBot="1">
      <c r="A2" s="649"/>
      <c r="B2" s="2392"/>
      <c r="C2" s="2392" t="s">
        <v>695</v>
      </c>
      <c r="D2" s="2394" t="s">
        <v>159</v>
      </c>
      <c r="E2" s="2395"/>
      <c r="F2" s="2395"/>
      <c r="G2" s="2395"/>
      <c r="H2" s="2395"/>
      <c r="I2" s="2395"/>
      <c r="J2" s="2395"/>
      <c r="K2" s="2395"/>
      <c r="L2" s="2395"/>
      <c r="M2" s="2395"/>
      <c r="N2" s="2395"/>
      <c r="O2" s="2395"/>
      <c r="P2" s="2396"/>
      <c r="Q2" s="937" t="s">
        <v>605</v>
      </c>
      <c r="R2" s="550">
        <v>1.1399999999999999</v>
      </c>
      <c r="S2" s="550">
        <v>1.1499999999999999</v>
      </c>
      <c r="T2" s="550">
        <v>1.1599999999999999</v>
      </c>
    </row>
    <row r="3" spans="1:20" ht="32.1" customHeight="1" thickBot="1">
      <c r="A3" s="650"/>
      <c r="B3" s="2393"/>
      <c r="C3" s="2393"/>
      <c r="D3" s="678" t="s">
        <v>1</v>
      </c>
      <c r="E3" s="679" t="s">
        <v>2</v>
      </c>
      <c r="F3" s="679" t="s">
        <v>3</v>
      </c>
      <c r="G3" s="679" t="s">
        <v>4</v>
      </c>
      <c r="H3" s="679" t="s">
        <v>5</v>
      </c>
      <c r="I3" s="679" t="s">
        <v>6</v>
      </c>
      <c r="J3" s="679" t="s">
        <v>7</v>
      </c>
      <c r="K3" s="679" t="s">
        <v>8</v>
      </c>
      <c r="L3" s="679" t="s">
        <v>9</v>
      </c>
      <c r="M3" s="679" t="s">
        <v>10</v>
      </c>
      <c r="N3" s="679" t="s">
        <v>11</v>
      </c>
      <c r="O3" s="680" t="s">
        <v>12</v>
      </c>
      <c r="P3" s="651" t="s">
        <v>281</v>
      </c>
      <c r="Q3" s="941" t="s">
        <v>693</v>
      </c>
      <c r="R3" s="913" t="s">
        <v>509</v>
      </c>
      <c r="S3" s="913" t="s">
        <v>150</v>
      </c>
      <c r="T3" s="913" t="s">
        <v>151</v>
      </c>
    </row>
    <row r="4" spans="1:20" ht="25.5" customHeight="1" thickBot="1">
      <c r="A4" s="693" t="s">
        <v>28</v>
      </c>
      <c r="B4" s="694"/>
      <c r="C4" s="695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8"/>
      <c r="P4" s="695"/>
      <c r="Q4" s="912"/>
      <c r="R4" s="1795" t="s">
        <v>159</v>
      </c>
      <c r="S4" s="914"/>
      <c r="T4" s="914" t="s">
        <v>320</v>
      </c>
    </row>
    <row r="5" spans="1:20" ht="25.5" customHeight="1">
      <c r="A5" s="654" t="s">
        <v>15</v>
      </c>
      <c r="B5" s="655"/>
      <c r="C5" s="656"/>
      <c r="D5" s="657"/>
      <c r="E5" s="657"/>
      <c r="F5" s="657"/>
      <c r="G5" s="657">
        <f>+F5*$R$2</f>
        <v>0</v>
      </c>
      <c r="H5" s="657">
        <f t="shared" ref="H5:H6" si="0">+F5*$R$2</f>
        <v>0</v>
      </c>
      <c r="I5" s="657">
        <f t="shared" ref="I5:I6" si="1">+F5*$R$2</f>
        <v>0</v>
      </c>
      <c r="J5" s="657">
        <f t="shared" ref="J5:J12" si="2">+I5*$S$2</f>
        <v>0</v>
      </c>
      <c r="K5" s="657">
        <f t="shared" ref="K5:K6" si="3">+I5*$S$2</f>
        <v>0</v>
      </c>
      <c r="L5" s="657">
        <f t="shared" ref="L5:L6" si="4">+I5*$S$2</f>
        <v>0</v>
      </c>
      <c r="M5" s="657">
        <f t="shared" ref="M5:M12" si="5">+L5*$T$2</f>
        <v>0</v>
      </c>
      <c r="N5" s="657">
        <f t="shared" ref="N5:N6" si="6">+L5*$T$2</f>
        <v>0</v>
      </c>
      <c r="O5" s="657">
        <f t="shared" ref="O5:O6" si="7">+L5*$T$2</f>
        <v>0</v>
      </c>
      <c r="P5" s="658">
        <f>AVERAGE(D5:O5)</f>
        <v>0</v>
      </c>
      <c r="Q5" s="659" t="e">
        <f>SUM(P5-C5)/C5</f>
        <v>#DIV/0!</v>
      </c>
    </row>
    <row r="6" spans="1:20" ht="25.5" customHeight="1">
      <c r="A6" s="660" t="s">
        <v>16</v>
      </c>
      <c r="B6" s="661"/>
      <c r="C6" s="662"/>
      <c r="D6" s="663"/>
      <c r="E6" s="663"/>
      <c r="F6" s="663"/>
      <c r="G6" s="664">
        <f>+F6*$R$2</f>
        <v>0</v>
      </c>
      <c r="H6" s="665">
        <f t="shared" si="0"/>
        <v>0</v>
      </c>
      <c r="I6" s="665">
        <f t="shared" si="1"/>
        <v>0</v>
      </c>
      <c r="J6" s="665">
        <f t="shared" si="2"/>
        <v>0</v>
      </c>
      <c r="K6" s="665">
        <f t="shared" si="3"/>
        <v>0</v>
      </c>
      <c r="L6" s="665">
        <f t="shared" si="4"/>
        <v>0</v>
      </c>
      <c r="M6" s="665">
        <f t="shared" si="5"/>
        <v>0</v>
      </c>
      <c r="N6" s="665">
        <f t="shared" si="6"/>
        <v>0</v>
      </c>
      <c r="O6" s="666">
        <f t="shared" si="7"/>
        <v>0</v>
      </c>
      <c r="P6" s="604"/>
      <c r="Q6" s="600"/>
      <c r="R6" s="601"/>
    </row>
    <row r="7" spans="1:20" ht="25.5" customHeight="1">
      <c r="A7" s="701" t="s">
        <v>27</v>
      </c>
      <c r="B7" s="702"/>
      <c r="C7" s="703"/>
      <c r="D7" s="704"/>
      <c r="E7" s="705"/>
      <c r="F7" s="705"/>
      <c r="G7" s="705"/>
      <c r="H7" s="705"/>
      <c r="I7" s="705"/>
      <c r="J7" s="705"/>
      <c r="K7" s="705"/>
      <c r="L7" s="705"/>
      <c r="M7" s="705"/>
      <c r="N7" s="705"/>
      <c r="O7" s="706"/>
      <c r="P7" s="707"/>
      <c r="Q7" s="708"/>
    </row>
    <row r="8" spans="1:20" ht="25.5" customHeight="1">
      <c r="A8" s="1020" t="s">
        <v>17</v>
      </c>
      <c r="B8" s="1021"/>
      <c r="C8" s="1022"/>
      <c r="D8" s="1023"/>
      <c r="E8" s="1023"/>
      <c r="F8" s="1023"/>
      <c r="G8" s="1023">
        <f>+F8*$R$2</f>
        <v>0</v>
      </c>
      <c r="H8" s="1023">
        <f t="shared" ref="H8:H12" si="8">+F8*$R$2</f>
        <v>0</v>
      </c>
      <c r="I8" s="1023">
        <f t="shared" ref="I8:I12" si="9">+F8*$R$2</f>
        <v>0</v>
      </c>
      <c r="J8" s="1023">
        <f t="shared" si="2"/>
        <v>0</v>
      </c>
      <c r="K8" s="1023">
        <f t="shared" ref="K8:K12" si="10">+I8*$S$2</f>
        <v>0</v>
      </c>
      <c r="L8" s="1023">
        <f t="shared" ref="L8:L12" si="11">+I8*$S$2</f>
        <v>0</v>
      </c>
      <c r="M8" s="1023">
        <f t="shared" si="5"/>
        <v>0</v>
      </c>
      <c r="N8" s="1023">
        <f t="shared" ref="N8:N12" si="12">+L8*$T$2</f>
        <v>0</v>
      </c>
      <c r="O8" s="1023">
        <f t="shared" ref="O8:O12" si="13">+L8*$T$2</f>
        <v>0</v>
      </c>
      <c r="P8" s="1023">
        <f>AVERAGE(D8:O8)</f>
        <v>0</v>
      </c>
      <c r="Q8" s="1024" t="e">
        <f>SUM(P8-C8)/C8</f>
        <v>#DIV/0!</v>
      </c>
    </row>
    <row r="9" spans="1:20" ht="25.5" customHeight="1">
      <c r="A9" s="670" t="s">
        <v>81</v>
      </c>
      <c r="B9" s="602"/>
      <c r="C9" s="656"/>
      <c r="D9" s="671"/>
      <c r="E9" s="671"/>
      <c r="F9" s="671"/>
      <c r="G9" s="671">
        <v>20.484193078018745</v>
      </c>
      <c r="H9" s="671">
        <v>20.859365293877371</v>
      </c>
      <c r="I9" s="671">
        <v>21.717449379567885</v>
      </c>
      <c r="J9" s="671">
        <v>22.677904810291913</v>
      </c>
      <c r="K9" s="671">
        <v>23.205150194018518</v>
      </c>
      <c r="L9" s="671">
        <v>23.027045912009168</v>
      </c>
      <c r="M9" s="671">
        <v>23.692937343234373</v>
      </c>
      <c r="N9" s="671">
        <v>22.99839729760826</v>
      </c>
      <c r="O9" s="671">
        <v>23.491706166247948</v>
      </c>
      <c r="P9" s="605">
        <f t="shared" ref="P9:P21" si="14">AVERAGE(D9:O9)</f>
        <v>22.461572163874909</v>
      </c>
      <c r="Q9" s="606" t="e">
        <f>SUM(P9-C9)/C9</f>
        <v>#DIV/0!</v>
      </c>
      <c r="R9" s="1591"/>
    </row>
    <row r="10" spans="1:20" ht="25.5" customHeight="1">
      <c r="A10" s="672" t="s">
        <v>82</v>
      </c>
      <c r="B10" s="603"/>
      <c r="C10" s="662"/>
      <c r="D10" s="667"/>
      <c r="E10" s="668"/>
      <c r="F10" s="668"/>
      <c r="G10" s="668">
        <f>+F10*$R$2</f>
        <v>0</v>
      </c>
      <c r="H10" s="668">
        <f t="shared" si="8"/>
        <v>0</v>
      </c>
      <c r="I10" s="668">
        <f t="shared" si="9"/>
        <v>0</v>
      </c>
      <c r="J10" s="668">
        <f t="shared" si="2"/>
        <v>0</v>
      </c>
      <c r="K10" s="668">
        <f t="shared" si="10"/>
        <v>0</v>
      </c>
      <c r="L10" s="668">
        <f t="shared" si="11"/>
        <v>0</v>
      </c>
      <c r="M10" s="668">
        <f t="shared" si="5"/>
        <v>0</v>
      </c>
      <c r="N10" s="668">
        <f t="shared" si="12"/>
        <v>0</v>
      </c>
      <c r="O10" s="669">
        <f t="shared" si="13"/>
        <v>0</v>
      </c>
      <c r="P10" s="604"/>
      <c r="Q10" s="600"/>
    </row>
    <row r="11" spans="1:20" ht="25.5" customHeight="1">
      <c r="A11" s="670" t="s">
        <v>83</v>
      </c>
      <c r="B11" s="673"/>
      <c r="C11" s="656"/>
      <c r="D11" s="671"/>
      <c r="E11" s="671"/>
      <c r="F11" s="671"/>
      <c r="G11" s="674">
        <f t="shared" ref="G11:G12" si="15">+F11*$R$2</f>
        <v>0</v>
      </c>
      <c r="H11" s="674">
        <f t="shared" si="8"/>
        <v>0</v>
      </c>
      <c r="I11" s="674">
        <f t="shared" si="9"/>
        <v>0</v>
      </c>
      <c r="J11" s="674">
        <f t="shared" si="2"/>
        <v>0</v>
      </c>
      <c r="K11" s="674">
        <f t="shared" si="10"/>
        <v>0</v>
      </c>
      <c r="L11" s="674">
        <f t="shared" si="11"/>
        <v>0</v>
      </c>
      <c r="M11" s="674">
        <f t="shared" si="5"/>
        <v>0</v>
      </c>
      <c r="N11" s="674">
        <f t="shared" si="12"/>
        <v>0</v>
      </c>
      <c r="O11" s="674">
        <f t="shared" si="13"/>
        <v>0</v>
      </c>
      <c r="P11" s="605">
        <f t="shared" si="14"/>
        <v>0</v>
      </c>
      <c r="Q11" s="606" t="e">
        <f>SUM(P11-C11)/C11</f>
        <v>#DIV/0!</v>
      </c>
    </row>
    <row r="12" spans="1:20" ht="25.5" customHeight="1">
      <c r="A12" s="672" t="s">
        <v>84</v>
      </c>
      <c r="B12" s="661"/>
      <c r="C12" s="675"/>
      <c r="D12" s="676"/>
      <c r="E12" s="665"/>
      <c r="F12" s="665"/>
      <c r="G12" s="665">
        <f t="shared" si="15"/>
        <v>0</v>
      </c>
      <c r="H12" s="665">
        <f t="shared" si="8"/>
        <v>0</v>
      </c>
      <c r="I12" s="677">
        <f t="shared" si="9"/>
        <v>0</v>
      </c>
      <c r="J12" s="677">
        <f t="shared" si="2"/>
        <v>0</v>
      </c>
      <c r="K12" s="665">
        <f t="shared" si="10"/>
        <v>0</v>
      </c>
      <c r="L12" s="665">
        <f t="shared" si="11"/>
        <v>0</v>
      </c>
      <c r="M12" s="665">
        <f t="shared" si="5"/>
        <v>0</v>
      </c>
      <c r="N12" s="665">
        <f t="shared" si="12"/>
        <v>0</v>
      </c>
      <c r="O12" s="666">
        <f t="shared" si="13"/>
        <v>0</v>
      </c>
      <c r="P12" s="604"/>
      <c r="Q12" s="600"/>
    </row>
    <row r="13" spans="1:20" ht="25.5" customHeight="1" thickBot="1">
      <c r="A13" s="718" t="s">
        <v>18</v>
      </c>
      <c r="B13" s="719"/>
      <c r="C13" s="720"/>
      <c r="D13" s="721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3"/>
      <c r="P13" s="720"/>
      <c r="Q13" s="724"/>
    </row>
    <row r="14" spans="1:20" ht="25.5" customHeight="1" thickBot="1">
      <c r="A14" s="693" t="s">
        <v>29</v>
      </c>
      <c r="B14" s="725"/>
      <c r="C14" s="726"/>
      <c r="D14" s="727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9"/>
      <c r="P14" s="726"/>
      <c r="Q14" s="730"/>
    </row>
    <row r="15" spans="1:20" ht="25.5" customHeight="1">
      <c r="A15" s="1025" t="s">
        <v>19</v>
      </c>
      <c r="B15" s="1026"/>
      <c r="C15" s="1027"/>
      <c r="D15" s="1028"/>
      <c r="E15" s="1028"/>
      <c r="F15" s="1028"/>
      <c r="G15" s="1028">
        <f>+F15*$R$2</f>
        <v>0</v>
      </c>
      <c r="H15" s="1028">
        <f t="shared" ref="H15:H16" si="16">+F15*$R$2</f>
        <v>0</v>
      </c>
      <c r="I15" s="1028">
        <f t="shared" ref="I15:I16" si="17">+F15*$R$2</f>
        <v>0</v>
      </c>
      <c r="J15" s="1028">
        <f t="shared" ref="J15:J16" si="18">+I15*$S$2</f>
        <v>0</v>
      </c>
      <c r="K15" s="1028">
        <f t="shared" ref="K15:K16" si="19">+I15*$S$2</f>
        <v>0</v>
      </c>
      <c r="L15" s="1028">
        <f t="shared" ref="L15:L16" si="20">+I15*$S$2</f>
        <v>0</v>
      </c>
      <c r="M15" s="1028">
        <f t="shared" ref="M15:M16" si="21">+L15*$T$2</f>
        <v>0</v>
      </c>
      <c r="N15" s="1028">
        <f t="shared" ref="N15:N16" si="22">+L15*$T$2</f>
        <v>0</v>
      </c>
      <c r="O15" s="1028">
        <f t="shared" ref="O15:O16" si="23">+L15*$T$2</f>
        <v>0</v>
      </c>
      <c r="P15" s="1029">
        <f>AVERAGE(D15:O15)</f>
        <v>0</v>
      </c>
      <c r="Q15" s="1030" t="e">
        <f t="shared" ref="Q15:Q16" si="24">SUM(P15-C15)/C15</f>
        <v>#DIV/0!</v>
      </c>
    </row>
    <row r="16" spans="1:20" ht="25.5" customHeight="1" thickBot="1">
      <c r="A16" s="1031" t="s">
        <v>20</v>
      </c>
      <c r="B16" s="1032"/>
      <c r="C16" s="1033"/>
      <c r="D16" s="1034"/>
      <c r="E16" s="1034"/>
      <c r="F16" s="1034"/>
      <c r="G16" s="1034">
        <f t="shared" ref="G16" si="25">+F16*$R$2</f>
        <v>0</v>
      </c>
      <c r="H16" s="1034">
        <f t="shared" si="16"/>
        <v>0</v>
      </c>
      <c r="I16" s="1034">
        <f t="shared" si="17"/>
        <v>0</v>
      </c>
      <c r="J16" s="1034">
        <f t="shared" si="18"/>
        <v>0</v>
      </c>
      <c r="K16" s="1034">
        <f t="shared" si="19"/>
        <v>0</v>
      </c>
      <c r="L16" s="1034">
        <f t="shared" si="20"/>
        <v>0</v>
      </c>
      <c r="M16" s="1034">
        <f t="shared" si="21"/>
        <v>0</v>
      </c>
      <c r="N16" s="1034">
        <f t="shared" si="22"/>
        <v>0</v>
      </c>
      <c r="O16" s="1034">
        <f t="shared" si="23"/>
        <v>0</v>
      </c>
      <c r="P16" s="1035">
        <f>AVERAGE(D16:O16)</f>
        <v>0</v>
      </c>
      <c r="Q16" s="1036" t="e">
        <f t="shared" si="24"/>
        <v>#DIV/0!</v>
      </c>
    </row>
    <row r="17" spans="1:20" ht="25.5" customHeight="1" thickBot="1">
      <c r="A17" s="693" t="s">
        <v>30</v>
      </c>
      <c r="B17" s="694"/>
      <c r="C17" s="726"/>
      <c r="D17" s="727"/>
      <c r="E17" s="728"/>
      <c r="F17" s="728"/>
      <c r="G17" s="728"/>
      <c r="H17" s="728"/>
      <c r="I17" s="728"/>
      <c r="J17" s="728"/>
      <c r="K17" s="728"/>
      <c r="L17" s="728"/>
      <c r="M17" s="728"/>
      <c r="N17" s="728"/>
      <c r="O17" s="729"/>
      <c r="P17" s="726"/>
      <c r="Q17" s="730"/>
    </row>
    <row r="18" spans="1:20" ht="25.5" customHeight="1">
      <c r="A18" s="615" t="s">
        <v>106</v>
      </c>
      <c r="B18" s="607"/>
      <c r="C18" s="608"/>
      <c r="D18" s="687">
        <f>+'M.Yağ Alış Fiyat'!$B$2</f>
        <v>0</v>
      </c>
      <c r="E18" s="687">
        <f>+'M.Yağ Alış Fiyat'!$B$2</f>
        <v>0</v>
      </c>
      <c r="F18" s="687">
        <f>+'M.Yağ Alış Fiyat'!$B$2</f>
        <v>0</v>
      </c>
      <c r="G18" s="687">
        <f>(+'M.Yağ Alış Fiyat'!$B$2)*1.14</f>
        <v>0</v>
      </c>
      <c r="H18" s="687">
        <f>(+'M.Yağ Alış Fiyat'!$B$2)*1.14</f>
        <v>0</v>
      </c>
      <c r="I18" s="687">
        <f>(+'M.Yağ Alış Fiyat'!$B$2)*1.14</f>
        <v>0</v>
      </c>
      <c r="J18" s="687">
        <f>$I$18*1.15</f>
        <v>0</v>
      </c>
      <c r="K18" s="687">
        <f t="shared" ref="K18:L18" si="26">$I$18*1.15</f>
        <v>0</v>
      </c>
      <c r="L18" s="687">
        <f t="shared" si="26"/>
        <v>0</v>
      </c>
      <c r="M18" s="687">
        <f>$K$18*1.16</f>
        <v>0</v>
      </c>
      <c r="N18" s="687">
        <f t="shared" ref="N18:O18" si="27">$K$18*1.16</f>
        <v>0</v>
      </c>
      <c r="O18" s="687">
        <f t="shared" si="27"/>
        <v>0</v>
      </c>
      <c r="P18" s="609">
        <f t="shared" si="14"/>
        <v>0</v>
      </c>
      <c r="Q18" s="610" t="e">
        <f t="shared" ref="Q18:Q21" si="28">SUM(P18-C18)/C18</f>
        <v>#DIV/0!</v>
      </c>
    </row>
    <row r="19" spans="1:20" ht="25.5" customHeight="1" thickBot="1">
      <c r="A19" s="616" t="s">
        <v>105</v>
      </c>
      <c r="B19" s="617"/>
      <c r="C19" s="618"/>
      <c r="D19" s="688">
        <f>+'M.Yağ Alış Fiyat'!$B$3</f>
        <v>0</v>
      </c>
      <c r="E19" s="688">
        <f>+'M.Yağ Alış Fiyat'!$B$3</f>
        <v>0</v>
      </c>
      <c r="F19" s="688">
        <f>+'M.Yağ Alış Fiyat'!$B$3</f>
        <v>0</v>
      </c>
      <c r="G19" s="688">
        <f>(+'M.Yağ Alış Fiyat'!$B$3)*1.14</f>
        <v>0</v>
      </c>
      <c r="H19" s="688">
        <f>(+'M.Yağ Alış Fiyat'!$B$3)*1.14</f>
        <v>0</v>
      </c>
      <c r="I19" s="688">
        <f>(+'M.Yağ Alış Fiyat'!$B$3)*1.14</f>
        <v>0</v>
      </c>
      <c r="J19" s="688">
        <f>$I$19*1.15</f>
        <v>0</v>
      </c>
      <c r="K19" s="688">
        <f t="shared" ref="K19:L19" si="29">$I$19*1.15</f>
        <v>0</v>
      </c>
      <c r="L19" s="688">
        <f t="shared" si="29"/>
        <v>0</v>
      </c>
      <c r="M19" s="688">
        <f>$L$19*1.16</f>
        <v>0</v>
      </c>
      <c r="N19" s="688">
        <f t="shared" ref="N19:O19" si="30">$L$19*1.16</f>
        <v>0</v>
      </c>
      <c r="O19" s="688">
        <f t="shared" si="30"/>
        <v>0</v>
      </c>
      <c r="P19" s="619">
        <f t="shared" si="14"/>
        <v>0</v>
      </c>
      <c r="Q19" s="620" t="e">
        <f t="shared" si="28"/>
        <v>#DIV/0!</v>
      </c>
    </row>
    <row r="20" spans="1:20" ht="25.5" customHeight="1" thickBot="1">
      <c r="B20" s="601"/>
      <c r="C20" s="621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22"/>
      <c r="Q20" s="623"/>
    </row>
    <row r="21" spans="1:20" ht="25.5" customHeight="1" thickBot="1">
      <c r="A21" s="693" t="s">
        <v>86</v>
      </c>
      <c r="B21" s="694"/>
      <c r="C21" s="695"/>
      <c r="D21" s="697">
        <f>13829/1000</f>
        <v>13.829000000000001</v>
      </c>
      <c r="E21" s="697">
        <f t="shared" ref="E21:F21" si="31">13829/1000</f>
        <v>13.829000000000001</v>
      </c>
      <c r="F21" s="697">
        <f t="shared" si="31"/>
        <v>13.829000000000001</v>
      </c>
      <c r="G21" s="697">
        <f>$F$21*$R$2</f>
        <v>15.76506</v>
      </c>
      <c r="H21" s="697">
        <f t="shared" ref="H21:I21" si="32">$F$21*$R$2</f>
        <v>15.76506</v>
      </c>
      <c r="I21" s="697">
        <f t="shared" si="32"/>
        <v>15.76506</v>
      </c>
      <c r="J21" s="697">
        <f>$I$21*$S$2</f>
        <v>18.129818999999998</v>
      </c>
      <c r="K21" s="697">
        <f t="shared" ref="K21:L21" si="33">$I$21*$S$2</f>
        <v>18.129818999999998</v>
      </c>
      <c r="L21" s="697">
        <f t="shared" si="33"/>
        <v>18.129818999999998</v>
      </c>
      <c r="M21" s="697">
        <f>$L$21*$T$2</f>
        <v>21.030590039999996</v>
      </c>
      <c r="N21" s="697">
        <f t="shared" ref="N21:O21" si="34">$L$21*$T$2</f>
        <v>21.030590039999996</v>
      </c>
      <c r="O21" s="697">
        <f t="shared" si="34"/>
        <v>21.030590039999996</v>
      </c>
      <c r="P21" s="2269">
        <f t="shared" si="14"/>
        <v>17.188617259999997</v>
      </c>
      <c r="Q21" s="699" t="e">
        <f t="shared" si="28"/>
        <v>#DIV/0!</v>
      </c>
    </row>
    <row r="22" spans="1:20" ht="25.5" customHeight="1" thickBot="1">
      <c r="A22" s="624"/>
      <c r="B22" s="625"/>
      <c r="C22" s="626"/>
      <c r="D22" s="690"/>
      <c r="E22" s="690"/>
      <c r="F22" s="690"/>
      <c r="G22" s="690"/>
      <c r="H22" s="690"/>
      <c r="I22" s="690"/>
      <c r="J22" s="690"/>
      <c r="K22" s="690"/>
      <c r="L22" s="690"/>
      <c r="M22" s="690"/>
      <c r="N22" s="690"/>
      <c r="O22" s="690"/>
      <c r="P22" s="626"/>
      <c r="Q22" s="627"/>
    </row>
    <row r="23" spans="1:20" ht="25.5" customHeight="1" thickBot="1">
      <c r="A23" s="693" t="s">
        <v>31</v>
      </c>
      <c r="B23" s="694"/>
      <c r="C23" s="695"/>
      <c r="D23" s="696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8"/>
      <c r="P23" s="695"/>
      <c r="Q23" s="699" t="str">
        <f>IF(P23=0,"-",P23/C23-1)</f>
        <v>-</v>
      </c>
    </row>
    <row r="24" spans="1:20" s="652" customFormat="1">
      <c r="B24" s="653"/>
      <c r="C24" s="653"/>
      <c r="D24" s="653"/>
      <c r="E24" s="653"/>
      <c r="F24" s="653"/>
      <c r="G24" s="653"/>
      <c r="H24" s="653"/>
      <c r="I24" s="653"/>
      <c r="J24" s="653"/>
      <c r="K24" s="653"/>
      <c r="L24" s="653"/>
      <c r="M24" s="653"/>
      <c r="N24" s="653"/>
      <c r="O24" s="653"/>
      <c r="P24" s="653"/>
      <c r="S24" s="550"/>
    </row>
    <row r="25" spans="1:20" s="652" customFormat="1" ht="16.2" thickBot="1">
      <c r="B25" s="653"/>
      <c r="C25" s="653"/>
      <c r="D25" s="653"/>
      <c r="E25" s="653"/>
      <c r="F25" s="653"/>
      <c r="G25" s="653"/>
      <c r="H25" s="653"/>
      <c r="I25" s="653"/>
      <c r="J25" s="653"/>
      <c r="K25" s="653"/>
      <c r="L25" s="653"/>
      <c r="M25" s="653"/>
      <c r="N25" s="653"/>
      <c r="O25" s="653"/>
      <c r="P25" s="653"/>
      <c r="S25" s="550"/>
    </row>
    <row r="26" spans="1:20" ht="32.1" customHeight="1" thickBot="1">
      <c r="A26" s="649"/>
      <c r="B26" s="2392"/>
      <c r="C26" s="2392" t="s">
        <v>695</v>
      </c>
      <c r="D26" s="2394" t="s">
        <v>90</v>
      </c>
      <c r="E26" s="2395"/>
      <c r="F26" s="2395"/>
      <c r="G26" s="2395"/>
      <c r="H26" s="2395"/>
      <c r="I26" s="2395"/>
      <c r="J26" s="2395"/>
      <c r="K26" s="2395"/>
      <c r="L26" s="2395"/>
      <c r="M26" s="2395"/>
      <c r="N26" s="2395"/>
      <c r="O26" s="2395"/>
      <c r="P26" s="2396"/>
      <c r="Q26" s="937" t="s">
        <v>605</v>
      </c>
    </row>
    <row r="27" spans="1:20" ht="32.1" customHeight="1" thickBot="1">
      <c r="A27" s="650"/>
      <c r="B27" s="2393"/>
      <c r="C27" s="2393"/>
      <c r="D27" s="678" t="s">
        <v>1</v>
      </c>
      <c r="E27" s="679" t="s">
        <v>2</v>
      </c>
      <c r="F27" s="679" t="s">
        <v>3</v>
      </c>
      <c r="G27" s="679" t="s">
        <v>4</v>
      </c>
      <c r="H27" s="679" t="s">
        <v>5</v>
      </c>
      <c r="I27" s="679" t="s">
        <v>6</v>
      </c>
      <c r="J27" s="679" t="s">
        <v>7</v>
      </c>
      <c r="K27" s="679" t="s">
        <v>8</v>
      </c>
      <c r="L27" s="679" t="s">
        <v>9</v>
      </c>
      <c r="M27" s="679" t="s">
        <v>10</v>
      </c>
      <c r="N27" s="679" t="s">
        <v>11</v>
      </c>
      <c r="O27" s="680" t="s">
        <v>12</v>
      </c>
      <c r="P27" s="651" t="s">
        <v>281</v>
      </c>
      <c r="Q27" s="941" t="s">
        <v>693</v>
      </c>
      <c r="R27" s="913" t="s">
        <v>509</v>
      </c>
      <c r="S27" s="913" t="s">
        <v>150</v>
      </c>
      <c r="T27" s="913" t="s">
        <v>151</v>
      </c>
    </row>
    <row r="28" spans="1:20" ht="25.5" customHeight="1" thickBot="1">
      <c r="A28" s="693" t="s">
        <v>28</v>
      </c>
      <c r="B28" s="694"/>
      <c r="C28" s="695"/>
      <c r="D28" s="696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8"/>
      <c r="P28" s="695"/>
      <c r="Q28" s="699"/>
      <c r="R28" s="914" t="s">
        <v>174</v>
      </c>
      <c r="S28" s="914"/>
      <c r="T28" s="914" t="s">
        <v>320</v>
      </c>
    </row>
    <row r="29" spans="1:20" ht="25.5" customHeight="1">
      <c r="A29" s="654" t="s">
        <v>15</v>
      </c>
      <c r="B29" s="655"/>
      <c r="C29" s="656"/>
      <c r="D29" s="657"/>
      <c r="E29" s="657"/>
      <c r="F29" s="657"/>
      <c r="G29" s="657">
        <f>+F29*$R$2</f>
        <v>0</v>
      </c>
      <c r="H29" s="657">
        <f>+F29*$R$2</f>
        <v>0</v>
      </c>
      <c r="I29" s="657">
        <f>+F29*$R$2</f>
        <v>0</v>
      </c>
      <c r="J29" s="657">
        <f>+I29*$S$2</f>
        <v>0</v>
      </c>
      <c r="K29" s="657">
        <f>+I29*$S$2</f>
        <v>0</v>
      </c>
      <c r="L29" s="657">
        <f>+I29*$S$2</f>
        <v>0</v>
      </c>
      <c r="M29" s="657">
        <f>+L29*$T$2</f>
        <v>0</v>
      </c>
      <c r="N29" s="657">
        <f>+L29*$T$2</f>
        <v>0</v>
      </c>
      <c r="O29" s="657">
        <f>+L29*$T$2</f>
        <v>0</v>
      </c>
      <c r="P29" s="658">
        <f>AVERAGE(D29:O29)</f>
        <v>0</v>
      </c>
      <c r="Q29" s="659" t="e">
        <f t="shared" ref="Q29:Q30" si="35">SUM(P29-C29)/C29</f>
        <v>#DIV/0!</v>
      </c>
    </row>
    <row r="30" spans="1:20" ht="25.5" customHeight="1">
      <c r="A30" s="660" t="s">
        <v>16</v>
      </c>
      <c r="B30" s="661"/>
      <c r="C30" s="662"/>
      <c r="D30" s="663"/>
      <c r="E30" s="664"/>
      <c r="F30" s="664"/>
      <c r="G30" s="664">
        <f>+F30*$R$2</f>
        <v>0</v>
      </c>
      <c r="H30" s="665">
        <f>+F30*$R$2</f>
        <v>0</v>
      </c>
      <c r="I30" s="665">
        <f>+F30*$R$2</f>
        <v>0</v>
      </c>
      <c r="J30" s="665">
        <f>+I30*$S$2</f>
        <v>0</v>
      </c>
      <c r="K30" s="665">
        <f>+I30*$S$2</f>
        <v>0</v>
      </c>
      <c r="L30" s="665">
        <f>+I30*$S$2</f>
        <v>0</v>
      </c>
      <c r="M30" s="665">
        <f>+L30*$T$2</f>
        <v>0</v>
      </c>
      <c r="N30" s="665">
        <f>+L30*$T$2</f>
        <v>0</v>
      </c>
      <c r="O30" s="666">
        <f>+L30*$T$2</f>
        <v>0</v>
      </c>
      <c r="P30" s="604"/>
      <c r="Q30" s="600" t="e">
        <f t="shared" si="35"/>
        <v>#DIV/0!</v>
      </c>
      <c r="S30" s="652"/>
    </row>
    <row r="31" spans="1:20" ht="25.5" customHeight="1">
      <c r="A31" s="701" t="s">
        <v>27</v>
      </c>
      <c r="B31" s="702"/>
      <c r="C31" s="703"/>
      <c r="D31" s="704"/>
      <c r="E31" s="705"/>
      <c r="F31" s="705"/>
      <c r="G31" s="705"/>
      <c r="H31" s="705"/>
      <c r="I31" s="705"/>
      <c r="J31" s="705"/>
      <c r="K31" s="705"/>
      <c r="L31" s="705"/>
      <c r="M31" s="705"/>
      <c r="N31" s="705"/>
      <c r="O31" s="706"/>
      <c r="P31" s="707"/>
      <c r="Q31" s="708"/>
    </row>
    <row r="32" spans="1:20" ht="25.5" customHeight="1">
      <c r="A32" s="710" t="s">
        <v>17</v>
      </c>
      <c r="B32" s="711"/>
      <c r="C32" s="712"/>
      <c r="D32" s="713"/>
      <c r="E32" s="714"/>
      <c r="F32" s="714"/>
      <c r="G32" s="714">
        <f>+F32*$R$2</f>
        <v>0</v>
      </c>
      <c r="H32" s="714">
        <f>+F32*$R$2</f>
        <v>0</v>
      </c>
      <c r="I32" s="714">
        <f>+F32*$R$2</f>
        <v>0</v>
      </c>
      <c r="J32" s="714">
        <f>+I32*$S$2</f>
        <v>0</v>
      </c>
      <c r="K32" s="714">
        <f>+I32*$S$2</f>
        <v>0</v>
      </c>
      <c r="L32" s="714">
        <f>+I32*$S$2</f>
        <v>0</v>
      </c>
      <c r="M32" s="714">
        <f>+L32*$T$2</f>
        <v>0</v>
      </c>
      <c r="N32" s="714">
        <f>+L32*$T$2</f>
        <v>0</v>
      </c>
      <c r="O32" s="715">
        <f>+L32*$T$2</f>
        <v>0</v>
      </c>
      <c r="P32" s="716">
        <f t="shared" ref="P32:P35" si="36">AVERAGE(D32:O32)</f>
        <v>0</v>
      </c>
      <c r="Q32" s="717"/>
    </row>
    <row r="33" spans="1:17" ht="25.5" customHeight="1">
      <c r="A33" s="670" t="s">
        <v>81</v>
      </c>
      <c r="B33" s="602"/>
      <c r="C33" s="656"/>
      <c r="D33" s="671"/>
      <c r="E33" s="671"/>
      <c r="F33" s="671"/>
      <c r="G33" s="657">
        <v>20.484193078018745</v>
      </c>
      <c r="H33" s="657">
        <v>20.859365293877371</v>
      </c>
      <c r="I33" s="657">
        <v>21.717449379567885</v>
      </c>
      <c r="J33" s="657">
        <v>22.677904810291913</v>
      </c>
      <c r="K33" s="657">
        <v>23.205150194018518</v>
      </c>
      <c r="L33" s="657">
        <v>23.027045912009168</v>
      </c>
      <c r="M33" s="657">
        <v>23.692937343234373</v>
      </c>
      <c r="N33" s="657">
        <v>22.99839729760826</v>
      </c>
      <c r="O33" s="657">
        <v>23.491706166247948</v>
      </c>
      <c r="P33" s="605">
        <f t="shared" si="36"/>
        <v>22.461572163874909</v>
      </c>
      <c r="Q33" s="606" t="e">
        <f t="shared" ref="Q33:Q35" si="37">SUM(P33-C33)/C33</f>
        <v>#DIV/0!</v>
      </c>
    </row>
    <row r="34" spans="1:17" ht="25.5" customHeight="1">
      <c r="A34" s="672" t="s">
        <v>82</v>
      </c>
      <c r="B34" s="603"/>
      <c r="C34" s="662"/>
      <c r="D34" s="667"/>
      <c r="E34" s="668"/>
      <c r="F34" s="668"/>
      <c r="G34" s="668">
        <f>+F34*$R$2</f>
        <v>0</v>
      </c>
      <c r="H34" s="668">
        <f t="shared" ref="H34:H36" si="38">+F34*$R$2</f>
        <v>0</v>
      </c>
      <c r="I34" s="668">
        <f>+F34*$R$2</f>
        <v>0</v>
      </c>
      <c r="J34" s="668">
        <f t="shared" ref="J34:J36" si="39">+I34*$S$2</f>
        <v>0</v>
      </c>
      <c r="K34" s="668">
        <f t="shared" ref="K34:K36" si="40">+I34*$S$2</f>
        <v>0</v>
      </c>
      <c r="L34" s="668">
        <f t="shared" ref="L34:L36" si="41">+I34*$S$2</f>
        <v>0</v>
      </c>
      <c r="M34" s="668">
        <f t="shared" ref="M34:M36" si="42">+L34*$T$2</f>
        <v>0</v>
      </c>
      <c r="N34" s="668">
        <f t="shared" ref="N34:N36" si="43">+L34*$T$2</f>
        <v>0</v>
      </c>
      <c r="O34" s="669">
        <f>+L34*$T$2</f>
        <v>0</v>
      </c>
      <c r="P34" s="604"/>
      <c r="Q34" s="600"/>
    </row>
    <row r="35" spans="1:17" ht="25.5" customHeight="1">
      <c r="A35" s="670" t="s">
        <v>83</v>
      </c>
      <c r="B35" s="673"/>
      <c r="C35" s="656"/>
      <c r="D35" s="671"/>
      <c r="E35" s="671"/>
      <c r="F35" s="671"/>
      <c r="G35" s="674">
        <f>+F35*$R$2</f>
        <v>0</v>
      </c>
      <c r="H35" s="674">
        <f t="shared" si="38"/>
        <v>0</v>
      </c>
      <c r="I35" s="674">
        <f t="shared" ref="I35:I36" si="44">+F35*$R$2</f>
        <v>0</v>
      </c>
      <c r="J35" s="674">
        <f t="shared" si="39"/>
        <v>0</v>
      </c>
      <c r="K35" s="674">
        <f t="shared" si="40"/>
        <v>0</v>
      </c>
      <c r="L35" s="674">
        <f t="shared" si="41"/>
        <v>0</v>
      </c>
      <c r="M35" s="674">
        <f t="shared" si="42"/>
        <v>0</v>
      </c>
      <c r="N35" s="674">
        <f t="shared" si="43"/>
        <v>0</v>
      </c>
      <c r="O35" s="674">
        <f t="shared" ref="O35:O36" si="45">+L35*$T$2</f>
        <v>0</v>
      </c>
      <c r="P35" s="605">
        <f t="shared" si="36"/>
        <v>0</v>
      </c>
      <c r="Q35" s="606" t="e">
        <f t="shared" si="37"/>
        <v>#DIV/0!</v>
      </c>
    </row>
    <row r="36" spans="1:17" ht="25.5" customHeight="1">
      <c r="A36" s="672" t="s">
        <v>84</v>
      </c>
      <c r="B36" s="661"/>
      <c r="C36" s="675"/>
      <c r="D36" s="676"/>
      <c r="E36" s="665"/>
      <c r="F36" s="665"/>
      <c r="G36" s="665">
        <f>+F36*$R$2</f>
        <v>0</v>
      </c>
      <c r="H36" s="665">
        <f t="shared" si="38"/>
        <v>0</v>
      </c>
      <c r="I36" s="677">
        <f t="shared" si="44"/>
        <v>0</v>
      </c>
      <c r="J36" s="677">
        <f t="shared" si="39"/>
        <v>0</v>
      </c>
      <c r="K36" s="665">
        <f t="shared" si="40"/>
        <v>0</v>
      </c>
      <c r="L36" s="665">
        <f t="shared" si="41"/>
        <v>0</v>
      </c>
      <c r="M36" s="665">
        <f t="shared" si="42"/>
        <v>0</v>
      </c>
      <c r="N36" s="665">
        <f t="shared" si="43"/>
        <v>0</v>
      </c>
      <c r="O36" s="666">
        <f t="shared" si="45"/>
        <v>0</v>
      </c>
      <c r="P36" s="604"/>
      <c r="Q36" s="600"/>
    </row>
    <row r="37" spans="1:17" ht="25.5" customHeight="1" thickBot="1">
      <c r="A37" s="718" t="s">
        <v>18</v>
      </c>
      <c r="B37" s="719"/>
      <c r="C37" s="720"/>
      <c r="D37" s="721"/>
      <c r="E37" s="722"/>
      <c r="F37" s="722"/>
      <c r="G37" s="722"/>
      <c r="H37" s="722"/>
      <c r="I37" s="722"/>
      <c r="J37" s="722"/>
      <c r="K37" s="722"/>
      <c r="L37" s="722"/>
      <c r="M37" s="722"/>
      <c r="N37" s="722"/>
      <c r="O37" s="723"/>
      <c r="P37" s="720"/>
      <c r="Q37" s="724"/>
    </row>
    <row r="38" spans="1:17" ht="25.5" customHeight="1" thickBot="1">
      <c r="A38" s="693" t="s">
        <v>29</v>
      </c>
      <c r="B38" s="725"/>
      <c r="C38" s="726"/>
      <c r="D38" s="727"/>
      <c r="E38" s="728"/>
      <c r="F38" s="728"/>
      <c r="G38" s="728"/>
      <c r="H38" s="728"/>
      <c r="I38" s="728"/>
      <c r="J38" s="728"/>
      <c r="K38" s="728"/>
      <c r="L38" s="728"/>
      <c r="M38" s="728"/>
      <c r="N38" s="728"/>
      <c r="O38" s="729"/>
      <c r="P38" s="726"/>
      <c r="Q38" s="730"/>
    </row>
    <row r="39" spans="1:17" ht="25.5" customHeight="1">
      <c r="A39" s="615" t="s">
        <v>19</v>
      </c>
      <c r="B39" s="607"/>
      <c r="C39" s="608"/>
      <c r="D39" s="681"/>
      <c r="E39" s="681"/>
      <c r="F39" s="681"/>
      <c r="G39" s="683">
        <f>+F39*$R$2</f>
        <v>0</v>
      </c>
      <c r="H39" s="683">
        <f t="shared" ref="H39:H40" si="46">+F39*$R$2</f>
        <v>0</v>
      </c>
      <c r="I39" s="683">
        <f t="shared" ref="I39:I40" si="47">+F39*$R$2</f>
        <v>0</v>
      </c>
      <c r="J39" s="683">
        <f t="shared" ref="J39:J40" si="48">+I39*$S$2</f>
        <v>0</v>
      </c>
      <c r="K39" s="683">
        <f t="shared" ref="K39:K40" si="49">+I39*$S$2</f>
        <v>0</v>
      </c>
      <c r="L39" s="683">
        <f t="shared" ref="L39:L40" si="50">+I39*$S$2</f>
        <v>0</v>
      </c>
      <c r="M39" s="683">
        <f t="shared" ref="M39:M40" si="51">+L39*$T$2</f>
        <v>0</v>
      </c>
      <c r="N39" s="683">
        <f t="shared" ref="N39:N40" si="52">+L39*$T$2</f>
        <v>0</v>
      </c>
      <c r="O39" s="684">
        <f t="shared" ref="O39:O40" si="53">+L39*$T$2</f>
        <v>0</v>
      </c>
      <c r="P39" s="609">
        <f t="shared" ref="P39:P40" si="54">AVERAGE(D39:O39)</f>
        <v>0</v>
      </c>
      <c r="Q39" s="610" t="e">
        <f t="shared" ref="Q39:Q40" si="55">SUM(P39-C39)/C39</f>
        <v>#DIV/0!</v>
      </c>
    </row>
    <row r="40" spans="1:17" ht="25.5" customHeight="1" thickBot="1">
      <c r="A40" s="616" t="s">
        <v>20</v>
      </c>
      <c r="B40" s="611"/>
      <c r="C40" s="612"/>
      <c r="D40" s="685"/>
      <c r="E40" s="685"/>
      <c r="F40" s="685"/>
      <c r="G40" s="686">
        <f t="shared" ref="G40" si="56">+F40*$R$2</f>
        <v>0</v>
      </c>
      <c r="H40" s="686">
        <f t="shared" si="46"/>
        <v>0</v>
      </c>
      <c r="I40" s="686">
        <f t="shared" si="47"/>
        <v>0</v>
      </c>
      <c r="J40" s="686">
        <f t="shared" si="48"/>
        <v>0</v>
      </c>
      <c r="K40" s="686">
        <f t="shared" si="49"/>
        <v>0</v>
      </c>
      <c r="L40" s="686">
        <f t="shared" si="50"/>
        <v>0</v>
      </c>
      <c r="M40" s="686">
        <f t="shared" si="51"/>
        <v>0</v>
      </c>
      <c r="N40" s="686">
        <f t="shared" si="52"/>
        <v>0</v>
      </c>
      <c r="O40" s="686">
        <f t="shared" si="53"/>
        <v>0</v>
      </c>
      <c r="P40" s="613">
        <f t="shared" si="54"/>
        <v>0</v>
      </c>
      <c r="Q40" s="614" t="e">
        <f t="shared" si="55"/>
        <v>#DIV/0!</v>
      </c>
    </row>
    <row r="41" spans="1:17" ht="25.5" customHeight="1" thickBot="1">
      <c r="A41" s="693" t="s">
        <v>30</v>
      </c>
      <c r="B41" s="694"/>
      <c r="C41" s="726"/>
      <c r="D41" s="727"/>
      <c r="E41" s="728"/>
      <c r="F41" s="728"/>
      <c r="G41" s="728"/>
      <c r="H41" s="728"/>
      <c r="I41" s="728"/>
      <c r="J41" s="728"/>
      <c r="K41" s="728"/>
      <c r="L41" s="728"/>
      <c r="M41" s="728"/>
      <c r="N41" s="728"/>
      <c r="O41" s="729"/>
      <c r="P41" s="726"/>
      <c r="Q41" s="730"/>
    </row>
    <row r="42" spans="1:17" ht="25.5" customHeight="1">
      <c r="A42" s="615" t="s">
        <v>106</v>
      </c>
      <c r="B42" s="607"/>
      <c r="C42" s="608"/>
      <c r="D42" s="687">
        <f>D18</f>
        <v>0</v>
      </c>
      <c r="E42" s="687">
        <f t="shared" ref="E42:O42" si="57">E18</f>
        <v>0</v>
      </c>
      <c r="F42" s="687">
        <f t="shared" si="57"/>
        <v>0</v>
      </c>
      <c r="G42" s="687">
        <f t="shared" si="57"/>
        <v>0</v>
      </c>
      <c r="H42" s="687">
        <f t="shared" si="57"/>
        <v>0</v>
      </c>
      <c r="I42" s="687">
        <f t="shared" si="57"/>
        <v>0</v>
      </c>
      <c r="J42" s="687">
        <f t="shared" si="57"/>
        <v>0</v>
      </c>
      <c r="K42" s="687">
        <f t="shared" si="57"/>
        <v>0</v>
      </c>
      <c r="L42" s="687">
        <f t="shared" si="57"/>
        <v>0</v>
      </c>
      <c r="M42" s="687">
        <f t="shared" si="57"/>
        <v>0</v>
      </c>
      <c r="N42" s="687">
        <f t="shared" si="57"/>
        <v>0</v>
      </c>
      <c r="O42" s="687">
        <f t="shared" si="57"/>
        <v>0</v>
      </c>
      <c r="P42" s="609">
        <f t="shared" ref="P42:P43" si="58">AVERAGE(D42:O42)</f>
        <v>0</v>
      </c>
      <c r="Q42" s="610" t="e">
        <f t="shared" ref="Q42:Q43" si="59">SUM(P42-C42)/C42</f>
        <v>#DIV/0!</v>
      </c>
    </row>
    <row r="43" spans="1:17" ht="25.5" customHeight="1" thickBot="1">
      <c r="A43" s="616" t="s">
        <v>105</v>
      </c>
      <c r="B43" s="617"/>
      <c r="C43" s="618"/>
      <c r="D43" s="688">
        <f>D19</f>
        <v>0</v>
      </c>
      <c r="E43" s="688">
        <f t="shared" ref="E43:O43" si="60">E19</f>
        <v>0</v>
      </c>
      <c r="F43" s="688">
        <f t="shared" si="60"/>
        <v>0</v>
      </c>
      <c r="G43" s="688">
        <f t="shared" si="60"/>
        <v>0</v>
      </c>
      <c r="H43" s="688">
        <f t="shared" si="60"/>
        <v>0</v>
      </c>
      <c r="I43" s="688">
        <f t="shared" si="60"/>
        <v>0</v>
      </c>
      <c r="J43" s="688">
        <f t="shared" si="60"/>
        <v>0</v>
      </c>
      <c r="K43" s="688">
        <f t="shared" si="60"/>
        <v>0</v>
      </c>
      <c r="L43" s="688">
        <f t="shared" si="60"/>
        <v>0</v>
      </c>
      <c r="M43" s="688">
        <f t="shared" si="60"/>
        <v>0</v>
      </c>
      <c r="N43" s="688">
        <f t="shared" si="60"/>
        <v>0</v>
      </c>
      <c r="O43" s="688">
        <f t="shared" si="60"/>
        <v>0</v>
      </c>
      <c r="P43" s="619">
        <f t="shared" si="58"/>
        <v>0</v>
      </c>
      <c r="Q43" s="620" t="e">
        <f t="shared" si="59"/>
        <v>#DIV/0!</v>
      </c>
    </row>
    <row r="44" spans="1:17" ht="25.5" customHeight="1" thickBot="1">
      <c r="B44" s="601"/>
      <c r="C44" s="621"/>
      <c r="D44" s="689"/>
      <c r="E44" s="689"/>
      <c r="F44" s="689"/>
      <c r="G44" s="689"/>
      <c r="H44" s="689"/>
      <c r="I44" s="689"/>
      <c r="J44" s="689"/>
      <c r="K44" s="689"/>
      <c r="L44" s="689"/>
      <c r="M44" s="689"/>
      <c r="N44" s="689"/>
      <c r="O44" s="689"/>
      <c r="P44" s="622"/>
      <c r="Q44" s="623"/>
    </row>
    <row r="45" spans="1:17" ht="25.5" customHeight="1" thickBot="1">
      <c r="A45" s="693" t="s">
        <v>86</v>
      </c>
      <c r="B45" s="694"/>
      <c r="C45" s="695"/>
      <c r="D45" s="697">
        <v>13.829000000000001</v>
      </c>
      <c r="E45" s="697">
        <v>13.829000000000001</v>
      </c>
      <c r="F45" s="697">
        <v>13.829000000000001</v>
      </c>
      <c r="G45" s="697">
        <f>$F$21*$R$2</f>
        <v>15.76506</v>
      </c>
      <c r="H45" s="697">
        <f t="shared" ref="H45:I45" si="61">$F$21*$R$2</f>
        <v>15.76506</v>
      </c>
      <c r="I45" s="697">
        <f t="shared" si="61"/>
        <v>15.76506</v>
      </c>
      <c r="J45" s="697">
        <f>$I$21*$S$2</f>
        <v>18.129818999999998</v>
      </c>
      <c r="K45" s="697">
        <f t="shared" ref="K45:L45" si="62">$I$21*$S$2</f>
        <v>18.129818999999998</v>
      </c>
      <c r="L45" s="697">
        <f t="shared" si="62"/>
        <v>18.129818999999998</v>
      </c>
      <c r="M45" s="697">
        <f>$L$21*$T$2</f>
        <v>21.030590039999996</v>
      </c>
      <c r="N45" s="697">
        <f t="shared" ref="N45:O45" si="63">$L$21*$T$2</f>
        <v>21.030590039999996</v>
      </c>
      <c r="O45" s="697">
        <f t="shared" si="63"/>
        <v>21.030590039999996</v>
      </c>
      <c r="P45" s="2269">
        <f t="shared" ref="P45" si="64">AVERAGE(D45:O45)</f>
        <v>17.188617259999997</v>
      </c>
      <c r="Q45" s="699" t="e">
        <f t="shared" ref="Q45" si="65">SUM(P45-C45)/C45</f>
        <v>#DIV/0!</v>
      </c>
    </row>
    <row r="46" spans="1:17" ht="25.5" customHeight="1" thickBot="1">
      <c r="A46" s="624"/>
      <c r="B46" s="625"/>
      <c r="C46" s="626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26"/>
      <c r="Q46" s="627"/>
    </row>
    <row r="47" spans="1:17" ht="25.5" customHeight="1" thickBot="1">
      <c r="A47" s="693" t="s">
        <v>31</v>
      </c>
      <c r="B47" s="694"/>
      <c r="C47" s="695"/>
      <c r="D47" s="696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8"/>
      <c r="P47" s="695"/>
      <c r="Q47" s="699"/>
    </row>
    <row r="48" spans="1:17">
      <c r="B48" s="601"/>
      <c r="C48" s="601"/>
      <c r="D48" s="601"/>
      <c r="E48" s="601"/>
      <c r="F48" s="601"/>
      <c r="G48" s="601"/>
      <c r="H48" s="601"/>
      <c r="I48" s="601"/>
      <c r="J48" s="601"/>
      <c r="K48" s="601"/>
      <c r="L48" s="601"/>
      <c r="M48" s="601"/>
      <c r="N48" s="601"/>
      <c r="O48" s="601"/>
      <c r="P48" s="601"/>
    </row>
    <row r="49" spans="1:20" ht="16.2" thickBot="1">
      <c r="B49" s="601"/>
      <c r="C49" s="601"/>
      <c r="D49" s="601">
        <f>+D57*1.025</f>
        <v>0</v>
      </c>
      <c r="E49" s="601"/>
      <c r="F49" s="601"/>
      <c r="G49" s="601"/>
      <c r="H49" s="601"/>
      <c r="I49" s="601"/>
      <c r="J49" s="601"/>
      <c r="K49" s="601"/>
      <c r="L49" s="601"/>
      <c r="M49" s="601"/>
      <c r="N49" s="601"/>
      <c r="O49" s="601"/>
      <c r="P49" s="601"/>
    </row>
    <row r="50" spans="1:20" ht="32.1" customHeight="1" thickBot="1">
      <c r="A50" s="649"/>
      <c r="B50" s="2392"/>
      <c r="C50" s="2392" t="s">
        <v>695</v>
      </c>
      <c r="D50" s="2394" t="s">
        <v>91</v>
      </c>
      <c r="E50" s="2395"/>
      <c r="F50" s="2395"/>
      <c r="G50" s="2395"/>
      <c r="H50" s="2395"/>
      <c r="I50" s="2395"/>
      <c r="J50" s="2395"/>
      <c r="K50" s="2395"/>
      <c r="L50" s="2395"/>
      <c r="M50" s="2395"/>
      <c r="N50" s="2395"/>
      <c r="O50" s="2395"/>
      <c r="P50" s="2396"/>
      <c r="Q50" s="937" t="s">
        <v>605</v>
      </c>
    </row>
    <row r="51" spans="1:20" ht="32.1" customHeight="1" thickBot="1">
      <c r="A51" s="650"/>
      <c r="B51" s="2393"/>
      <c r="C51" s="2393"/>
      <c r="D51" s="678" t="s">
        <v>1</v>
      </c>
      <c r="E51" s="679" t="s">
        <v>2</v>
      </c>
      <c r="F51" s="679" t="s">
        <v>3</v>
      </c>
      <c r="G51" s="679" t="s">
        <v>4</v>
      </c>
      <c r="H51" s="679" t="s">
        <v>5</v>
      </c>
      <c r="I51" s="679" t="s">
        <v>6</v>
      </c>
      <c r="J51" s="679" t="s">
        <v>7</v>
      </c>
      <c r="K51" s="679" t="s">
        <v>8</v>
      </c>
      <c r="L51" s="679" t="s">
        <v>9</v>
      </c>
      <c r="M51" s="679" t="s">
        <v>10</v>
      </c>
      <c r="N51" s="679" t="s">
        <v>11</v>
      </c>
      <c r="O51" s="680" t="s">
        <v>12</v>
      </c>
      <c r="P51" s="651" t="s">
        <v>281</v>
      </c>
      <c r="Q51" s="941" t="s">
        <v>693</v>
      </c>
      <c r="R51" s="913" t="s">
        <v>509</v>
      </c>
      <c r="S51" s="913" t="s">
        <v>150</v>
      </c>
      <c r="T51" s="913" t="s">
        <v>151</v>
      </c>
    </row>
    <row r="52" spans="1:20" ht="25.5" customHeight="1" thickBot="1">
      <c r="A52" s="693" t="s">
        <v>28</v>
      </c>
      <c r="B52" s="694"/>
      <c r="C52" s="695"/>
      <c r="D52" s="696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8"/>
      <c r="P52" s="695"/>
      <c r="Q52" s="699"/>
      <c r="R52" s="1795" t="s">
        <v>91</v>
      </c>
      <c r="S52" s="914"/>
      <c r="T52" s="914" t="s">
        <v>320</v>
      </c>
    </row>
    <row r="53" spans="1:20" ht="25.5" customHeight="1">
      <c r="A53" s="654" t="s">
        <v>15</v>
      </c>
      <c r="B53" s="655"/>
      <c r="C53" s="656"/>
      <c r="D53" s="657"/>
      <c r="E53" s="657"/>
      <c r="F53" s="657"/>
      <c r="G53" s="657">
        <f>+F53*$R$2</f>
        <v>0</v>
      </c>
      <c r="H53" s="657">
        <f t="shared" ref="H53" si="66">+F53*$R$2</f>
        <v>0</v>
      </c>
      <c r="I53" s="657">
        <f t="shared" ref="I53" si="67">+F53*$R$2</f>
        <v>0</v>
      </c>
      <c r="J53" s="657">
        <f t="shared" ref="J53:J60" si="68">+I53*$S$2</f>
        <v>0</v>
      </c>
      <c r="K53" s="657">
        <f t="shared" ref="K53" si="69">+I53*$S$2</f>
        <v>0</v>
      </c>
      <c r="L53" s="657">
        <f t="shared" ref="L53" si="70">+I53*$S$2</f>
        <v>0</v>
      </c>
      <c r="M53" s="657">
        <f t="shared" ref="M53:M60" si="71">+L53*$T$2</f>
        <v>0</v>
      </c>
      <c r="N53" s="657">
        <f t="shared" ref="N53" si="72">+L53*$T$2</f>
        <v>0</v>
      </c>
      <c r="O53" s="657">
        <f t="shared" ref="O53" si="73">+L53*$T$2</f>
        <v>0</v>
      </c>
      <c r="P53" s="658">
        <f t="shared" ref="P53:P59" si="74">AVERAGE(D53:O53)</f>
        <v>0</v>
      </c>
      <c r="Q53" s="659" t="e">
        <f t="shared" ref="Q53:Q54" si="75">SUM(P53-C53)/C53</f>
        <v>#DIV/0!</v>
      </c>
    </row>
    <row r="54" spans="1:20" ht="25.5" customHeight="1">
      <c r="A54" s="660" t="s">
        <v>16</v>
      </c>
      <c r="B54" s="661"/>
      <c r="C54" s="662"/>
      <c r="D54" s="663"/>
      <c r="E54" s="663"/>
      <c r="F54" s="663"/>
      <c r="G54" s="663">
        <f>+F54*$R$2</f>
        <v>0</v>
      </c>
      <c r="H54" s="663">
        <f t="shared" ref="H54" si="76">+F54*$R$2</f>
        <v>0</v>
      </c>
      <c r="I54" s="663">
        <f t="shared" ref="I54" si="77">+F54*$R$2</f>
        <v>0</v>
      </c>
      <c r="J54" s="663">
        <f t="shared" si="68"/>
        <v>0</v>
      </c>
      <c r="K54" s="663">
        <f t="shared" ref="K54" si="78">+I54*$S$2</f>
        <v>0</v>
      </c>
      <c r="L54" s="663">
        <f t="shared" ref="L54" si="79">+I54*$S$2</f>
        <v>0</v>
      </c>
      <c r="M54" s="663">
        <f t="shared" si="71"/>
        <v>0</v>
      </c>
      <c r="N54" s="663">
        <f t="shared" ref="N54" si="80">+L54*$T$2</f>
        <v>0</v>
      </c>
      <c r="O54" s="663">
        <f t="shared" ref="O54" si="81">+L54*$T$2</f>
        <v>0</v>
      </c>
      <c r="P54" s="604">
        <f t="shared" si="74"/>
        <v>0</v>
      </c>
      <c r="Q54" s="600" t="e">
        <f t="shared" si="75"/>
        <v>#DIV/0!</v>
      </c>
    </row>
    <row r="55" spans="1:20" ht="25.5" customHeight="1">
      <c r="A55" s="701" t="s">
        <v>27</v>
      </c>
      <c r="B55" s="702"/>
      <c r="C55" s="703"/>
      <c r="D55" s="704"/>
      <c r="E55" s="705"/>
      <c r="F55" s="705"/>
      <c r="G55" s="705"/>
      <c r="H55" s="705"/>
      <c r="I55" s="705"/>
      <c r="J55" s="705"/>
      <c r="K55" s="705"/>
      <c r="L55" s="705"/>
      <c r="M55" s="705"/>
      <c r="N55" s="705"/>
      <c r="O55" s="706"/>
      <c r="P55" s="707"/>
      <c r="Q55" s="708"/>
    </row>
    <row r="56" spans="1:20" ht="25.5" customHeight="1">
      <c r="A56" s="710" t="s">
        <v>17</v>
      </c>
      <c r="B56" s="711"/>
      <c r="C56" s="712"/>
      <c r="D56" s="713"/>
      <c r="E56" s="714"/>
      <c r="F56" s="714"/>
      <c r="G56" s="714">
        <f t="shared" ref="G56:G60" si="82">+F56*$R$2</f>
        <v>0</v>
      </c>
      <c r="H56" s="714">
        <f t="shared" ref="H56:H60" si="83">+F56*$R$2</f>
        <v>0</v>
      </c>
      <c r="I56" s="714">
        <f t="shared" ref="I56:I60" si="84">+F56*$R$2</f>
        <v>0</v>
      </c>
      <c r="J56" s="714">
        <f t="shared" si="68"/>
        <v>0</v>
      </c>
      <c r="K56" s="714">
        <f t="shared" ref="K56:K60" si="85">+I56*$S$2</f>
        <v>0</v>
      </c>
      <c r="L56" s="714">
        <f t="shared" ref="L56:L60" si="86">+I56*$S$2</f>
        <v>0</v>
      </c>
      <c r="M56" s="714">
        <f t="shared" si="71"/>
        <v>0</v>
      </c>
      <c r="N56" s="714">
        <f t="shared" ref="N56:N60" si="87">+L56*$T$2</f>
        <v>0</v>
      </c>
      <c r="O56" s="715">
        <f t="shared" ref="O56:O60" si="88">+L56*$T$2</f>
        <v>0</v>
      </c>
      <c r="P56" s="604">
        <f>AVERAGE(D56:O56)</f>
        <v>0</v>
      </c>
      <c r="Q56" s="717"/>
    </row>
    <row r="57" spans="1:20" ht="25.5" customHeight="1">
      <c r="A57" s="670" t="s">
        <v>81</v>
      </c>
      <c r="B57" s="602"/>
      <c r="C57" s="656"/>
      <c r="D57" s="657"/>
      <c r="E57" s="657"/>
      <c r="F57" s="657"/>
      <c r="G57" s="657">
        <v>20.484193078018745</v>
      </c>
      <c r="H57" s="657">
        <v>20.859365293877371</v>
      </c>
      <c r="I57" s="657">
        <v>21.717449379567885</v>
      </c>
      <c r="J57" s="657">
        <v>22.677904810291913</v>
      </c>
      <c r="K57" s="657">
        <v>23.205150194018518</v>
      </c>
      <c r="L57" s="657">
        <v>23.027045912009168</v>
      </c>
      <c r="M57" s="657">
        <v>23.692937343234373</v>
      </c>
      <c r="N57" s="657">
        <v>22.99839729760826</v>
      </c>
      <c r="O57" s="657">
        <v>23.491706166247948</v>
      </c>
      <c r="P57" s="605">
        <f t="shared" si="74"/>
        <v>22.461572163874909</v>
      </c>
      <c r="Q57" s="606" t="e">
        <f t="shared" ref="Q57" si="89">SUM(P57-C57)/C57</f>
        <v>#DIV/0!</v>
      </c>
    </row>
    <row r="58" spans="1:20" ht="25.5" customHeight="1">
      <c r="A58" s="672" t="s">
        <v>82</v>
      </c>
      <c r="B58" s="603"/>
      <c r="C58" s="662"/>
      <c r="D58" s="667"/>
      <c r="E58" s="668"/>
      <c r="F58" s="668"/>
      <c r="G58" s="668">
        <f t="shared" si="82"/>
        <v>0</v>
      </c>
      <c r="H58" s="668">
        <f t="shared" si="83"/>
        <v>0</v>
      </c>
      <c r="I58" s="668">
        <f t="shared" si="84"/>
        <v>0</v>
      </c>
      <c r="J58" s="668">
        <f t="shared" si="68"/>
        <v>0</v>
      </c>
      <c r="K58" s="668">
        <f t="shared" si="85"/>
        <v>0</v>
      </c>
      <c r="L58" s="668">
        <f t="shared" si="86"/>
        <v>0</v>
      </c>
      <c r="M58" s="668">
        <f t="shared" si="71"/>
        <v>0</v>
      </c>
      <c r="N58" s="668">
        <f t="shared" si="87"/>
        <v>0</v>
      </c>
      <c r="O58" s="669">
        <f t="shared" si="88"/>
        <v>0</v>
      </c>
      <c r="P58" s="604"/>
      <c r="Q58" s="600"/>
    </row>
    <row r="59" spans="1:20" ht="25.5" customHeight="1">
      <c r="A59" s="670" t="s">
        <v>83</v>
      </c>
      <c r="B59" s="673"/>
      <c r="C59" s="656"/>
      <c r="D59" s="674"/>
      <c r="E59" s="674"/>
      <c r="F59" s="674"/>
      <c r="G59" s="674">
        <f t="shared" si="82"/>
        <v>0</v>
      </c>
      <c r="H59" s="674">
        <f t="shared" si="83"/>
        <v>0</v>
      </c>
      <c r="I59" s="674">
        <f t="shared" si="84"/>
        <v>0</v>
      </c>
      <c r="J59" s="674">
        <f t="shared" si="68"/>
        <v>0</v>
      </c>
      <c r="K59" s="674">
        <f t="shared" si="85"/>
        <v>0</v>
      </c>
      <c r="L59" s="674">
        <f t="shared" si="86"/>
        <v>0</v>
      </c>
      <c r="M59" s="674">
        <f t="shared" si="71"/>
        <v>0</v>
      </c>
      <c r="N59" s="674">
        <f t="shared" si="87"/>
        <v>0</v>
      </c>
      <c r="O59" s="674">
        <f t="shared" si="88"/>
        <v>0</v>
      </c>
      <c r="P59" s="605">
        <f t="shared" si="74"/>
        <v>0</v>
      </c>
      <c r="Q59" s="606" t="e">
        <f t="shared" ref="Q59" si="90">SUM(P59-C59)/C59</f>
        <v>#DIV/0!</v>
      </c>
    </row>
    <row r="60" spans="1:20" ht="25.5" customHeight="1">
      <c r="A60" s="672" t="s">
        <v>84</v>
      </c>
      <c r="B60" s="661"/>
      <c r="C60" s="675"/>
      <c r="D60" s="676"/>
      <c r="E60" s="665"/>
      <c r="F60" s="665"/>
      <c r="G60" s="665">
        <f t="shared" si="82"/>
        <v>0</v>
      </c>
      <c r="H60" s="665">
        <f t="shared" si="83"/>
        <v>0</v>
      </c>
      <c r="I60" s="677">
        <f t="shared" si="84"/>
        <v>0</v>
      </c>
      <c r="J60" s="677">
        <f t="shared" si="68"/>
        <v>0</v>
      </c>
      <c r="K60" s="665">
        <f t="shared" si="85"/>
        <v>0</v>
      </c>
      <c r="L60" s="665">
        <f t="shared" si="86"/>
        <v>0</v>
      </c>
      <c r="M60" s="665">
        <f t="shared" si="71"/>
        <v>0</v>
      </c>
      <c r="N60" s="665">
        <f t="shared" si="87"/>
        <v>0</v>
      </c>
      <c r="O60" s="666">
        <f t="shared" si="88"/>
        <v>0</v>
      </c>
      <c r="P60" s="604"/>
      <c r="Q60" s="600"/>
    </row>
    <row r="61" spans="1:20" ht="25.5" customHeight="1" thickBot="1">
      <c r="A61" s="718" t="s">
        <v>18</v>
      </c>
      <c r="B61" s="719"/>
      <c r="C61" s="720"/>
      <c r="D61" s="721"/>
      <c r="E61" s="722"/>
      <c r="F61" s="722"/>
      <c r="G61" s="722"/>
      <c r="H61" s="722"/>
      <c r="I61" s="722"/>
      <c r="J61" s="722"/>
      <c r="K61" s="722"/>
      <c r="L61" s="722"/>
      <c r="M61" s="722"/>
      <c r="N61" s="722"/>
      <c r="O61" s="723"/>
      <c r="P61" s="720"/>
      <c r="Q61" s="724"/>
    </row>
    <row r="62" spans="1:20" ht="25.5" customHeight="1" thickBot="1">
      <c r="A62" s="693" t="s">
        <v>29</v>
      </c>
      <c r="B62" s="725"/>
      <c r="C62" s="726"/>
      <c r="D62" s="727"/>
      <c r="E62" s="728"/>
      <c r="F62" s="728"/>
      <c r="G62" s="728"/>
      <c r="H62" s="728"/>
      <c r="I62" s="728"/>
      <c r="J62" s="728"/>
      <c r="K62" s="728"/>
      <c r="L62" s="728"/>
      <c r="M62" s="728"/>
      <c r="N62" s="728"/>
      <c r="O62" s="729"/>
      <c r="P62" s="726"/>
      <c r="Q62" s="730"/>
    </row>
    <row r="63" spans="1:20" ht="25.5" customHeight="1">
      <c r="A63" s="615" t="s">
        <v>19</v>
      </c>
      <c r="B63" s="607"/>
      <c r="C63" s="608"/>
      <c r="D63" s="681"/>
      <c r="E63" s="681"/>
      <c r="F63" s="681"/>
      <c r="G63" s="683">
        <f>+F63*$R$2</f>
        <v>0</v>
      </c>
      <c r="H63" s="683">
        <f t="shared" ref="H63:H64" si="91">+F63*$R$2</f>
        <v>0</v>
      </c>
      <c r="I63" s="683">
        <f t="shared" ref="I63:I64" si="92">+F63*$R$2</f>
        <v>0</v>
      </c>
      <c r="J63" s="683">
        <f t="shared" ref="J63:J64" si="93">+I63*$S$2</f>
        <v>0</v>
      </c>
      <c r="K63" s="683">
        <f t="shared" ref="K63:K64" si="94">+I63*$S$2</f>
        <v>0</v>
      </c>
      <c r="L63" s="683">
        <f t="shared" ref="L63:L64" si="95">+I63*$S$2</f>
        <v>0</v>
      </c>
      <c r="M63" s="683">
        <f t="shared" ref="M63:M64" si="96">+L63*$T$2</f>
        <v>0</v>
      </c>
      <c r="N63" s="683">
        <f t="shared" ref="N63:N64" si="97">+L63*$T$2</f>
        <v>0</v>
      </c>
      <c r="O63" s="684">
        <f t="shared" ref="O63:O64" si="98">+L63*$T$2</f>
        <v>0</v>
      </c>
      <c r="P63" s="609">
        <f t="shared" ref="P63:P69" si="99">AVERAGE(D63:O63)</f>
        <v>0</v>
      </c>
      <c r="Q63" s="610" t="e">
        <f t="shared" ref="Q63:Q64" si="100">SUM(P63-C63)/C63</f>
        <v>#DIV/0!</v>
      </c>
    </row>
    <row r="64" spans="1:20" ht="25.5" customHeight="1" thickBot="1">
      <c r="A64" s="616" t="s">
        <v>20</v>
      </c>
      <c r="B64" s="611"/>
      <c r="C64" s="612"/>
      <c r="D64" s="685"/>
      <c r="E64" s="685"/>
      <c r="F64" s="685"/>
      <c r="G64" s="686">
        <f t="shared" ref="G64" si="101">+F64*$R$2</f>
        <v>0</v>
      </c>
      <c r="H64" s="686">
        <f t="shared" si="91"/>
        <v>0</v>
      </c>
      <c r="I64" s="686">
        <f t="shared" si="92"/>
        <v>0</v>
      </c>
      <c r="J64" s="686">
        <f t="shared" si="93"/>
        <v>0</v>
      </c>
      <c r="K64" s="686">
        <f t="shared" si="94"/>
        <v>0</v>
      </c>
      <c r="L64" s="686">
        <f t="shared" si="95"/>
        <v>0</v>
      </c>
      <c r="M64" s="686">
        <f t="shared" si="96"/>
        <v>0</v>
      </c>
      <c r="N64" s="686">
        <f t="shared" si="97"/>
        <v>0</v>
      </c>
      <c r="O64" s="686">
        <f t="shared" si="98"/>
        <v>0</v>
      </c>
      <c r="P64" s="613">
        <f t="shared" si="99"/>
        <v>0</v>
      </c>
      <c r="Q64" s="614" t="e">
        <f t="shared" si="100"/>
        <v>#DIV/0!</v>
      </c>
    </row>
    <row r="65" spans="1:20" ht="25.5" customHeight="1" thickBot="1">
      <c r="A65" s="693" t="s">
        <v>30</v>
      </c>
      <c r="B65" s="694"/>
      <c r="C65" s="726"/>
      <c r="D65" s="727"/>
      <c r="E65" s="728"/>
      <c r="F65" s="728"/>
      <c r="G65" s="728"/>
      <c r="H65" s="728"/>
      <c r="I65" s="728"/>
      <c r="J65" s="728"/>
      <c r="K65" s="728"/>
      <c r="L65" s="728"/>
      <c r="M65" s="728"/>
      <c r="N65" s="728"/>
      <c r="O65" s="729"/>
      <c r="P65" s="726"/>
      <c r="Q65" s="730"/>
    </row>
    <row r="66" spans="1:20" ht="25.5" customHeight="1">
      <c r="A66" s="615" t="s">
        <v>106</v>
      </c>
      <c r="B66" s="607"/>
      <c r="C66" s="608"/>
      <c r="D66" s="687">
        <f>D18</f>
        <v>0</v>
      </c>
      <c r="E66" s="687">
        <f t="shared" ref="E66:O66" si="102">E18</f>
        <v>0</v>
      </c>
      <c r="F66" s="687">
        <f t="shared" si="102"/>
        <v>0</v>
      </c>
      <c r="G66" s="687">
        <f t="shared" si="102"/>
        <v>0</v>
      </c>
      <c r="H66" s="687">
        <f t="shared" si="102"/>
        <v>0</v>
      </c>
      <c r="I66" s="687">
        <f t="shared" si="102"/>
        <v>0</v>
      </c>
      <c r="J66" s="687">
        <f t="shared" si="102"/>
        <v>0</v>
      </c>
      <c r="K66" s="687">
        <f t="shared" si="102"/>
        <v>0</v>
      </c>
      <c r="L66" s="687">
        <f t="shared" si="102"/>
        <v>0</v>
      </c>
      <c r="M66" s="687">
        <f t="shared" si="102"/>
        <v>0</v>
      </c>
      <c r="N66" s="687">
        <f t="shared" si="102"/>
        <v>0</v>
      </c>
      <c r="O66" s="687">
        <f t="shared" si="102"/>
        <v>0</v>
      </c>
      <c r="P66" s="609">
        <f t="shared" si="99"/>
        <v>0</v>
      </c>
      <c r="Q66" s="610" t="e">
        <f t="shared" ref="Q66:Q67" si="103">SUM(P66-C66)/C66</f>
        <v>#DIV/0!</v>
      </c>
    </row>
    <row r="67" spans="1:20" ht="25.5" customHeight="1" thickBot="1">
      <c r="A67" s="616" t="s">
        <v>105</v>
      </c>
      <c r="B67" s="617"/>
      <c r="C67" s="618"/>
      <c r="D67" s="688">
        <f>D19</f>
        <v>0</v>
      </c>
      <c r="E67" s="688">
        <f t="shared" ref="E67:O67" si="104">E19</f>
        <v>0</v>
      </c>
      <c r="F67" s="688">
        <f t="shared" si="104"/>
        <v>0</v>
      </c>
      <c r="G67" s="688">
        <f t="shared" si="104"/>
        <v>0</v>
      </c>
      <c r="H67" s="688">
        <f t="shared" si="104"/>
        <v>0</v>
      </c>
      <c r="I67" s="688">
        <f t="shared" si="104"/>
        <v>0</v>
      </c>
      <c r="J67" s="688">
        <f t="shared" si="104"/>
        <v>0</v>
      </c>
      <c r="K67" s="688">
        <f t="shared" si="104"/>
        <v>0</v>
      </c>
      <c r="L67" s="688">
        <f t="shared" si="104"/>
        <v>0</v>
      </c>
      <c r="M67" s="688">
        <f t="shared" si="104"/>
        <v>0</v>
      </c>
      <c r="N67" s="688">
        <f t="shared" si="104"/>
        <v>0</v>
      </c>
      <c r="O67" s="688">
        <f t="shared" si="104"/>
        <v>0</v>
      </c>
      <c r="P67" s="619">
        <f t="shared" si="99"/>
        <v>0</v>
      </c>
      <c r="Q67" s="620" t="e">
        <f t="shared" si="103"/>
        <v>#DIV/0!</v>
      </c>
    </row>
    <row r="68" spans="1:20" ht="25.5" customHeight="1" thickBot="1">
      <c r="B68" s="601"/>
      <c r="C68" s="621"/>
      <c r="D68" s="689"/>
      <c r="E68" s="689"/>
      <c r="F68" s="689"/>
      <c r="G68" s="689"/>
      <c r="H68" s="689"/>
      <c r="I68" s="689"/>
      <c r="J68" s="689"/>
      <c r="K68" s="689"/>
      <c r="L68" s="689"/>
      <c r="M68" s="689"/>
      <c r="N68" s="689"/>
      <c r="O68" s="689"/>
      <c r="P68" s="622"/>
      <c r="Q68" s="623"/>
    </row>
    <row r="69" spans="1:20" ht="25.5" customHeight="1" thickBot="1">
      <c r="A69" s="693" t="s">
        <v>86</v>
      </c>
      <c r="B69" s="694"/>
      <c r="C69" s="695"/>
      <c r="D69" s="697">
        <v>13.829000000000001</v>
      </c>
      <c r="E69" s="697">
        <v>13.829000000000001</v>
      </c>
      <c r="F69" s="697">
        <v>13.829000000000001</v>
      </c>
      <c r="G69" s="697">
        <f>$F$21*$R$2</f>
        <v>15.76506</v>
      </c>
      <c r="H69" s="697">
        <f t="shared" ref="H69:I69" si="105">$F$21*$R$2</f>
        <v>15.76506</v>
      </c>
      <c r="I69" s="697">
        <f t="shared" si="105"/>
        <v>15.76506</v>
      </c>
      <c r="J69" s="697">
        <f>$I$21*$S$2</f>
        <v>18.129818999999998</v>
      </c>
      <c r="K69" s="697">
        <f t="shared" ref="K69:L69" si="106">$I$21*$S$2</f>
        <v>18.129818999999998</v>
      </c>
      <c r="L69" s="697">
        <f t="shared" si="106"/>
        <v>18.129818999999998</v>
      </c>
      <c r="M69" s="697">
        <f>$L$21*$T$2</f>
        <v>21.030590039999996</v>
      </c>
      <c r="N69" s="697">
        <f t="shared" ref="N69:O69" si="107">$L$21*$T$2</f>
        <v>21.030590039999996</v>
      </c>
      <c r="O69" s="697">
        <f t="shared" si="107"/>
        <v>21.030590039999996</v>
      </c>
      <c r="P69" s="2269">
        <f t="shared" si="99"/>
        <v>17.188617259999997</v>
      </c>
      <c r="Q69" s="699" t="e">
        <f t="shared" ref="Q69" si="108">SUM(P69-C69)/C69</f>
        <v>#DIV/0!</v>
      </c>
    </row>
    <row r="70" spans="1:20" ht="25.5" customHeight="1" thickBot="1">
      <c r="A70" s="624"/>
      <c r="B70" s="625"/>
      <c r="C70" s="626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26"/>
      <c r="Q70" s="627"/>
    </row>
    <row r="71" spans="1:20" ht="25.5" customHeight="1" thickBot="1">
      <c r="A71" s="693" t="s">
        <v>31</v>
      </c>
      <c r="B71" s="694"/>
      <c r="C71" s="695"/>
      <c r="D71" s="696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8"/>
      <c r="P71" s="695"/>
      <c r="Q71" s="699"/>
    </row>
    <row r="72" spans="1:20">
      <c r="B72" s="601"/>
      <c r="C72" s="601"/>
      <c r="D72" s="601"/>
      <c r="E72" s="601"/>
      <c r="F72" s="601"/>
      <c r="G72" s="601"/>
      <c r="H72" s="601"/>
      <c r="I72" s="601"/>
      <c r="J72" s="601"/>
      <c r="K72" s="601"/>
      <c r="L72" s="601"/>
      <c r="M72" s="601"/>
      <c r="N72" s="601"/>
      <c r="O72" s="601"/>
      <c r="P72" s="601"/>
    </row>
    <row r="73" spans="1:20" ht="16.2" thickBot="1">
      <c r="B73" s="601"/>
      <c r="C73" s="601"/>
      <c r="D73" s="601">
        <f>+D81*1.025</f>
        <v>0</v>
      </c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</row>
    <row r="74" spans="1:20" ht="32.1" customHeight="1" thickBot="1">
      <c r="A74" s="649"/>
      <c r="B74" s="2390"/>
      <c r="C74" s="2392" t="s">
        <v>695</v>
      </c>
      <c r="D74" s="2394" t="s">
        <v>104</v>
      </c>
      <c r="E74" s="2395"/>
      <c r="F74" s="2395"/>
      <c r="G74" s="2395"/>
      <c r="H74" s="2395"/>
      <c r="I74" s="2395"/>
      <c r="J74" s="2395"/>
      <c r="K74" s="2395"/>
      <c r="L74" s="2395"/>
      <c r="M74" s="2395"/>
      <c r="N74" s="2395"/>
      <c r="O74" s="2395"/>
      <c r="P74" s="2396"/>
      <c r="Q74" s="937" t="s">
        <v>605</v>
      </c>
    </row>
    <row r="75" spans="1:20" ht="32.1" customHeight="1" thickBot="1">
      <c r="A75" s="650"/>
      <c r="B75" s="2391" t="s">
        <v>87</v>
      </c>
      <c r="C75" s="2393"/>
      <c r="D75" s="678" t="s">
        <v>1</v>
      </c>
      <c r="E75" s="679" t="s">
        <v>2</v>
      </c>
      <c r="F75" s="679" t="s">
        <v>3</v>
      </c>
      <c r="G75" s="679" t="s">
        <v>4</v>
      </c>
      <c r="H75" s="679" t="s">
        <v>5</v>
      </c>
      <c r="I75" s="679" t="s">
        <v>6</v>
      </c>
      <c r="J75" s="679" t="s">
        <v>7</v>
      </c>
      <c r="K75" s="679" t="s">
        <v>8</v>
      </c>
      <c r="L75" s="679" t="s">
        <v>9</v>
      </c>
      <c r="M75" s="679" t="s">
        <v>10</v>
      </c>
      <c r="N75" s="679" t="s">
        <v>11</v>
      </c>
      <c r="O75" s="680" t="s">
        <v>12</v>
      </c>
      <c r="P75" s="651" t="s">
        <v>281</v>
      </c>
      <c r="Q75" s="941" t="s">
        <v>693</v>
      </c>
      <c r="R75" s="913" t="s">
        <v>509</v>
      </c>
      <c r="S75" s="913" t="s">
        <v>150</v>
      </c>
      <c r="T75" s="913" t="s">
        <v>151</v>
      </c>
    </row>
    <row r="76" spans="1:20" ht="25.5" customHeight="1" thickBot="1">
      <c r="A76" s="693" t="s">
        <v>28</v>
      </c>
      <c r="B76" s="694"/>
      <c r="C76" s="695"/>
      <c r="D76" s="696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8"/>
      <c r="P76" s="695"/>
      <c r="Q76" s="699"/>
      <c r="R76" s="914" t="s">
        <v>172</v>
      </c>
      <c r="S76" s="914"/>
      <c r="T76" s="914" t="s">
        <v>320</v>
      </c>
    </row>
    <row r="77" spans="1:20" ht="25.5" customHeight="1">
      <c r="A77" s="654" t="s">
        <v>15</v>
      </c>
      <c r="B77" s="655"/>
      <c r="C77" s="656"/>
      <c r="D77" s="657"/>
      <c r="E77" s="657"/>
      <c r="F77" s="657"/>
      <c r="G77" s="657">
        <f>+F77*$R$2</f>
        <v>0</v>
      </c>
      <c r="H77" s="657">
        <f t="shared" ref="H77:H78" si="109">+F77*$R$2</f>
        <v>0</v>
      </c>
      <c r="I77" s="657">
        <f t="shared" ref="I77:I78" si="110">+F77*$R$2</f>
        <v>0</v>
      </c>
      <c r="J77" s="657">
        <f t="shared" ref="J77:J84" si="111">+I77*$S$2</f>
        <v>0</v>
      </c>
      <c r="K77" s="657">
        <f t="shared" ref="K77:K78" si="112">+I77*$S$2</f>
        <v>0</v>
      </c>
      <c r="L77" s="657">
        <f t="shared" ref="L77:L78" si="113">+I77*$S$2</f>
        <v>0</v>
      </c>
      <c r="M77" s="657">
        <f t="shared" ref="M77:M84" si="114">+L77*$T$2</f>
        <v>0</v>
      </c>
      <c r="N77" s="657">
        <f t="shared" ref="N77:N78" si="115">+L77*$T$2</f>
        <v>0</v>
      </c>
      <c r="O77" s="657">
        <f t="shared" ref="O77:O78" si="116">+L77*$T$2</f>
        <v>0</v>
      </c>
      <c r="P77" s="658">
        <f t="shared" ref="P77:P93" si="117">AVERAGE(D77:O77)</f>
        <v>0</v>
      </c>
      <c r="Q77" s="659" t="e">
        <f t="shared" ref="Q77:Q78" si="118">SUM(P77-C77)/C77</f>
        <v>#DIV/0!</v>
      </c>
    </row>
    <row r="78" spans="1:20" ht="25.5" customHeight="1">
      <c r="A78" s="660" t="s">
        <v>16</v>
      </c>
      <c r="B78" s="661"/>
      <c r="C78" s="662"/>
      <c r="D78" s="663"/>
      <c r="E78" s="663"/>
      <c r="F78" s="663"/>
      <c r="G78" s="663">
        <f>+F78*$R$2</f>
        <v>0</v>
      </c>
      <c r="H78" s="663">
        <f t="shared" si="109"/>
        <v>0</v>
      </c>
      <c r="I78" s="663">
        <f t="shared" si="110"/>
        <v>0</v>
      </c>
      <c r="J78" s="663">
        <f t="shared" si="111"/>
        <v>0</v>
      </c>
      <c r="K78" s="663">
        <f t="shared" si="112"/>
        <v>0</v>
      </c>
      <c r="L78" s="663">
        <f t="shared" si="113"/>
        <v>0</v>
      </c>
      <c r="M78" s="663">
        <f t="shared" si="114"/>
        <v>0</v>
      </c>
      <c r="N78" s="663">
        <f t="shared" si="115"/>
        <v>0</v>
      </c>
      <c r="O78" s="663">
        <f t="shared" si="116"/>
        <v>0</v>
      </c>
      <c r="P78" s="604">
        <f t="shared" si="117"/>
        <v>0</v>
      </c>
      <c r="Q78" s="600" t="e">
        <f t="shared" si="118"/>
        <v>#DIV/0!</v>
      </c>
    </row>
    <row r="79" spans="1:20" ht="25.5" customHeight="1">
      <c r="A79" s="701" t="s">
        <v>27</v>
      </c>
      <c r="B79" s="702"/>
      <c r="C79" s="703"/>
      <c r="D79" s="704"/>
      <c r="E79" s="705"/>
      <c r="F79" s="705"/>
      <c r="G79" s="705"/>
      <c r="H79" s="705"/>
      <c r="I79" s="705"/>
      <c r="J79" s="705"/>
      <c r="K79" s="705"/>
      <c r="L79" s="705"/>
      <c r="M79" s="705"/>
      <c r="N79" s="705"/>
      <c r="O79" s="706"/>
      <c r="P79" s="707"/>
      <c r="Q79" s="708"/>
    </row>
    <row r="80" spans="1:20" ht="25.5" customHeight="1">
      <c r="A80" s="710" t="s">
        <v>17</v>
      </c>
      <c r="B80" s="711"/>
      <c r="C80" s="712"/>
      <c r="D80" s="713"/>
      <c r="E80" s="714"/>
      <c r="F80" s="714"/>
      <c r="G80" s="714">
        <f t="shared" ref="G80:G84" si="119">+F80*$R$2</f>
        <v>0</v>
      </c>
      <c r="H80" s="714">
        <f t="shared" ref="H80:H84" si="120">+F80*$R$2</f>
        <v>0</v>
      </c>
      <c r="I80" s="714">
        <f t="shared" ref="I80:I84" si="121">+F80*$R$2</f>
        <v>0</v>
      </c>
      <c r="J80" s="714">
        <f t="shared" si="111"/>
        <v>0</v>
      </c>
      <c r="K80" s="714">
        <f t="shared" ref="K80:K84" si="122">+I80*$S$2</f>
        <v>0</v>
      </c>
      <c r="L80" s="714">
        <f t="shared" ref="L80:L84" si="123">+I80*$S$2</f>
        <v>0</v>
      </c>
      <c r="M80" s="714">
        <f t="shared" si="114"/>
        <v>0</v>
      </c>
      <c r="N80" s="714">
        <f t="shared" ref="N80:N84" si="124">+L80*$T$2</f>
        <v>0</v>
      </c>
      <c r="O80" s="715">
        <f t="shared" ref="O80:O84" si="125">+L80*$T$2</f>
        <v>0</v>
      </c>
      <c r="P80" s="604">
        <f>AVERAGE(D80:O80)</f>
        <v>0</v>
      </c>
      <c r="Q80" s="717"/>
    </row>
    <row r="81" spans="1:17" ht="25.5" customHeight="1">
      <c r="A81" s="670" t="s">
        <v>81</v>
      </c>
      <c r="B81" s="602"/>
      <c r="C81" s="656"/>
      <c r="D81" s="671"/>
      <c r="E81" s="671"/>
      <c r="F81" s="671"/>
      <c r="G81" s="657">
        <v>20.484193078018745</v>
      </c>
      <c r="H81" s="657">
        <v>20.859365293877371</v>
      </c>
      <c r="I81" s="657">
        <v>21.717449379567885</v>
      </c>
      <c r="J81" s="657">
        <v>22.677904810291913</v>
      </c>
      <c r="K81" s="657">
        <v>23.205150194018518</v>
      </c>
      <c r="L81" s="657">
        <v>23.027045912009168</v>
      </c>
      <c r="M81" s="657">
        <v>23.692937343234373</v>
      </c>
      <c r="N81" s="657">
        <v>22.99839729760826</v>
      </c>
      <c r="O81" s="657">
        <v>23.491706166247948</v>
      </c>
      <c r="P81" s="605">
        <f t="shared" si="117"/>
        <v>22.461572163874909</v>
      </c>
      <c r="Q81" s="606" t="e">
        <f t="shared" ref="Q81" si="126">SUM(P81-C81)/C81</f>
        <v>#DIV/0!</v>
      </c>
    </row>
    <row r="82" spans="1:17" ht="25.5" customHeight="1">
      <c r="A82" s="672" t="s">
        <v>82</v>
      </c>
      <c r="B82" s="603"/>
      <c r="C82" s="662"/>
      <c r="D82" s="667"/>
      <c r="E82" s="668"/>
      <c r="F82" s="668"/>
      <c r="G82" s="668">
        <f t="shared" si="119"/>
        <v>0</v>
      </c>
      <c r="H82" s="668">
        <f t="shared" si="120"/>
        <v>0</v>
      </c>
      <c r="I82" s="668">
        <f t="shared" si="121"/>
        <v>0</v>
      </c>
      <c r="J82" s="668">
        <f t="shared" si="111"/>
        <v>0</v>
      </c>
      <c r="K82" s="668">
        <f t="shared" si="122"/>
        <v>0</v>
      </c>
      <c r="L82" s="668">
        <f t="shared" si="123"/>
        <v>0</v>
      </c>
      <c r="M82" s="668">
        <f t="shared" si="114"/>
        <v>0</v>
      </c>
      <c r="N82" s="668">
        <f t="shared" si="124"/>
        <v>0</v>
      </c>
      <c r="O82" s="669">
        <f t="shared" si="125"/>
        <v>0</v>
      </c>
      <c r="P82" s="604"/>
      <c r="Q82" s="600"/>
    </row>
    <row r="83" spans="1:17" ht="25.5" customHeight="1">
      <c r="A83" s="670" t="s">
        <v>83</v>
      </c>
      <c r="B83" s="673"/>
      <c r="C83" s="656"/>
      <c r="D83" s="671"/>
      <c r="E83" s="671"/>
      <c r="F83" s="671"/>
      <c r="G83" s="674">
        <f t="shared" si="119"/>
        <v>0</v>
      </c>
      <c r="H83" s="674">
        <f t="shared" si="120"/>
        <v>0</v>
      </c>
      <c r="I83" s="674">
        <f t="shared" si="121"/>
        <v>0</v>
      </c>
      <c r="J83" s="674">
        <f t="shared" si="111"/>
        <v>0</v>
      </c>
      <c r="K83" s="674">
        <f t="shared" si="122"/>
        <v>0</v>
      </c>
      <c r="L83" s="674">
        <f t="shared" si="123"/>
        <v>0</v>
      </c>
      <c r="M83" s="674">
        <f t="shared" si="114"/>
        <v>0</v>
      </c>
      <c r="N83" s="674">
        <f t="shared" si="124"/>
        <v>0</v>
      </c>
      <c r="O83" s="674">
        <f t="shared" si="125"/>
        <v>0</v>
      </c>
      <c r="P83" s="605">
        <f t="shared" si="117"/>
        <v>0</v>
      </c>
      <c r="Q83" s="606" t="e">
        <f t="shared" ref="Q83" si="127">SUM(P83-C83)/C83</f>
        <v>#DIV/0!</v>
      </c>
    </row>
    <row r="84" spans="1:17" ht="25.5" customHeight="1">
      <c r="A84" s="672" t="s">
        <v>84</v>
      </c>
      <c r="B84" s="661"/>
      <c r="C84" s="675"/>
      <c r="D84" s="676"/>
      <c r="E84" s="665"/>
      <c r="F84" s="665"/>
      <c r="G84" s="665">
        <f t="shared" si="119"/>
        <v>0</v>
      </c>
      <c r="H84" s="665">
        <f t="shared" si="120"/>
        <v>0</v>
      </c>
      <c r="I84" s="677">
        <f t="shared" si="121"/>
        <v>0</v>
      </c>
      <c r="J84" s="677">
        <f t="shared" si="111"/>
        <v>0</v>
      </c>
      <c r="K84" s="665">
        <f t="shared" si="122"/>
        <v>0</v>
      </c>
      <c r="L84" s="665">
        <f t="shared" si="123"/>
        <v>0</v>
      </c>
      <c r="M84" s="665">
        <f t="shared" si="114"/>
        <v>0</v>
      </c>
      <c r="N84" s="665">
        <f t="shared" si="124"/>
        <v>0</v>
      </c>
      <c r="O84" s="666">
        <f t="shared" si="125"/>
        <v>0</v>
      </c>
      <c r="P84" s="604"/>
      <c r="Q84" s="600"/>
    </row>
    <row r="85" spans="1:17" ht="25.5" customHeight="1" thickBot="1">
      <c r="A85" s="718" t="s">
        <v>18</v>
      </c>
      <c r="B85" s="719"/>
      <c r="C85" s="720"/>
      <c r="D85" s="721"/>
      <c r="E85" s="722"/>
      <c r="F85" s="722"/>
      <c r="G85" s="722"/>
      <c r="H85" s="722"/>
      <c r="I85" s="722"/>
      <c r="J85" s="722"/>
      <c r="K85" s="722"/>
      <c r="L85" s="722"/>
      <c r="M85" s="722"/>
      <c r="N85" s="722"/>
      <c r="O85" s="723"/>
      <c r="P85" s="720"/>
      <c r="Q85" s="724"/>
    </row>
    <row r="86" spans="1:17" ht="25.5" customHeight="1" thickBot="1">
      <c r="A86" s="693" t="s">
        <v>29</v>
      </c>
      <c r="B86" s="725"/>
      <c r="C86" s="726"/>
      <c r="D86" s="727"/>
      <c r="E86" s="728"/>
      <c r="F86" s="728"/>
      <c r="G86" s="728"/>
      <c r="H86" s="728"/>
      <c r="I86" s="728"/>
      <c r="J86" s="728"/>
      <c r="K86" s="728"/>
      <c r="L86" s="728"/>
      <c r="M86" s="728"/>
      <c r="N86" s="728"/>
      <c r="O86" s="729"/>
      <c r="P86" s="726"/>
      <c r="Q86" s="730"/>
    </row>
    <row r="87" spans="1:17" ht="25.5" customHeight="1">
      <c r="A87" s="615" t="s">
        <v>19</v>
      </c>
      <c r="B87" s="607"/>
      <c r="C87" s="608"/>
      <c r="D87" s="681"/>
      <c r="E87" s="681"/>
      <c r="F87" s="681"/>
      <c r="G87" s="683">
        <f>+F87*$R$2</f>
        <v>0</v>
      </c>
      <c r="H87" s="683">
        <f t="shared" ref="H87:H88" si="128">+F87*$R$2</f>
        <v>0</v>
      </c>
      <c r="I87" s="683">
        <f t="shared" ref="I87:I88" si="129">+F87*$R$2</f>
        <v>0</v>
      </c>
      <c r="J87" s="683">
        <f t="shared" ref="J87:J88" si="130">+I87*$S$2</f>
        <v>0</v>
      </c>
      <c r="K87" s="683">
        <f t="shared" ref="K87:K88" si="131">+I87*$S$2</f>
        <v>0</v>
      </c>
      <c r="L87" s="683">
        <f t="shared" ref="L87:L88" si="132">+I87*$S$2</f>
        <v>0</v>
      </c>
      <c r="M87" s="683">
        <f t="shared" ref="M87:M88" si="133">+L87*$T$2</f>
        <v>0</v>
      </c>
      <c r="N87" s="683">
        <f t="shared" ref="N87:N88" si="134">+L87*$T$2</f>
        <v>0</v>
      </c>
      <c r="O87" s="684">
        <f t="shared" ref="O87:O88" si="135">+L87*$T$2</f>
        <v>0</v>
      </c>
      <c r="P87" s="609">
        <f t="shared" si="117"/>
        <v>0</v>
      </c>
      <c r="Q87" s="610" t="e">
        <f t="shared" ref="Q87:Q88" si="136">SUM(P87-C87)/C87</f>
        <v>#DIV/0!</v>
      </c>
    </row>
    <row r="88" spans="1:17" ht="25.5" customHeight="1" thickBot="1">
      <c r="A88" s="616" t="s">
        <v>20</v>
      </c>
      <c r="B88" s="611"/>
      <c r="C88" s="612"/>
      <c r="D88" s="685"/>
      <c r="E88" s="685"/>
      <c r="F88" s="685"/>
      <c r="G88" s="686">
        <f t="shared" ref="G88" si="137">+F88*$R$2</f>
        <v>0</v>
      </c>
      <c r="H88" s="686">
        <f t="shared" si="128"/>
        <v>0</v>
      </c>
      <c r="I88" s="686">
        <f t="shared" si="129"/>
        <v>0</v>
      </c>
      <c r="J88" s="686">
        <f t="shared" si="130"/>
        <v>0</v>
      </c>
      <c r="K88" s="686">
        <f t="shared" si="131"/>
        <v>0</v>
      </c>
      <c r="L88" s="686">
        <f t="shared" si="132"/>
        <v>0</v>
      </c>
      <c r="M88" s="686">
        <f t="shared" si="133"/>
        <v>0</v>
      </c>
      <c r="N88" s="686">
        <f t="shared" si="134"/>
        <v>0</v>
      </c>
      <c r="O88" s="686">
        <f t="shared" si="135"/>
        <v>0</v>
      </c>
      <c r="P88" s="613">
        <f t="shared" si="117"/>
        <v>0</v>
      </c>
      <c r="Q88" s="614" t="e">
        <f t="shared" si="136"/>
        <v>#DIV/0!</v>
      </c>
    </row>
    <row r="89" spans="1:17" ht="25.5" customHeight="1" thickBot="1">
      <c r="A89" s="693" t="s">
        <v>30</v>
      </c>
      <c r="B89" s="694"/>
      <c r="C89" s="726"/>
      <c r="D89" s="727"/>
      <c r="E89" s="728"/>
      <c r="F89" s="728"/>
      <c r="G89" s="728"/>
      <c r="H89" s="728"/>
      <c r="I89" s="728"/>
      <c r="J89" s="728"/>
      <c r="K89" s="728"/>
      <c r="L89" s="728"/>
      <c r="M89" s="728"/>
      <c r="N89" s="728"/>
      <c r="O89" s="729"/>
      <c r="P89" s="726"/>
      <c r="Q89" s="730"/>
    </row>
    <row r="90" spans="1:17" ht="25.5" customHeight="1">
      <c r="A90" s="615" t="s">
        <v>106</v>
      </c>
      <c r="B90" s="607"/>
      <c r="C90" s="608"/>
      <c r="D90" s="687">
        <f>D18</f>
        <v>0</v>
      </c>
      <c r="E90" s="687">
        <f t="shared" ref="E90:O90" si="138">E18</f>
        <v>0</v>
      </c>
      <c r="F90" s="687">
        <f t="shared" si="138"/>
        <v>0</v>
      </c>
      <c r="G90" s="687">
        <f t="shared" si="138"/>
        <v>0</v>
      </c>
      <c r="H90" s="687">
        <f t="shared" si="138"/>
        <v>0</v>
      </c>
      <c r="I90" s="687">
        <f t="shared" si="138"/>
        <v>0</v>
      </c>
      <c r="J90" s="687">
        <f t="shared" si="138"/>
        <v>0</v>
      </c>
      <c r="K90" s="687">
        <f t="shared" si="138"/>
        <v>0</v>
      </c>
      <c r="L90" s="687">
        <f t="shared" si="138"/>
        <v>0</v>
      </c>
      <c r="M90" s="687">
        <f t="shared" si="138"/>
        <v>0</v>
      </c>
      <c r="N90" s="687">
        <f t="shared" si="138"/>
        <v>0</v>
      </c>
      <c r="O90" s="687">
        <f t="shared" si="138"/>
        <v>0</v>
      </c>
      <c r="P90" s="609">
        <f t="shared" si="117"/>
        <v>0</v>
      </c>
      <c r="Q90" s="610" t="e">
        <f t="shared" ref="Q90:Q91" si="139">SUM(P90-C90)/C90</f>
        <v>#DIV/0!</v>
      </c>
    </row>
    <row r="91" spans="1:17" ht="25.5" customHeight="1" thickBot="1">
      <c r="A91" s="616" t="s">
        <v>105</v>
      </c>
      <c r="B91" s="617"/>
      <c r="C91" s="618"/>
      <c r="D91" s="688">
        <f>D19</f>
        <v>0</v>
      </c>
      <c r="E91" s="688">
        <f t="shared" ref="E91:O91" si="140">E19</f>
        <v>0</v>
      </c>
      <c r="F91" s="688">
        <f t="shared" si="140"/>
        <v>0</v>
      </c>
      <c r="G91" s="688">
        <f t="shared" si="140"/>
        <v>0</v>
      </c>
      <c r="H91" s="688">
        <f t="shared" si="140"/>
        <v>0</v>
      </c>
      <c r="I91" s="688">
        <f t="shared" si="140"/>
        <v>0</v>
      </c>
      <c r="J91" s="688">
        <f t="shared" si="140"/>
        <v>0</v>
      </c>
      <c r="K91" s="688">
        <f t="shared" si="140"/>
        <v>0</v>
      </c>
      <c r="L91" s="688">
        <f t="shared" si="140"/>
        <v>0</v>
      </c>
      <c r="M91" s="688">
        <f t="shared" si="140"/>
        <v>0</v>
      </c>
      <c r="N91" s="688">
        <f t="shared" si="140"/>
        <v>0</v>
      </c>
      <c r="O91" s="688">
        <f t="shared" si="140"/>
        <v>0</v>
      </c>
      <c r="P91" s="619">
        <f t="shared" si="117"/>
        <v>0</v>
      </c>
      <c r="Q91" s="620" t="e">
        <f t="shared" si="139"/>
        <v>#DIV/0!</v>
      </c>
    </row>
    <row r="92" spans="1:17" ht="25.5" customHeight="1" thickBot="1">
      <c r="B92" s="601"/>
      <c r="C92" s="621"/>
      <c r="D92" s="689"/>
      <c r="E92" s="689"/>
      <c r="F92" s="689"/>
      <c r="G92" s="689"/>
      <c r="H92" s="689"/>
      <c r="I92" s="689"/>
      <c r="J92" s="689"/>
      <c r="K92" s="689"/>
      <c r="L92" s="689"/>
      <c r="M92" s="689"/>
      <c r="N92" s="689"/>
      <c r="O92" s="689"/>
      <c r="P92" s="622"/>
      <c r="Q92" s="623"/>
    </row>
    <row r="93" spans="1:17" ht="25.5" customHeight="1" thickBot="1">
      <c r="A93" s="693" t="s">
        <v>86</v>
      </c>
      <c r="B93" s="694"/>
      <c r="C93" s="695"/>
      <c r="D93" s="697">
        <v>13.829000000000001</v>
      </c>
      <c r="E93" s="697">
        <v>13.829000000000001</v>
      </c>
      <c r="F93" s="697">
        <v>13.829000000000001</v>
      </c>
      <c r="G93" s="697">
        <f>$F$21*$R$2</f>
        <v>15.76506</v>
      </c>
      <c r="H93" s="697">
        <f>$F$21*$R$2</f>
        <v>15.76506</v>
      </c>
      <c r="I93" s="697">
        <f t="shared" ref="I93" si="141">$F$21*$R$2</f>
        <v>15.76506</v>
      </c>
      <c r="J93" s="697">
        <f>$I$21*$S$2</f>
        <v>18.129818999999998</v>
      </c>
      <c r="K93" s="697">
        <f t="shared" ref="K93:L93" si="142">$I$21*$S$2</f>
        <v>18.129818999999998</v>
      </c>
      <c r="L93" s="697">
        <f t="shared" si="142"/>
        <v>18.129818999999998</v>
      </c>
      <c r="M93" s="697">
        <f>$L$21*$T$2</f>
        <v>21.030590039999996</v>
      </c>
      <c r="N93" s="697">
        <f t="shared" ref="N93:O93" si="143">$L$21*$T$2</f>
        <v>21.030590039999996</v>
      </c>
      <c r="O93" s="697">
        <f t="shared" si="143"/>
        <v>21.030590039999996</v>
      </c>
      <c r="P93" s="2269">
        <f t="shared" si="117"/>
        <v>17.188617259999997</v>
      </c>
      <c r="Q93" s="699" t="e">
        <f t="shared" ref="Q93" si="144">SUM(P93-C93)/C93</f>
        <v>#DIV/0!</v>
      </c>
    </row>
    <row r="94" spans="1:17" ht="25.5" customHeight="1" thickBot="1">
      <c r="A94" s="624"/>
      <c r="B94" s="625"/>
      <c r="C94" s="626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26"/>
      <c r="Q94" s="627"/>
    </row>
    <row r="95" spans="1:17" ht="25.5" customHeight="1" thickBot="1">
      <c r="A95" s="693" t="s">
        <v>31</v>
      </c>
      <c r="B95" s="694"/>
      <c r="C95" s="695"/>
      <c r="D95" s="696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8"/>
      <c r="P95" s="695"/>
      <c r="Q95" s="699"/>
    </row>
    <row r="96" spans="1:17">
      <c r="B96" s="601"/>
      <c r="C96" s="601"/>
      <c r="D96" s="601"/>
      <c r="E96" s="601"/>
      <c r="F96" s="601"/>
      <c r="G96" s="601"/>
      <c r="H96" s="601"/>
      <c r="I96" s="601"/>
      <c r="J96" s="601"/>
      <c r="K96" s="601"/>
      <c r="L96" s="601"/>
      <c r="M96" s="601"/>
      <c r="N96" s="601"/>
      <c r="O96" s="601"/>
      <c r="P96" s="601"/>
    </row>
    <row r="97" spans="1:20" ht="16.2" thickBot="1">
      <c r="B97" s="601"/>
      <c r="C97" s="601"/>
      <c r="D97" s="601">
        <f>+D105*1.025</f>
        <v>0</v>
      </c>
      <c r="E97" s="601"/>
      <c r="F97" s="601"/>
      <c r="G97" s="601"/>
      <c r="H97" s="601"/>
      <c r="I97" s="601"/>
      <c r="J97" s="601"/>
      <c r="K97" s="601"/>
      <c r="L97" s="601"/>
      <c r="M97" s="601"/>
      <c r="N97" s="601"/>
      <c r="O97" s="601"/>
      <c r="P97" s="601"/>
    </row>
    <row r="98" spans="1:20" ht="32.1" customHeight="1" thickBot="1">
      <c r="A98" s="649"/>
      <c r="B98" s="2390"/>
      <c r="C98" s="2392" t="s">
        <v>695</v>
      </c>
      <c r="D98" s="2394" t="s">
        <v>486</v>
      </c>
      <c r="E98" s="2395"/>
      <c r="F98" s="2395"/>
      <c r="G98" s="2395"/>
      <c r="H98" s="2395"/>
      <c r="I98" s="2395"/>
      <c r="J98" s="2395"/>
      <c r="K98" s="2395"/>
      <c r="L98" s="2395"/>
      <c r="M98" s="2395"/>
      <c r="N98" s="2395"/>
      <c r="O98" s="2395"/>
      <c r="P98" s="2396"/>
      <c r="Q98" s="937" t="s">
        <v>605</v>
      </c>
    </row>
    <row r="99" spans="1:20" ht="32.1" customHeight="1" thickBot="1">
      <c r="A99" s="650"/>
      <c r="B99" s="2391"/>
      <c r="C99" s="2393"/>
      <c r="D99" s="678" t="s">
        <v>1</v>
      </c>
      <c r="E99" s="679" t="s">
        <v>2</v>
      </c>
      <c r="F99" s="679" t="s">
        <v>3</v>
      </c>
      <c r="G99" s="679" t="s">
        <v>4</v>
      </c>
      <c r="H99" s="679" t="s">
        <v>5</v>
      </c>
      <c r="I99" s="679" t="s">
        <v>6</v>
      </c>
      <c r="J99" s="679" t="s">
        <v>7</v>
      </c>
      <c r="K99" s="679" t="s">
        <v>8</v>
      </c>
      <c r="L99" s="679" t="s">
        <v>9</v>
      </c>
      <c r="M99" s="679" t="s">
        <v>10</v>
      </c>
      <c r="N99" s="679" t="s">
        <v>11</v>
      </c>
      <c r="O99" s="680" t="s">
        <v>12</v>
      </c>
      <c r="P99" s="651" t="s">
        <v>281</v>
      </c>
      <c r="Q99" s="941" t="s">
        <v>693</v>
      </c>
      <c r="R99" s="913" t="s">
        <v>509</v>
      </c>
      <c r="S99" s="913" t="s">
        <v>150</v>
      </c>
      <c r="T99" s="913" t="s">
        <v>151</v>
      </c>
    </row>
    <row r="100" spans="1:20" ht="25.5" customHeight="1" thickBot="1">
      <c r="A100" s="693" t="s">
        <v>28</v>
      </c>
      <c r="B100" s="694"/>
      <c r="C100" s="695"/>
      <c r="D100" s="696"/>
      <c r="E100" s="697"/>
      <c r="F100" s="697"/>
      <c r="G100" s="697"/>
      <c r="H100" s="697"/>
      <c r="I100" s="697"/>
      <c r="J100" s="697"/>
      <c r="K100" s="697"/>
      <c r="L100" s="697"/>
      <c r="M100" s="697"/>
      <c r="N100" s="697"/>
      <c r="O100" s="698"/>
      <c r="P100" s="695"/>
      <c r="Q100" s="699"/>
      <c r="R100" s="914" t="s">
        <v>94</v>
      </c>
      <c r="S100" s="914"/>
      <c r="T100" s="914" t="s">
        <v>320</v>
      </c>
    </row>
    <row r="101" spans="1:20" ht="25.5" customHeight="1">
      <c r="A101" s="654" t="s">
        <v>15</v>
      </c>
      <c r="B101" s="655"/>
      <c r="C101" s="656"/>
      <c r="D101" s="657"/>
      <c r="E101" s="657"/>
      <c r="F101" s="657"/>
      <c r="G101" s="657">
        <f>+F101*$R$2</f>
        <v>0</v>
      </c>
      <c r="H101" s="657">
        <f t="shared" ref="H101:H102" si="145">+F101*$R$2</f>
        <v>0</v>
      </c>
      <c r="I101" s="657">
        <f t="shared" ref="I101:I102" si="146">+F101*$R$2</f>
        <v>0</v>
      </c>
      <c r="J101" s="657">
        <f t="shared" ref="J101:J108" si="147">+I101*$S$2</f>
        <v>0</v>
      </c>
      <c r="K101" s="657">
        <f t="shared" ref="K101:K102" si="148">+I101*$S$2</f>
        <v>0</v>
      </c>
      <c r="L101" s="657">
        <f t="shared" ref="L101:L102" si="149">+I101*$S$2</f>
        <v>0</v>
      </c>
      <c r="M101" s="657">
        <f t="shared" ref="M101:M108" si="150">+L101*$T$2</f>
        <v>0</v>
      </c>
      <c r="N101" s="657">
        <f t="shared" ref="N101:N102" si="151">+L101*$T$2</f>
        <v>0</v>
      </c>
      <c r="O101" s="657">
        <f t="shared" ref="O101:O102" si="152">+L101*$T$2</f>
        <v>0</v>
      </c>
      <c r="P101" s="658">
        <f t="shared" ref="P101:P117" si="153">AVERAGE(D101:O101)</f>
        <v>0</v>
      </c>
      <c r="Q101" s="659" t="e">
        <f t="shared" ref="Q101:Q102" si="154">SUM(P101-C101)/C101</f>
        <v>#DIV/0!</v>
      </c>
    </row>
    <row r="102" spans="1:20" ht="25.5" customHeight="1">
      <c r="A102" s="660" t="s">
        <v>16</v>
      </c>
      <c r="B102" s="661"/>
      <c r="C102" s="662"/>
      <c r="D102" s="663"/>
      <c r="E102" s="664"/>
      <c r="F102" s="664"/>
      <c r="G102" s="664">
        <f>+F102*$R$2</f>
        <v>0</v>
      </c>
      <c r="H102" s="665">
        <f t="shared" si="145"/>
        <v>0</v>
      </c>
      <c r="I102" s="665">
        <f t="shared" si="146"/>
        <v>0</v>
      </c>
      <c r="J102" s="665">
        <f t="shared" si="147"/>
        <v>0</v>
      </c>
      <c r="K102" s="665">
        <f t="shared" si="148"/>
        <v>0</v>
      </c>
      <c r="L102" s="665">
        <f t="shared" si="149"/>
        <v>0</v>
      </c>
      <c r="M102" s="665">
        <f t="shared" si="150"/>
        <v>0</v>
      </c>
      <c r="N102" s="665">
        <f t="shared" si="151"/>
        <v>0</v>
      </c>
      <c r="O102" s="666">
        <f t="shared" si="152"/>
        <v>0</v>
      </c>
      <c r="P102" s="604">
        <f t="shared" si="153"/>
        <v>0</v>
      </c>
      <c r="Q102" s="600" t="e">
        <f t="shared" si="154"/>
        <v>#DIV/0!</v>
      </c>
    </row>
    <row r="103" spans="1:20" ht="25.5" customHeight="1">
      <c r="A103" s="701" t="s">
        <v>27</v>
      </c>
      <c r="B103" s="702"/>
      <c r="C103" s="703"/>
      <c r="D103" s="704"/>
      <c r="E103" s="705"/>
      <c r="F103" s="705"/>
      <c r="G103" s="705"/>
      <c r="H103" s="705"/>
      <c r="I103" s="705"/>
      <c r="J103" s="705"/>
      <c r="K103" s="705"/>
      <c r="L103" s="705"/>
      <c r="M103" s="705"/>
      <c r="N103" s="705"/>
      <c r="O103" s="706"/>
      <c r="P103" s="707"/>
      <c r="Q103" s="708"/>
    </row>
    <row r="104" spans="1:20" ht="25.5" customHeight="1">
      <c r="A104" s="710" t="s">
        <v>17</v>
      </c>
      <c r="B104" s="711"/>
      <c r="C104" s="712"/>
      <c r="D104" s="713"/>
      <c r="E104" s="714"/>
      <c r="F104" s="714"/>
      <c r="G104" s="714">
        <f t="shared" ref="G104:G108" si="155">+F104*$R$2</f>
        <v>0</v>
      </c>
      <c r="H104" s="714">
        <f t="shared" ref="H104:H108" si="156">+F104*$R$2</f>
        <v>0</v>
      </c>
      <c r="I104" s="714">
        <f t="shared" ref="I104:I108" si="157">+F104*$R$2</f>
        <v>0</v>
      </c>
      <c r="J104" s="714">
        <f t="shared" si="147"/>
        <v>0</v>
      </c>
      <c r="K104" s="714">
        <f t="shared" ref="K104:K108" si="158">+I104*$S$2</f>
        <v>0</v>
      </c>
      <c r="L104" s="714">
        <f t="shared" ref="L104:L108" si="159">+I104*$S$2</f>
        <v>0</v>
      </c>
      <c r="M104" s="714">
        <f t="shared" si="150"/>
        <v>0</v>
      </c>
      <c r="N104" s="714">
        <f t="shared" ref="N104:N108" si="160">+L104*$T$2</f>
        <v>0</v>
      </c>
      <c r="O104" s="715">
        <f t="shared" ref="O104:O108" si="161">+L104*$T$2</f>
        <v>0</v>
      </c>
      <c r="P104" s="604">
        <f>AVERAGE(D104:O104)</f>
        <v>0</v>
      </c>
      <c r="Q104" s="717"/>
    </row>
    <row r="105" spans="1:20" ht="25.5" customHeight="1">
      <c r="A105" s="670" t="s">
        <v>81</v>
      </c>
      <c r="B105" s="602"/>
      <c r="C105" s="656"/>
      <c r="D105" s="657"/>
      <c r="E105" s="657"/>
      <c r="F105" s="657"/>
      <c r="G105" s="657">
        <v>20.484193078018745</v>
      </c>
      <c r="H105" s="657">
        <v>20.859365293877371</v>
      </c>
      <c r="I105" s="657">
        <v>21.717449379567885</v>
      </c>
      <c r="J105" s="657">
        <v>22.677904810291913</v>
      </c>
      <c r="K105" s="657">
        <v>23.205150194018518</v>
      </c>
      <c r="L105" s="657">
        <v>23.027045912009168</v>
      </c>
      <c r="M105" s="657">
        <v>23.692937343234373</v>
      </c>
      <c r="N105" s="657">
        <v>22.99839729760826</v>
      </c>
      <c r="O105" s="657">
        <v>23.491706166247948</v>
      </c>
      <c r="P105" s="605">
        <f t="shared" si="153"/>
        <v>22.461572163874909</v>
      </c>
      <c r="Q105" s="606" t="e">
        <f t="shared" ref="Q105" si="162">SUM(P105-C105)/C105</f>
        <v>#DIV/0!</v>
      </c>
    </row>
    <row r="106" spans="1:20" ht="25.5" customHeight="1">
      <c r="A106" s="672" t="s">
        <v>82</v>
      </c>
      <c r="B106" s="603"/>
      <c r="C106" s="662"/>
      <c r="D106" s="667"/>
      <c r="E106" s="668"/>
      <c r="F106" s="668"/>
      <c r="G106" s="668">
        <f t="shared" si="155"/>
        <v>0</v>
      </c>
      <c r="H106" s="668">
        <f t="shared" si="156"/>
        <v>0</v>
      </c>
      <c r="I106" s="668">
        <f t="shared" si="157"/>
        <v>0</v>
      </c>
      <c r="J106" s="668">
        <f t="shared" si="147"/>
        <v>0</v>
      </c>
      <c r="K106" s="668">
        <f t="shared" si="158"/>
        <v>0</v>
      </c>
      <c r="L106" s="668">
        <f t="shared" si="159"/>
        <v>0</v>
      </c>
      <c r="M106" s="668">
        <f t="shared" si="150"/>
        <v>0</v>
      </c>
      <c r="N106" s="668">
        <f t="shared" si="160"/>
        <v>0</v>
      </c>
      <c r="O106" s="669">
        <f t="shared" si="161"/>
        <v>0</v>
      </c>
      <c r="P106" s="604"/>
      <c r="Q106" s="600"/>
    </row>
    <row r="107" spans="1:20" ht="25.5" customHeight="1">
      <c r="A107" s="670" t="s">
        <v>83</v>
      </c>
      <c r="B107" s="673"/>
      <c r="C107" s="656"/>
      <c r="D107" s="674">
        <f>+D105</f>
        <v>0</v>
      </c>
      <c r="E107" s="674">
        <f t="shared" ref="E107:F107" si="163">+E105</f>
        <v>0</v>
      </c>
      <c r="F107" s="674">
        <f t="shared" si="163"/>
        <v>0</v>
      </c>
      <c r="G107" s="674">
        <f t="shared" si="155"/>
        <v>0</v>
      </c>
      <c r="H107" s="674">
        <f t="shared" si="156"/>
        <v>0</v>
      </c>
      <c r="I107" s="674">
        <f t="shared" si="157"/>
        <v>0</v>
      </c>
      <c r="J107" s="674">
        <f t="shared" si="147"/>
        <v>0</v>
      </c>
      <c r="K107" s="674">
        <f t="shared" si="158"/>
        <v>0</v>
      </c>
      <c r="L107" s="674">
        <f t="shared" si="159"/>
        <v>0</v>
      </c>
      <c r="M107" s="674">
        <f t="shared" si="150"/>
        <v>0</v>
      </c>
      <c r="N107" s="674">
        <f t="shared" si="160"/>
        <v>0</v>
      </c>
      <c r="O107" s="674">
        <f t="shared" si="161"/>
        <v>0</v>
      </c>
      <c r="P107" s="605">
        <f t="shared" si="153"/>
        <v>0</v>
      </c>
      <c r="Q107" s="606" t="e">
        <f t="shared" ref="Q107" si="164">SUM(P107-C107)/C107</f>
        <v>#DIV/0!</v>
      </c>
    </row>
    <row r="108" spans="1:20" ht="25.5" customHeight="1">
      <c r="A108" s="672" t="s">
        <v>84</v>
      </c>
      <c r="B108" s="661"/>
      <c r="C108" s="675"/>
      <c r="D108" s="676"/>
      <c r="E108" s="665"/>
      <c r="F108" s="665"/>
      <c r="G108" s="665">
        <f t="shared" si="155"/>
        <v>0</v>
      </c>
      <c r="H108" s="665">
        <f t="shared" si="156"/>
        <v>0</v>
      </c>
      <c r="I108" s="677">
        <f t="shared" si="157"/>
        <v>0</v>
      </c>
      <c r="J108" s="677">
        <f t="shared" si="147"/>
        <v>0</v>
      </c>
      <c r="K108" s="665">
        <f t="shared" si="158"/>
        <v>0</v>
      </c>
      <c r="L108" s="665">
        <f t="shared" si="159"/>
        <v>0</v>
      </c>
      <c r="M108" s="665">
        <f t="shared" si="150"/>
        <v>0</v>
      </c>
      <c r="N108" s="665">
        <f t="shared" si="160"/>
        <v>0</v>
      </c>
      <c r="O108" s="666">
        <f t="shared" si="161"/>
        <v>0</v>
      </c>
      <c r="P108" s="604"/>
      <c r="Q108" s="600"/>
    </row>
    <row r="109" spans="1:20" ht="25.5" customHeight="1" thickBot="1">
      <c r="A109" s="718" t="s">
        <v>18</v>
      </c>
      <c r="B109" s="719"/>
      <c r="C109" s="720"/>
      <c r="D109" s="721"/>
      <c r="E109" s="722"/>
      <c r="F109" s="722"/>
      <c r="G109" s="722"/>
      <c r="H109" s="722"/>
      <c r="I109" s="722"/>
      <c r="J109" s="722"/>
      <c r="K109" s="722"/>
      <c r="L109" s="722"/>
      <c r="M109" s="722"/>
      <c r="N109" s="722"/>
      <c r="O109" s="723"/>
      <c r="P109" s="720"/>
      <c r="Q109" s="724"/>
    </row>
    <row r="110" spans="1:20" ht="25.5" customHeight="1" thickBot="1">
      <c r="A110" s="693" t="s">
        <v>29</v>
      </c>
      <c r="B110" s="725"/>
      <c r="C110" s="726"/>
      <c r="D110" s="727"/>
      <c r="E110" s="728"/>
      <c r="F110" s="728"/>
      <c r="G110" s="728"/>
      <c r="H110" s="728"/>
      <c r="I110" s="728"/>
      <c r="J110" s="728"/>
      <c r="K110" s="728"/>
      <c r="L110" s="728"/>
      <c r="M110" s="728"/>
      <c r="N110" s="728"/>
      <c r="O110" s="729"/>
      <c r="P110" s="726"/>
      <c r="Q110" s="730"/>
    </row>
    <row r="111" spans="1:20" ht="25.5" customHeight="1">
      <c r="A111" s="615" t="s">
        <v>19</v>
      </c>
      <c r="B111" s="607"/>
      <c r="C111" s="608"/>
      <c r="D111" s="681"/>
      <c r="E111" s="681"/>
      <c r="F111" s="681"/>
      <c r="G111" s="683">
        <f>+F111*$R$2</f>
        <v>0</v>
      </c>
      <c r="H111" s="683">
        <f t="shared" ref="H111:H112" si="165">+F111*$R$2</f>
        <v>0</v>
      </c>
      <c r="I111" s="683">
        <f t="shared" ref="I111:I112" si="166">+F111*$R$2</f>
        <v>0</v>
      </c>
      <c r="J111" s="683">
        <f t="shared" ref="J111:J112" si="167">+I111*$S$2</f>
        <v>0</v>
      </c>
      <c r="K111" s="683">
        <f t="shared" ref="K111:K112" si="168">+I111*$S$2</f>
        <v>0</v>
      </c>
      <c r="L111" s="683">
        <f t="shared" ref="L111:L112" si="169">+I111*$S$2</f>
        <v>0</v>
      </c>
      <c r="M111" s="683">
        <f t="shared" ref="M111:M112" si="170">+L111*$T$2</f>
        <v>0</v>
      </c>
      <c r="N111" s="683">
        <f t="shared" ref="N111:N112" si="171">+L111*$T$2</f>
        <v>0</v>
      </c>
      <c r="O111" s="684">
        <f t="shared" ref="O111:O112" si="172">+L111*$T$2</f>
        <v>0</v>
      </c>
      <c r="P111" s="609">
        <f t="shared" si="153"/>
        <v>0</v>
      </c>
      <c r="Q111" s="610" t="e">
        <f t="shared" ref="Q111:Q112" si="173">SUM(P111-C111)/C111</f>
        <v>#DIV/0!</v>
      </c>
    </row>
    <row r="112" spans="1:20" ht="25.5" customHeight="1" thickBot="1">
      <c r="A112" s="616" t="s">
        <v>20</v>
      </c>
      <c r="B112" s="611"/>
      <c r="C112" s="612"/>
      <c r="D112" s="685"/>
      <c r="E112" s="685"/>
      <c r="F112" s="685"/>
      <c r="G112" s="686">
        <f t="shared" ref="G112" si="174">+F112*$R$2</f>
        <v>0</v>
      </c>
      <c r="H112" s="686">
        <f t="shared" si="165"/>
        <v>0</v>
      </c>
      <c r="I112" s="686">
        <f t="shared" si="166"/>
        <v>0</v>
      </c>
      <c r="J112" s="686">
        <f t="shared" si="167"/>
        <v>0</v>
      </c>
      <c r="K112" s="686">
        <f t="shared" si="168"/>
        <v>0</v>
      </c>
      <c r="L112" s="686">
        <f t="shared" si="169"/>
        <v>0</v>
      </c>
      <c r="M112" s="686">
        <f t="shared" si="170"/>
        <v>0</v>
      </c>
      <c r="N112" s="686">
        <f t="shared" si="171"/>
        <v>0</v>
      </c>
      <c r="O112" s="686">
        <f t="shared" si="172"/>
        <v>0</v>
      </c>
      <c r="P112" s="613">
        <f t="shared" si="153"/>
        <v>0</v>
      </c>
      <c r="Q112" s="614" t="e">
        <f t="shared" si="173"/>
        <v>#DIV/0!</v>
      </c>
    </row>
    <row r="113" spans="1:20" ht="25.5" customHeight="1" thickBot="1">
      <c r="A113" s="693" t="s">
        <v>30</v>
      </c>
      <c r="B113" s="694"/>
      <c r="C113" s="726"/>
      <c r="D113" s="727"/>
      <c r="E113" s="728"/>
      <c r="F113" s="728"/>
      <c r="G113" s="728"/>
      <c r="H113" s="728"/>
      <c r="I113" s="728"/>
      <c r="J113" s="728"/>
      <c r="K113" s="728"/>
      <c r="L113" s="728"/>
      <c r="M113" s="728"/>
      <c r="N113" s="728"/>
      <c r="O113" s="729"/>
      <c r="P113" s="726"/>
      <c r="Q113" s="730"/>
    </row>
    <row r="114" spans="1:20" ht="25.5" customHeight="1">
      <c r="A114" s="615" t="s">
        <v>106</v>
      </c>
      <c r="B114" s="607"/>
      <c r="C114" s="608"/>
      <c r="D114" s="687">
        <f>D18</f>
        <v>0</v>
      </c>
      <c r="E114" s="687">
        <f t="shared" ref="E114:O114" si="175">E18</f>
        <v>0</v>
      </c>
      <c r="F114" s="687">
        <f t="shared" si="175"/>
        <v>0</v>
      </c>
      <c r="G114" s="687">
        <f t="shared" si="175"/>
        <v>0</v>
      </c>
      <c r="H114" s="687">
        <f t="shared" si="175"/>
        <v>0</v>
      </c>
      <c r="I114" s="687">
        <f t="shared" si="175"/>
        <v>0</v>
      </c>
      <c r="J114" s="687">
        <f t="shared" si="175"/>
        <v>0</v>
      </c>
      <c r="K114" s="687">
        <f t="shared" si="175"/>
        <v>0</v>
      </c>
      <c r="L114" s="687">
        <f t="shared" si="175"/>
        <v>0</v>
      </c>
      <c r="M114" s="687">
        <f t="shared" si="175"/>
        <v>0</v>
      </c>
      <c r="N114" s="687">
        <f t="shared" si="175"/>
        <v>0</v>
      </c>
      <c r="O114" s="687">
        <f t="shared" si="175"/>
        <v>0</v>
      </c>
      <c r="P114" s="609">
        <f t="shared" si="153"/>
        <v>0</v>
      </c>
      <c r="Q114" s="610" t="e">
        <f t="shared" ref="Q114:Q115" si="176">SUM(P114-C114)/C114</f>
        <v>#DIV/0!</v>
      </c>
    </row>
    <row r="115" spans="1:20" ht="25.5" customHeight="1" thickBot="1">
      <c r="A115" s="616" t="s">
        <v>105</v>
      </c>
      <c r="B115" s="617"/>
      <c r="C115" s="618"/>
      <c r="D115" s="688">
        <f>D19</f>
        <v>0</v>
      </c>
      <c r="E115" s="688">
        <f t="shared" ref="E115:O115" si="177">E19</f>
        <v>0</v>
      </c>
      <c r="F115" s="688">
        <f t="shared" si="177"/>
        <v>0</v>
      </c>
      <c r="G115" s="688">
        <f t="shared" si="177"/>
        <v>0</v>
      </c>
      <c r="H115" s="688">
        <f t="shared" si="177"/>
        <v>0</v>
      </c>
      <c r="I115" s="688">
        <f t="shared" si="177"/>
        <v>0</v>
      </c>
      <c r="J115" s="688">
        <f t="shared" si="177"/>
        <v>0</v>
      </c>
      <c r="K115" s="688">
        <f t="shared" si="177"/>
        <v>0</v>
      </c>
      <c r="L115" s="688">
        <f t="shared" si="177"/>
        <v>0</v>
      </c>
      <c r="M115" s="688">
        <f t="shared" si="177"/>
        <v>0</v>
      </c>
      <c r="N115" s="688">
        <f t="shared" si="177"/>
        <v>0</v>
      </c>
      <c r="O115" s="688">
        <f t="shared" si="177"/>
        <v>0</v>
      </c>
      <c r="P115" s="619">
        <f t="shared" si="153"/>
        <v>0</v>
      </c>
      <c r="Q115" s="620" t="e">
        <f t="shared" si="176"/>
        <v>#DIV/0!</v>
      </c>
    </row>
    <row r="116" spans="1:20" ht="25.5" customHeight="1" thickBot="1">
      <c r="B116" s="601"/>
      <c r="C116" s="621"/>
      <c r="D116" s="689"/>
      <c r="E116" s="689"/>
      <c r="F116" s="689"/>
      <c r="G116" s="689"/>
      <c r="H116" s="689"/>
      <c r="I116" s="689"/>
      <c r="J116" s="689"/>
      <c r="K116" s="689"/>
      <c r="L116" s="689"/>
      <c r="M116" s="689"/>
      <c r="N116" s="689"/>
      <c r="O116" s="689"/>
      <c r="P116" s="622"/>
      <c r="Q116" s="623"/>
    </row>
    <row r="117" spans="1:20" ht="25.5" customHeight="1" thickBot="1">
      <c r="A117" s="693" t="s">
        <v>86</v>
      </c>
      <c r="B117" s="694"/>
      <c r="C117" s="695"/>
      <c r="D117" s="697">
        <v>13.829000000000001</v>
      </c>
      <c r="E117" s="697">
        <v>13.829000000000001</v>
      </c>
      <c r="F117" s="697">
        <v>13.829000000000001</v>
      </c>
      <c r="G117" s="697">
        <f>$F$21*$R$2</f>
        <v>15.76506</v>
      </c>
      <c r="H117" s="697">
        <f t="shared" ref="H117:I117" si="178">$F$21*$R$2</f>
        <v>15.76506</v>
      </c>
      <c r="I117" s="697">
        <f t="shared" si="178"/>
        <v>15.76506</v>
      </c>
      <c r="J117" s="697">
        <f>$I$21*$S$2</f>
        <v>18.129818999999998</v>
      </c>
      <c r="K117" s="697">
        <f t="shared" ref="K117:L117" si="179">$I$21*$S$2</f>
        <v>18.129818999999998</v>
      </c>
      <c r="L117" s="697">
        <f t="shared" si="179"/>
        <v>18.129818999999998</v>
      </c>
      <c r="M117" s="697">
        <f>$L$21*$T$2</f>
        <v>21.030590039999996</v>
      </c>
      <c r="N117" s="697">
        <f t="shared" ref="N117:O117" si="180">$L$21*$T$2</f>
        <v>21.030590039999996</v>
      </c>
      <c r="O117" s="697">
        <f t="shared" si="180"/>
        <v>21.030590039999996</v>
      </c>
      <c r="P117" s="2269">
        <f t="shared" si="153"/>
        <v>17.188617259999997</v>
      </c>
      <c r="Q117" s="699" t="e">
        <f t="shared" ref="Q117" si="181">SUM(P117-C117)/C117</f>
        <v>#DIV/0!</v>
      </c>
    </row>
    <row r="118" spans="1:20" ht="25.5" customHeight="1" thickBot="1">
      <c r="A118" s="624"/>
      <c r="B118" s="625"/>
      <c r="C118" s="626"/>
      <c r="D118" s="690"/>
      <c r="E118" s="690"/>
      <c r="F118" s="690"/>
      <c r="G118" s="690"/>
      <c r="H118" s="690"/>
      <c r="I118" s="690"/>
      <c r="J118" s="690"/>
      <c r="K118" s="690"/>
      <c r="L118" s="690"/>
      <c r="M118" s="690"/>
      <c r="N118" s="690"/>
      <c r="O118" s="690"/>
      <c r="P118" s="626"/>
      <c r="Q118" s="627"/>
    </row>
    <row r="119" spans="1:20" ht="25.5" customHeight="1" thickBot="1">
      <c r="A119" s="693" t="s">
        <v>31</v>
      </c>
      <c r="B119" s="694"/>
      <c r="C119" s="695"/>
      <c r="D119" s="696"/>
      <c r="E119" s="697"/>
      <c r="F119" s="697"/>
      <c r="G119" s="697"/>
      <c r="H119" s="697"/>
      <c r="I119" s="697"/>
      <c r="J119" s="697"/>
      <c r="K119" s="697"/>
      <c r="L119" s="697"/>
      <c r="M119" s="697"/>
      <c r="N119" s="697"/>
      <c r="O119" s="698"/>
      <c r="P119" s="695"/>
      <c r="Q119" s="699"/>
    </row>
    <row r="120" spans="1:20">
      <c r="B120" s="601"/>
      <c r="C120" s="601"/>
      <c r="D120" s="601"/>
      <c r="E120" s="601"/>
      <c r="F120" s="601"/>
      <c r="G120" s="601"/>
      <c r="H120" s="601"/>
      <c r="I120" s="601"/>
      <c r="J120" s="601"/>
      <c r="K120" s="601"/>
      <c r="L120" s="601"/>
      <c r="M120" s="601"/>
      <c r="N120" s="601"/>
      <c r="O120" s="601"/>
      <c r="P120" s="601"/>
    </row>
    <row r="121" spans="1:20" ht="16.2" thickBot="1">
      <c r="B121" s="601"/>
      <c r="C121" s="601"/>
      <c r="D121" s="601"/>
      <c r="E121" s="601"/>
      <c r="F121" s="601"/>
      <c r="G121" s="601"/>
      <c r="H121" s="601"/>
      <c r="I121" s="601"/>
      <c r="J121" s="601"/>
      <c r="K121" s="601"/>
      <c r="L121" s="601"/>
      <c r="M121" s="601"/>
      <c r="N121" s="601"/>
      <c r="O121" s="601"/>
      <c r="P121" s="601"/>
    </row>
    <row r="122" spans="1:20" ht="32.1" customHeight="1" thickBot="1">
      <c r="A122" s="649"/>
      <c r="B122" s="2390"/>
      <c r="C122" s="2392" t="s">
        <v>695</v>
      </c>
      <c r="D122" s="2394" t="s">
        <v>101</v>
      </c>
      <c r="E122" s="2395"/>
      <c r="F122" s="2395"/>
      <c r="G122" s="2395"/>
      <c r="H122" s="2395"/>
      <c r="I122" s="2395"/>
      <c r="J122" s="2395"/>
      <c r="K122" s="2395"/>
      <c r="L122" s="2395"/>
      <c r="M122" s="2395"/>
      <c r="N122" s="2395"/>
      <c r="O122" s="2395"/>
      <c r="P122" s="2396"/>
      <c r="Q122" s="937" t="s">
        <v>605</v>
      </c>
    </row>
    <row r="123" spans="1:20" ht="32.1" customHeight="1" thickBot="1">
      <c r="A123" s="650"/>
      <c r="B123" s="2391"/>
      <c r="C123" s="2393"/>
      <c r="D123" s="678" t="s">
        <v>1</v>
      </c>
      <c r="E123" s="679" t="s">
        <v>2</v>
      </c>
      <c r="F123" s="679" t="s">
        <v>3</v>
      </c>
      <c r="G123" s="679" t="s">
        <v>4</v>
      </c>
      <c r="H123" s="679" t="s">
        <v>5</v>
      </c>
      <c r="I123" s="679" t="s">
        <v>6</v>
      </c>
      <c r="J123" s="679" t="s">
        <v>7</v>
      </c>
      <c r="K123" s="679" t="s">
        <v>8</v>
      </c>
      <c r="L123" s="679" t="s">
        <v>9</v>
      </c>
      <c r="M123" s="679" t="s">
        <v>10</v>
      </c>
      <c r="N123" s="679" t="s">
        <v>11</v>
      </c>
      <c r="O123" s="680" t="s">
        <v>12</v>
      </c>
      <c r="P123" s="651" t="s">
        <v>281</v>
      </c>
      <c r="Q123" s="941" t="s">
        <v>693</v>
      </c>
      <c r="R123" s="913" t="s">
        <v>509</v>
      </c>
      <c r="S123" s="913" t="s">
        <v>150</v>
      </c>
      <c r="T123" s="913" t="s">
        <v>151</v>
      </c>
    </row>
    <row r="124" spans="1:20" ht="25.5" customHeight="1" thickBot="1">
      <c r="A124" s="693" t="s">
        <v>28</v>
      </c>
      <c r="B124" s="694"/>
      <c r="C124" s="695"/>
      <c r="D124" s="696"/>
      <c r="E124" s="697"/>
      <c r="F124" s="697"/>
      <c r="G124" s="697"/>
      <c r="H124" s="697"/>
      <c r="I124" s="697"/>
      <c r="J124" s="697"/>
      <c r="K124" s="697"/>
      <c r="L124" s="697"/>
      <c r="M124" s="697"/>
      <c r="N124" s="697"/>
      <c r="O124" s="698"/>
      <c r="P124" s="695"/>
      <c r="Q124" s="699"/>
      <c r="R124" s="914" t="s">
        <v>487</v>
      </c>
      <c r="S124" s="914"/>
      <c r="T124" s="914" t="s">
        <v>320</v>
      </c>
    </row>
    <row r="125" spans="1:20" ht="25.5" customHeight="1">
      <c r="A125" s="654" t="s">
        <v>15</v>
      </c>
      <c r="B125" s="655"/>
      <c r="C125" s="656"/>
      <c r="D125" s="657"/>
      <c r="E125" s="657"/>
      <c r="F125" s="657"/>
      <c r="G125" s="657">
        <f>+F125*$R$2</f>
        <v>0</v>
      </c>
      <c r="H125" s="657">
        <f t="shared" ref="H125:H126" si="182">+F125*$R$2</f>
        <v>0</v>
      </c>
      <c r="I125" s="657">
        <f t="shared" ref="I125:I126" si="183">+F125*$R$2</f>
        <v>0</v>
      </c>
      <c r="J125" s="657">
        <f t="shared" ref="J125:J132" si="184">+I125*$S$2</f>
        <v>0</v>
      </c>
      <c r="K125" s="657">
        <f t="shared" ref="K125:K126" si="185">+I125*$S$2</f>
        <v>0</v>
      </c>
      <c r="L125" s="657">
        <f t="shared" ref="L125:L126" si="186">+I125*$S$2</f>
        <v>0</v>
      </c>
      <c r="M125" s="657">
        <f t="shared" ref="M125:M132" si="187">+L125*$T$2</f>
        <v>0</v>
      </c>
      <c r="N125" s="657">
        <f t="shared" ref="N125:N126" si="188">+L125*$T$2</f>
        <v>0</v>
      </c>
      <c r="O125" s="657">
        <f t="shared" ref="O125:O126" si="189">+L125*$T$2</f>
        <v>0</v>
      </c>
      <c r="P125" s="658">
        <f t="shared" ref="P125:P141" si="190">AVERAGE(D125:O125)</f>
        <v>0</v>
      </c>
      <c r="Q125" s="659" t="e">
        <f t="shared" ref="Q125:Q126" si="191">SUM(P125-C125)/C125</f>
        <v>#DIV/0!</v>
      </c>
    </row>
    <row r="126" spans="1:20" ht="25.5" customHeight="1">
      <c r="A126" s="660" t="s">
        <v>16</v>
      </c>
      <c r="B126" s="661"/>
      <c r="C126" s="662"/>
      <c r="D126" s="663"/>
      <c r="E126" s="663"/>
      <c r="F126" s="663"/>
      <c r="G126" s="663">
        <f>+F126*$R$2</f>
        <v>0</v>
      </c>
      <c r="H126" s="663">
        <f t="shared" si="182"/>
        <v>0</v>
      </c>
      <c r="I126" s="663">
        <f t="shared" si="183"/>
        <v>0</v>
      </c>
      <c r="J126" s="663">
        <f t="shared" si="184"/>
        <v>0</v>
      </c>
      <c r="K126" s="663">
        <f t="shared" si="185"/>
        <v>0</v>
      </c>
      <c r="L126" s="663">
        <f t="shared" si="186"/>
        <v>0</v>
      </c>
      <c r="M126" s="663">
        <f t="shared" si="187"/>
        <v>0</v>
      </c>
      <c r="N126" s="663">
        <f t="shared" si="188"/>
        <v>0</v>
      </c>
      <c r="O126" s="663">
        <f t="shared" si="189"/>
        <v>0</v>
      </c>
      <c r="P126" s="604">
        <f t="shared" si="190"/>
        <v>0</v>
      </c>
      <c r="Q126" s="600" t="e">
        <f t="shared" si="191"/>
        <v>#DIV/0!</v>
      </c>
    </row>
    <row r="127" spans="1:20" ht="25.5" customHeight="1">
      <c r="A127" s="701" t="s">
        <v>27</v>
      </c>
      <c r="B127" s="702"/>
      <c r="C127" s="703"/>
      <c r="D127" s="704"/>
      <c r="E127" s="704"/>
      <c r="F127" s="704"/>
      <c r="G127" s="705"/>
      <c r="H127" s="705"/>
      <c r="I127" s="705"/>
      <c r="J127" s="705"/>
      <c r="K127" s="705"/>
      <c r="L127" s="705"/>
      <c r="M127" s="705"/>
      <c r="N127" s="705"/>
      <c r="O127" s="706"/>
      <c r="P127" s="707"/>
      <c r="Q127" s="708"/>
    </row>
    <row r="128" spans="1:20" ht="25.5" customHeight="1">
      <c r="A128" s="710" t="s">
        <v>17</v>
      </c>
      <c r="B128" s="711"/>
      <c r="C128" s="712"/>
      <c r="D128" s="713"/>
      <c r="E128" s="713"/>
      <c r="F128" s="713"/>
      <c r="G128" s="714">
        <f t="shared" ref="G128:G132" si="192">+F128*$R$2</f>
        <v>0</v>
      </c>
      <c r="H128" s="714">
        <f t="shared" ref="H128:H132" si="193">+F128*$R$2</f>
        <v>0</v>
      </c>
      <c r="I128" s="714">
        <f t="shared" ref="I128:I132" si="194">+F128*$R$2</f>
        <v>0</v>
      </c>
      <c r="J128" s="714">
        <f t="shared" si="184"/>
        <v>0</v>
      </c>
      <c r="K128" s="714">
        <f t="shared" ref="K128:K132" si="195">+I128*$S$2</f>
        <v>0</v>
      </c>
      <c r="L128" s="714">
        <f t="shared" ref="L128:L132" si="196">+I128*$S$2</f>
        <v>0</v>
      </c>
      <c r="M128" s="714">
        <f t="shared" si="187"/>
        <v>0</v>
      </c>
      <c r="N128" s="714">
        <f t="shared" ref="N128:N132" si="197">+L128*$T$2</f>
        <v>0</v>
      </c>
      <c r="O128" s="715">
        <f t="shared" ref="O128:O132" si="198">+L128*$T$2</f>
        <v>0</v>
      </c>
      <c r="P128" s="604">
        <f>AVERAGE(D128:O128)</f>
        <v>0</v>
      </c>
      <c r="Q128" s="717"/>
    </row>
    <row r="129" spans="1:17" ht="25.5" customHeight="1">
      <c r="A129" s="670" t="s">
        <v>81</v>
      </c>
      <c r="B129" s="602"/>
      <c r="C129" s="656"/>
      <c r="D129" s="671"/>
      <c r="E129" s="671"/>
      <c r="F129" s="671"/>
      <c r="G129" s="657">
        <v>20.484193078018745</v>
      </c>
      <c r="H129" s="657">
        <v>20.859365293877371</v>
      </c>
      <c r="I129" s="657">
        <v>21.717449379567885</v>
      </c>
      <c r="J129" s="657">
        <v>22.677904810291913</v>
      </c>
      <c r="K129" s="657">
        <v>23.205150194018518</v>
      </c>
      <c r="L129" s="657">
        <v>23.027045912009168</v>
      </c>
      <c r="M129" s="657">
        <v>23.692937343234373</v>
      </c>
      <c r="N129" s="657">
        <v>22.99839729760826</v>
      </c>
      <c r="O129" s="657">
        <v>23.491706166247948</v>
      </c>
      <c r="P129" s="605">
        <f t="shared" si="190"/>
        <v>22.461572163874909</v>
      </c>
      <c r="Q129" s="606" t="e">
        <f t="shared" ref="Q129" si="199">SUM(P129-C129)/C129</f>
        <v>#DIV/0!</v>
      </c>
    </row>
    <row r="130" spans="1:17" ht="25.5" customHeight="1">
      <c r="A130" s="672" t="s">
        <v>82</v>
      </c>
      <c r="B130" s="603"/>
      <c r="C130" s="662"/>
      <c r="D130" s="667"/>
      <c r="E130" s="667"/>
      <c r="F130" s="667"/>
      <c r="G130" s="668">
        <f t="shared" si="192"/>
        <v>0</v>
      </c>
      <c r="H130" s="668">
        <f t="shared" si="193"/>
        <v>0</v>
      </c>
      <c r="I130" s="668">
        <f t="shared" si="194"/>
        <v>0</v>
      </c>
      <c r="J130" s="668">
        <f t="shared" si="184"/>
        <v>0</v>
      </c>
      <c r="K130" s="668">
        <f t="shared" si="195"/>
        <v>0</v>
      </c>
      <c r="L130" s="668">
        <f t="shared" si="196"/>
        <v>0</v>
      </c>
      <c r="M130" s="668">
        <f t="shared" si="187"/>
        <v>0</v>
      </c>
      <c r="N130" s="668">
        <f t="shared" si="197"/>
        <v>0</v>
      </c>
      <c r="O130" s="669">
        <f t="shared" si="198"/>
        <v>0</v>
      </c>
      <c r="P130" s="604"/>
      <c r="Q130" s="600"/>
    </row>
    <row r="131" spans="1:17" ht="25.5" customHeight="1">
      <c r="A131" s="670" t="s">
        <v>83</v>
      </c>
      <c r="B131" s="673"/>
      <c r="C131" s="656"/>
      <c r="D131" s="671"/>
      <c r="E131" s="671"/>
      <c r="F131" s="671"/>
      <c r="G131" s="674">
        <f t="shared" si="192"/>
        <v>0</v>
      </c>
      <c r="H131" s="674">
        <f t="shared" si="193"/>
        <v>0</v>
      </c>
      <c r="I131" s="674">
        <f t="shared" si="194"/>
        <v>0</v>
      </c>
      <c r="J131" s="674">
        <f t="shared" si="184"/>
        <v>0</v>
      </c>
      <c r="K131" s="674">
        <f t="shared" si="195"/>
        <v>0</v>
      </c>
      <c r="L131" s="674">
        <f t="shared" si="196"/>
        <v>0</v>
      </c>
      <c r="M131" s="674">
        <f t="shared" si="187"/>
        <v>0</v>
      </c>
      <c r="N131" s="674">
        <f t="shared" si="197"/>
        <v>0</v>
      </c>
      <c r="O131" s="674">
        <f t="shared" si="198"/>
        <v>0</v>
      </c>
      <c r="P131" s="605">
        <f t="shared" si="190"/>
        <v>0</v>
      </c>
      <c r="Q131" s="606" t="e">
        <f t="shared" ref="Q131" si="200">SUM(P131-C131)/C131</f>
        <v>#DIV/0!</v>
      </c>
    </row>
    <row r="132" spans="1:17" ht="25.5" customHeight="1">
      <c r="A132" s="672" t="s">
        <v>84</v>
      </c>
      <c r="B132" s="661"/>
      <c r="C132" s="675"/>
      <c r="D132" s="676"/>
      <c r="E132" s="665"/>
      <c r="F132" s="665"/>
      <c r="G132" s="665">
        <f t="shared" si="192"/>
        <v>0</v>
      </c>
      <c r="H132" s="665">
        <f t="shared" si="193"/>
        <v>0</v>
      </c>
      <c r="I132" s="677">
        <f t="shared" si="194"/>
        <v>0</v>
      </c>
      <c r="J132" s="677">
        <f t="shared" si="184"/>
        <v>0</v>
      </c>
      <c r="K132" s="665">
        <f t="shared" si="195"/>
        <v>0</v>
      </c>
      <c r="L132" s="665">
        <f t="shared" si="196"/>
        <v>0</v>
      </c>
      <c r="M132" s="665">
        <f t="shared" si="187"/>
        <v>0</v>
      </c>
      <c r="N132" s="665">
        <f t="shared" si="197"/>
        <v>0</v>
      </c>
      <c r="O132" s="666">
        <f t="shared" si="198"/>
        <v>0</v>
      </c>
      <c r="P132" s="604"/>
      <c r="Q132" s="600"/>
    </row>
    <row r="133" spans="1:17" ht="25.5" customHeight="1" thickBot="1">
      <c r="A133" s="718" t="s">
        <v>18</v>
      </c>
      <c r="B133" s="719"/>
      <c r="C133" s="720"/>
      <c r="D133" s="721"/>
      <c r="E133" s="722"/>
      <c r="F133" s="722"/>
      <c r="G133" s="722"/>
      <c r="H133" s="722"/>
      <c r="I133" s="722"/>
      <c r="J133" s="722"/>
      <c r="K133" s="722"/>
      <c r="L133" s="722"/>
      <c r="M133" s="722"/>
      <c r="N133" s="722"/>
      <c r="O133" s="723"/>
      <c r="P133" s="720"/>
      <c r="Q133" s="724"/>
    </row>
    <row r="134" spans="1:17" ht="25.5" customHeight="1" thickBot="1">
      <c r="A134" s="693" t="s">
        <v>29</v>
      </c>
      <c r="B134" s="725"/>
      <c r="C134" s="726"/>
      <c r="D134" s="727"/>
      <c r="E134" s="728"/>
      <c r="F134" s="728"/>
      <c r="G134" s="728"/>
      <c r="H134" s="728"/>
      <c r="I134" s="728"/>
      <c r="J134" s="728"/>
      <c r="K134" s="728"/>
      <c r="L134" s="728"/>
      <c r="M134" s="728"/>
      <c r="N134" s="728"/>
      <c r="O134" s="729"/>
      <c r="P134" s="726"/>
      <c r="Q134" s="730"/>
    </row>
    <row r="135" spans="1:17" ht="25.5" customHeight="1">
      <c r="A135" s="615" t="s">
        <v>19</v>
      </c>
      <c r="B135" s="607"/>
      <c r="C135" s="608"/>
      <c r="D135" s="681"/>
      <c r="E135" s="681"/>
      <c r="F135" s="681"/>
      <c r="G135" s="683">
        <f>+F135*$R$2</f>
        <v>0</v>
      </c>
      <c r="H135" s="683">
        <f t="shared" ref="H135:H136" si="201">+F135*$R$2</f>
        <v>0</v>
      </c>
      <c r="I135" s="683">
        <f t="shared" ref="I135:I136" si="202">+F135*$R$2</f>
        <v>0</v>
      </c>
      <c r="J135" s="683">
        <f t="shared" ref="J135:J136" si="203">+I135*$S$2</f>
        <v>0</v>
      </c>
      <c r="K135" s="683">
        <f t="shared" ref="K135:K136" si="204">+I135*$S$2</f>
        <v>0</v>
      </c>
      <c r="L135" s="683">
        <f t="shared" ref="L135:L136" si="205">+I135*$S$2</f>
        <v>0</v>
      </c>
      <c r="M135" s="683">
        <f t="shared" ref="M135:M136" si="206">+L135*$T$2</f>
        <v>0</v>
      </c>
      <c r="N135" s="683">
        <f t="shared" ref="N135:N136" si="207">+L135*$T$2</f>
        <v>0</v>
      </c>
      <c r="O135" s="684">
        <f t="shared" ref="O135:O136" si="208">+L135*$T$2</f>
        <v>0</v>
      </c>
      <c r="P135" s="609">
        <f t="shared" si="190"/>
        <v>0</v>
      </c>
      <c r="Q135" s="610" t="e">
        <f t="shared" ref="Q135:Q136" si="209">SUM(P135-C135)/C135</f>
        <v>#DIV/0!</v>
      </c>
    </row>
    <row r="136" spans="1:17" ht="25.5" customHeight="1" thickBot="1">
      <c r="A136" s="616" t="s">
        <v>20</v>
      </c>
      <c r="B136" s="611"/>
      <c r="C136" s="612"/>
      <c r="D136" s="685"/>
      <c r="E136" s="685"/>
      <c r="F136" s="685"/>
      <c r="G136" s="686">
        <f t="shared" ref="G136" si="210">+F136*$R$2</f>
        <v>0</v>
      </c>
      <c r="H136" s="686">
        <f t="shared" si="201"/>
        <v>0</v>
      </c>
      <c r="I136" s="686">
        <f t="shared" si="202"/>
        <v>0</v>
      </c>
      <c r="J136" s="686">
        <f t="shared" si="203"/>
        <v>0</v>
      </c>
      <c r="K136" s="686">
        <f t="shared" si="204"/>
        <v>0</v>
      </c>
      <c r="L136" s="686">
        <f t="shared" si="205"/>
        <v>0</v>
      </c>
      <c r="M136" s="686">
        <f t="shared" si="206"/>
        <v>0</v>
      </c>
      <c r="N136" s="686">
        <f t="shared" si="207"/>
        <v>0</v>
      </c>
      <c r="O136" s="686">
        <f t="shared" si="208"/>
        <v>0</v>
      </c>
      <c r="P136" s="613">
        <f t="shared" si="190"/>
        <v>0</v>
      </c>
      <c r="Q136" s="614" t="e">
        <f t="shared" si="209"/>
        <v>#DIV/0!</v>
      </c>
    </row>
    <row r="137" spans="1:17" ht="25.5" customHeight="1" thickBot="1">
      <c r="A137" s="693" t="s">
        <v>30</v>
      </c>
      <c r="B137" s="694"/>
      <c r="C137" s="726"/>
      <c r="D137" s="727"/>
      <c r="E137" s="728"/>
      <c r="F137" s="728"/>
      <c r="G137" s="728"/>
      <c r="H137" s="728"/>
      <c r="I137" s="728"/>
      <c r="J137" s="728"/>
      <c r="K137" s="728"/>
      <c r="L137" s="728"/>
      <c r="M137" s="728"/>
      <c r="N137" s="728"/>
      <c r="O137" s="729"/>
      <c r="P137" s="726"/>
      <c r="Q137" s="730"/>
    </row>
    <row r="138" spans="1:17" ht="25.5" customHeight="1">
      <c r="A138" s="615" t="s">
        <v>106</v>
      </c>
      <c r="B138" s="607"/>
      <c r="C138" s="608"/>
      <c r="D138" s="687">
        <f>D18</f>
        <v>0</v>
      </c>
      <c r="E138" s="687">
        <f t="shared" ref="E138:O138" si="211">E18</f>
        <v>0</v>
      </c>
      <c r="F138" s="687">
        <f t="shared" si="211"/>
        <v>0</v>
      </c>
      <c r="G138" s="687">
        <f t="shared" si="211"/>
        <v>0</v>
      </c>
      <c r="H138" s="687">
        <f t="shared" si="211"/>
        <v>0</v>
      </c>
      <c r="I138" s="687">
        <f t="shared" si="211"/>
        <v>0</v>
      </c>
      <c r="J138" s="687">
        <f t="shared" si="211"/>
        <v>0</v>
      </c>
      <c r="K138" s="687">
        <f t="shared" si="211"/>
        <v>0</v>
      </c>
      <c r="L138" s="687">
        <f t="shared" si="211"/>
        <v>0</v>
      </c>
      <c r="M138" s="687">
        <f t="shared" si="211"/>
        <v>0</v>
      </c>
      <c r="N138" s="687">
        <f t="shared" si="211"/>
        <v>0</v>
      </c>
      <c r="O138" s="687">
        <f t="shared" si="211"/>
        <v>0</v>
      </c>
      <c r="P138" s="609">
        <f t="shared" si="190"/>
        <v>0</v>
      </c>
      <c r="Q138" s="610" t="e">
        <f t="shared" ref="Q138:Q139" si="212">SUM(P138-C138)/C138</f>
        <v>#DIV/0!</v>
      </c>
    </row>
    <row r="139" spans="1:17" ht="25.5" customHeight="1" thickBot="1">
      <c r="A139" s="616" t="s">
        <v>105</v>
      </c>
      <c r="B139" s="617"/>
      <c r="C139" s="618"/>
      <c r="D139" s="688">
        <f>D19</f>
        <v>0</v>
      </c>
      <c r="E139" s="688">
        <f t="shared" ref="E139:O139" si="213">E19</f>
        <v>0</v>
      </c>
      <c r="F139" s="688">
        <f t="shared" si="213"/>
        <v>0</v>
      </c>
      <c r="G139" s="688">
        <f t="shared" si="213"/>
        <v>0</v>
      </c>
      <c r="H139" s="688">
        <f t="shared" si="213"/>
        <v>0</v>
      </c>
      <c r="I139" s="688">
        <f t="shared" si="213"/>
        <v>0</v>
      </c>
      <c r="J139" s="688">
        <f t="shared" si="213"/>
        <v>0</v>
      </c>
      <c r="K139" s="688">
        <f t="shared" si="213"/>
        <v>0</v>
      </c>
      <c r="L139" s="688">
        <f t="shared" si="213"/>
        <v>0</v>
      </c>
      <c r="M139" s="688">
        <f t="shared" si="213"/>
        <v>0</v>
      </c>
      <c r="N139" s="688">
        <f t="shared" si="213"/>
        <v>0</v>
      </c>
      <c r="O139" s="688">
        <f t="shared" si="213"/>
        <v>0</v>
      </c>
      <c r="P139" s="619">
        <f t="shared" si="190"/>
        <v>0</v>
      </c>
      <c r="Q139" s="620" t="e">
        <f t="shared" si="212"/>
        <v>#DIV/0!</v>
      </c>
    </row>
    <row r="140" spans="1:17" ht="25.5" customHeight="1" thickBot="1">
      <c r="B140" s="601"/>
      <c r="C140" s="621"/>
      <c r="D140" s="689"/>
      <c r="E140" s="689"/>
      <c r="F140" s="689"/>
      <c r="G140" s="689"/>
      <c r="H140" s="689"/>
      <c r="I140" s="689"/>
      <c r="J140" s="689"/>
      <c r="K140" s="689"/>
      <c r="L140" s="689"/>
      <c r="M140" s="689"/>
      <c r="N140" s="689"/>
      <c r="O140" s="689"/>
      <c r="P140" s="622"/>
      <c r="Q140" s="623"/>
    </row>
    <row r="141" spans="1:17" ht="25.5" customHeight="1" thickBot="1">
      <c r="A141" s="693" t="s">
        <v>86</v>
      </c>
      <c r="B141" s="694"/>
      <c r="C141" s="695"/>
      <c r="D141" s="697">
        <v>13.829000000000001</v>
      </c>
      <c r="E141" s="697">
        <v>13.829000000000001</v>
      </c>
      <c r="F141" s="697">
        <v>13.829000000000001</v>
      </c>
      <c r="G141" s="697">
        <f>$F$21*$R$2</f>
        <v>15.76506</v>
      </c>
      <c r="H141" s="697">
        <f t="shared" ref="H141:I141" si="214">$F$21*$R$2</f>
        <v>15.76506</v>
      </c>
      <c r="I141" s="697">
        <f t="shared" si="214"/>
        <v>15.76506</v>
      </c>
      <c r="J141" s="697">
        <f>$I$21*$S$2</f>
        <v>18.129818999999998</v>
      </c>
      <c r="K141" s="697">
        <f t="shared" ref="K141:L141" si="215">$I$21*$S$2</f>
        <v>18.129818999999998</v>
      </c>
      <c r="L141" s="697">
        <f t="shared" si="215"/>
        <v>18.129818999999998</v>
      </c>
      <c r="M141" s="697">
        <f>$L$21*$T$2</f>
        <v>21.030590039999996</v>
      </c>
      <c r="N141" s="697">
        <f t="shared" ref="N141:O141" si="216">$L$21*$T$2</f>
        <v>21.030590039999996</v>
      </c>
      <c r="O141" s="697">
        <f t="shared" si="216"/>
        <v>21.030590039999996</v>
      </c>
      <c r="P141" s="2269">
        <f t="shared" si="190"/>
        <v>17.188617259999997</v>
      </c>
      <c r="Q141" s="699" t="e">
        <f t="shared" ref="Q141" si="217">SUM(P141-C141)/C141</f>
        <v>#DIV/0!</v>
      </c>
    </row>
    <row r="142" spans="1:17" ht="25.5" customHeight="1" thickBot="1">
      <c r="A142" s="624"/>
      <c r="B142" s="625"/>
      <c r="C142" s="626"/>
      <c r="D142" s="690"/>
      <c r="E142" s="690"/>
      <c r="F142" s="690"/>
      <c r="G142" s="690"/>
      <c r="H142" s="690"/>
      <c r="I142" s="690"/>
      <c r="J142" s="690"/>
      <c r="K142" s="690"/>
      <c r="L142" s="690"/>
      <c r="M142" s="690"/>
      <c r="N142" s="690"/>
      <c r="O142" s="690"/>
      <c r="P142" s="626"/>
      <c r="Q142" s="627"/>
    </row>
    <row r="143" spans="1:17" ht="25.5" customHeight="1" thickBot="1">
      <c r="A143" s="693" t="s">
        <v>31</v>
      </c>
      <c r="B143" s="694"/>
      <c r="C143" s="695"/>
      <c r="D143" s="696"/>
      <c r="E143" s="697"/>
      <c r="F143" s="697"/>
      <c r="G143" s="697">
        <f>F143*$R$2</f>
        <v>0</v>
      </c>
      <c r="H143" s="697">
        <f t="shared" ref="H143:I143" si="218">G143*$R$2</f>
        <v>0</v>
      </c>
      <c r="I143" s="697">
        <f t="shared" si="218"/>
        <v>0</v>
      </c>
      <c r="J143" s="697">
        <f>I143*$S$2</f>
        <v>0</v>
      </c>
      <c r="K143" s="697">
        <f t="shared" ref="K143:L143" si="219">J143*$S$2</f>
        <v>0</v>
      </c>
      <c r="L143" s="697">
        <f t="shared" si="219"/>
        <v>0</v>
      </c>
      <c r="M143" s="697">
        <f>L143*$T$2</f>
        <v>0</v>
      </c>
      <c r="N143" s="697">
        <f t="shared" ref="N143:O143" si="220">M143*$T$2</f>
        <v>0</v>
      </c>
      <c r="O143" s="697">
        <f t="shared" si="220"/>
        <v>0</v>
      </c>
      <c r="P143" s="695"/>
      <c r="Q143" s="699"/>
    </row>
    <row r="144" spans="1:17">
      <c r="B144" s="601"/>
      <c r="C144" s="601"/>
      <c r="D144" s="601"/>
      <c r="E144" s="601"/>
      <c r="F144" s="601"/>
      <c r="G144" s="601"/>
      <c r="H144" s="601"/>
      <c r="I144" s="601"/>
      <c r="J144" s="601"/>
      <c r="K144" s="601"/>
      <c r="L144" s="601"/>
      <c r="M144" s="601"/>
      <c r="N144" s="601"/>
      <c r="O144" s="601"/>
      <c r="P144" s="601"/>
    </row>
    <row r="145" spans="1:20" ht="16.2" thickBot="1">
      <c r="B145" s="601"/>
      <c r="C145" s="601"/>
      <c r="D145" s="601"/>
      <c r="E145" s="601"/>
      <c r="F145" s="601"/>
      <c r="G145" s="601"/>
      <c r="H145" s="601"/>
      <c r="I145" s="601"/>
      <c r="J145" s="601"/>
      <c r="K145" s="601"/>
      <c r="L145" s="601"/>
      <c r="M145" s="601"/>
      <c r="N145" s="601"/>
      <c r="O145" s="601"/>
      <c r="P145" s="601"/>
    </row>
    <row r="146" spans="1:20" ht="32.1" customHeight="1" thickBot="1">
      <c r="A146" s="649"/>
      <c r="B146" s="2390"/>
      <c r="C146" s="2392" t="s">
        <v>695</v>
      </c>
      <c r="D146" s="2394" t="s">
        <v>96</v>
      </c>
      <c r="E146" s="2395"/>
      <c r="F146" s="2395"/>
      <c r="G146" s="2395"/>
      <c r="H146" s="2395"/>
      <c r="I146" s="2395"/>
      <c r="J146" s="2395"/>
      <c r="K146" s="2395"/>
      <c r="L146" s="2395"/>
      <c r="M146" s="2395"/>
      <c r="N146" s="2395"/>
      <c r="O146" s="2395"/>
      <c r="P146" s="2396"/>
      <c r="Q146" s="937" t="s">
        <v>605</v>
      </c>
    </row>
    <row r="147" spans="1:20" ht="32.1" customHeight="1" thickBot="1">
      <c r="A147" s="650"/>
      <c r="B147" s="2391"/>
      <c r="C147" s="2393"/>
      <c r="D147" s="678" t="s">
        <v>1</v>
      </c>
      <c r="E147" s="679" t="s">
        <v>2</v>
      </c>
      <c r="F147" s="679" t="s">
        <v>3</v>
      </c>
      <c r="G147" s="679" t="s">
        <v>4</v>
      </c>
      <c r="H147" s="679" t="s">
        <v>5</v>
      </c>
      <c r="I147" s="679" t="s">
        <v>6</v>
      </c>
      <c r="J147" s="679" t="s">
        <v>7</v>
      </c>
      <c r="K147" s="679" t="s">
        <v>8</v>
      </c>
      <c r="L147" s="679" t="s">
        <v>9</v>
      </c>
      <c r="M147" s="679" t="s">
        <v>10</v>
      </c>
      <c r="N147" s="679" t="s">
        <v>11</v>
      </c>
      <c r="O147" s="680" t="s">
        <v>12</v>
      </c>
      <c r="P147" s="651" t="s">
        <v>281</v>
      </c>
      <c r="Q147" s="941" t="s">
        <v>693</v>
      </c>
      <c r="R147" s="913" t="s">
        <v>509</v>
      </c>
      <c r="S147" s="913" t="s">
        <v>150</v>
      </c>
      <c r="T147" s="913" t="s">
        <v>151</v>
      </c>
    </row>
    <row r="148" spans="1:20" ht="25.5" customHeight="1" thickBot="1">
      <c r="A148" s="693" t="s">
        <v>28</v>
      </c>
      <c r="B148" s="694"/>
      <c r="C148" s="695"/>
      <c r="D148" s="696"/>
      <c r="E148" s="697"/>
      <c r="F148" s="697"/>
      <c r="G148" s="697"/>
      <c r="H148" s="697"/>
      <c r="I148" s="697"/>
      <c r="J148" s="697"/>
      <c r="K148" s="697"/>
      <c r="L148" s="697"/>
      <c r="M148" s="697"/>
      <c r="N148" s="697"/>
      <c r="O148" s="698"/>
      <c r="P148" s="695"/>
      <c r="Q148" s="699"/>
      <c r="R148" s="1795" t="s">
        <v>173</v>
      </c>
      <c r="S148" s="914"/>
      <c r="T148" s="914" t="s">
        <v>320</v>
      </c>
    </row>
    <row r="149" spans="1:20" ht="25.5" customHeight="1">
      <c r="A149" s="654" t="s">
        <v>15</v>
      </c>
      <c r="B149" s="655"/>
      <c r="C149" s="656"/>
      <c r="D149" s="657"/>
      <c r="E149" s="657"/>
      <c r="F149" s="657"/>
      <c r="G149" s="657">
        <f>+F149*$R$2</f>
        <v>0</v>
      </c>
      <c r="H149" s="657">
        <f t="shared" ref="H149:H150" si="221">+F149*$R$2</f>
        <v>0</v>
      </c>
      <c r="I149" s="657">
        <f t="shared" ref="I149:I150" si="222">+F149*$R$2</f>
        <v>0</v>
      </c>
      <c r="J149" s="657">
        <f t="shared" ref="J149:J156" si="223">+I149*$S$2</f>
        <v>0</v>
      </c>
      <c r="K149" s="657">
        <f t="shared" ref="K149:K150" si="224">+I149*$S$2</f>
        <v>0</v>
      </c>
      <c r="L149" s="657">
        <f t="shared" ref="L149:L150" si="225">+I149*$S$2</f>
        <v>0</v>
      </c>
      <c r="M149" s="657">
        <f t="shared" ref="M149:M156" si="226">+L149*$T$2</f>
        <v>0</v>
      </c>
      <c r="N149" s="657">
        <f t="shared" ref="N149:N150" si="227">+L149*$T$2</f>
        <v>0</v>
      </c>
      <c r="O149" s="657">
        <f t="shared" ref="O149:O150" si="228">+L149*$T$2</f>
        <v>0</v>
      </c>
      <c r="P149" s="658">
        <f t="shared" ref="P149:P165" si="229">AVERAGE(D149:O149)</f>
        <v>0</v>
      </c>
      <c r="Q149" s="659" t="e">
        <f t="shared" ref="Q149" si="230">SUM(P149-C149)/C149</f>
        <v>#DIV/0!</v>
      </c>
    </row>
    <row r="150" spans="1:20" ht="25.5" customHeight="1">
      <c r="A150" s="660" t="s">
        <v>16</v>
      </c>
      <c r="B150" s="661"/>
      <c r="C150" s="662"/>
      <c r="D150" s="663"/>
      <c r="E150" s="664"/>
      <c r="F150" s="664"/>
      <c r="G150" s="664">
        <f>+F150*$R$2</f>
        <v>0</v>
      </c>
      <c r="H150" s="665">
        <f t="shared" si="221"/>
        <v>0</v>
      </c>
      <c r="I150" s="665">
        <f t="shared" si="222"/>
        <v>0</v>
      </c>
      <c r="J150" s="665">
        <f t="shared" si="223"/>
        <v>0</v>
      </c>
      <c r="K150" s="665">
        <f t="shared" si="224"/>
        <v>0</v>
      </c>
      <c r="L150" s="665">
        <f t="shared" si="225"/>
        <v>0</v>
      </c>
      <c r="M150" s="665">
        <f t="shared" si="226"/>
        <v>0</v>
      </c>
      <c r="N150" s="665">
        <f t="shared" si="227"/>
        <v>0</v>
      </c>
      <c r="O150" s="666">
        <f t="shared" si="228"/>
        <v>0</v>
      </c>
      <c r="P150" s="604">
        <f t="shared" ref="P150" si="231">AVERAGE(D150:O150)</f>
        <v>0</v>
      </c>
      <c r="Q150" s="600" t="e">
        <f t="shared" ref="Q150" si="232">SUM(P150-C150)/C150</f>
        <v>#DIV/0!</v>
      </c>
    </row>
    <row r="151" spans="1:20" ht="25.5" customHeight="1">
      <c r="A151" s="701" t="s">
        <v>27</v>
      </c>
      <c r="B151" s="702"/>
      <c r="C151" s="703"/>
      <c r="D151" s="704"/>
      <c r="E151" s="705"/>
      <c r="F151" s="705"/>
      <c r="G151" s="705"/>
      <c r="H151" s="705"/>
      <c r="I151" s="705"/>
      <c r="J151" s="705"/>
      <c r="K151" s="705"/>
      <c r="L151" s="705"/>
      <c r="M151" s="705"/>
      <c r="N151" s="705"/>
      <c r="O151" s="706"/>
      <c r="P151" s="707"/>
      <c r="Q151" s="708"/>
    </row>
    <row r="152" spans="1:20" ht="25.5" customHeight="1">
      <c r="A152" s="710" t="s">
        <v>17</v>
      </c>
      <c r="B152" s="711"/>
      <c r="C152" s="712"/>
      <c r="D152" s="713"/>
      <c r="E152" s="714"/>
      <c r="F152" s="714"/>
      <c r="G152" s="714">
        <f t="shared" ref="G152:G156" si="233">+F152*$R$2</f>
        <v>0</v>
      </c>
      <c r="H152" s="714">
        <f t="shared" ref="H152:H156" si="234">+F152*$R$2</f>
        <v>0</v>
      </c>
      <c r="I152" s="714">
        <f t="shared" ref="I152:I156" si="235">+F152*$R$2</f>
        <v>0</v>
      </c>
      <c r="J152" s="714">
        <f t="shared" si="223"/>
        <v>0</v>
      </c>
      <c r="K152" s="714">
        <f t="shared" ref="K152:K156" si="236">+I152*$S$2</f>
        <v>0</v>
      </c>
      <c r="L152" s="714">
        <f t="shared" ref="L152:L156" si="237">+I152*$S$2</f>
        <v>0</v>
      </c>
      <c r="M152" s="714">
        <f t="shared" si="226"/>
        <v>0</v>
      </c>
      <c r="N152" s="714">
        <f t="shared" ref="N152:N156" si="238">+L152*$T$2</f>
        <v>0</v>
      </c>
      <c r="O152" s="715">
        <f t="shared" ref="O152:O156" si="239">+L152*$T$2</f>
        <v>0</v>
      </c>
      <c r="P152" s="604">
        <f>AVERAGE(D152:O152)</f>
        <v>0</v>
      </c>
      <c r="Q152" s="717"/>
    </row>
    <row r="153" spans="1:20" ht="25.5" customHeight="1">
      <c r="A153" s="670" t="s">
        <v>81</v>
      </c>
      <c r="B153" s="602"/>
      <c r="C153" s="656"/>
      <c r="D153" s="657"/>
      <c r="E153" s="657"/>
      <c r="F153" s="657"/>
      <c r="G153" s="657">
        <v>20.484193078018745</v>
      </c>
      <c r="H153" s="657">
        <v>20.859365293877371</v>
      </c>
      <c r="I153" s="657">
        <v>21.717449379567885</v>
      </c>
      <c r="J153" s="657">
        <v>22.677904810291913</v>
      </c>
      <c r="K153" s="657">
        <v>23.205150194018518</v>
      </c>
      <c r="L153" s="657">
        <v>23.027045912009168</v>
      </c>
      <c r="M153" s="657">
        <v>23.692937343234373</v>
      </c>
      <c r="N153" s="657">
        <v>22.99839729760826</v>
      </c>
      <c r="O153" s="657">
        <v>23.491706166247948</v>
      </c>
      <c r="P153" s="605">
        <f t="shared" si="229"/>
        <v>22.461572163874909</v>
      </c>
      <c r="Q153" s="606" t="e">
        <f t="shared" ref="Q153" si="240">SUM(P153-C153)/C153</f>
        <v>#DIV/0!</v>
      </c>
    </row>
    <row r="154" spans="1:20" ht="25.5" customHeight="1">
      <c r="A154" s="672" t="s">
        <v>82</v>
      </c>
      <c r="B154" s="603"/>
      <c r="C154" s="662"/>
      <c r="D154" s="667"/>
      <c r="E154" s="668"/>
      <c r="F154" s="668"/>
      <c r="G154" s="668">
        <f t="shared" si="233"/>
        <v>0</v>
      </c>
      <c r="H154" s="668">
        <f t="shared" si="234"/>
        <v>0</v>
      </c>
      <c r="I154" s="668">
        <f t="shared" si="235"/>
        <v>0</v>
      </c>
      <c r="J154" s="668">
        <f t="shared" si="223"/>
        <v>0</v>
      </c>
      <c r="K154" s="668">
        <f t="shared" si="236"/>
        <v>0</v>
      </c>
      <c r="L154" s="668">
        <f t="shared" si="237"/>
        <v>0</v>
      </c>
      <c r="M154" s="668">
        <f t="shared" si="226"/>
        <v>0</v>
      </c>
      <c r="N154" s="668">
        <f t="shared" si="238"/>
        <v>0</v>
      </c>
      <c r="O154" s="669">
        <f t="shared" si="239"/>
        <v>0</v>
      </c>
      <c r="P154" s="604"/>
      <c r="Q154" s="600"/>
    </row>
    <row r="155" spans="1:20" ht="25.5" customHeight="1">
      <c r="A155" s="670" t="s">
        <v>83</v>
      </c>
      <c r="B155" s="673"/>
      <c r="C155" s="656"/>
      <c r="D155" s="674">
        <f>+D153</f>
        <v>0</v>
      </c>
      <c r="E155" s="674">
        <f t="shared" ref="E155:F155" si="241">+E153</f>
        <v>0</v>
      </c>
      <c r="F155" s="674">
        <f t="shared" si="241"/>
        <v>0</v>
      </c>
      <c r="G155" s="674">
        <f t="shared" si="233"/>
        <v>0</v>
      </c>
      <c r="H155" s="674">
        <f t="shared" si="234"/>
        <v>0</v>
      </c>
      <c r="I155" s="674">
        <f t="shared" si="235"/>
        <v>0</v>
      </c>
      <c r="J155" s="674">
        <f t="shared" si="223"/>
        <v>0</v>
      </c>
      <c r="K155" s="674">
        <f t="shared" si="236"/>
        <v>0</v>
      </c>
      <c r="L155" s="674">
        <f t="shared" si="237"/>
        <v>0</v>
      </c>
      <c r="M155" s="674">
        <f t="shared" si="226"/>
        <v>0</v>
      </c>
      <c r="N155" s="674">
        <f t="shared" si="238"/>
        <v>0</v>
      </c>
      <c r="O155" s="674">
        <f t="shared" si="239"/>
        <v>0</v>
      </c>
      <c r="P155" s="605">
        <f t="shared" si="229"/>
        <v>0</v>
      </c>
      <c r="Q155" s="606" t="e">
        <f t="shared" ref="Q155" si="242">SUM(P155-C155)/C155</f>
        <v>#DIV/0!</v>
      </c>
    </row>
    <row r="156" spans="1:20" ht="25.5" customHeight="1">
      <c r="A156" s="672" t="s">
        <v>84</v>
      </c>
      <c r="B156" s="661"/>
      <c r="C156" s="675"/>
      <c r="D156" s="676"/>
      <c r="E156" s="665"/>
      <c r="F156" s="665"/>
      <c r="G156" s="665">
        <f t="shared" si="233"/>
        <v>0</v>
      </c>
      <c r="H156" s="665">
        <f t="shared" si="234"/>
        <v>0</v>
      </c>
      <c r="I156" s="677">
        <f t="shared" si="235"/>
        <v>0</v>
      </c>
      <c r="J156" s="677">
        <f t="shared" si="223"/>
        <v>0</v>
      </c>
      <c r="K156" s="665">
        <f t="shared" si="236"/>
        <v>0</v>
      </c>
      <c r="L156" s="665">
        <f t="shared" si="237"/>
        <v>0</v>
      </c>
      <c r="M156" s="665">
        <f t="shared" si="226"/>
        <v>0</v>
      </c>
      <c r="N156" s="665">
        <f t="shared" si="238"/>
        <v>0</v>
      </c>
      <c r="O156" s="666">
        <f t="shared" si="239"/>
        <v>0</v>
      </c>
      <c r="P156" s="604"/>
      <c r="Q156" s="600"/>
    </row>
    <row r="157" spans="1:20" ht="25.5" customHeight="1" thickBot="1">
      <c r="A157" s="718" t="s">
        <v>18</v>
      </c>
      <c r="B157" s="719"/>
      <c r="C157" s="720"/>
      <c r="D157" s="721"/>
      <c r="E157" s="722"/>
      <c r="F157" s="722"/>
      <c r="G157" s="722"/>
      <c r="H157" s="722"/>
      <c r="I157" s="722"/>
      <c r="J157" s="722"/>
      <c r="K157" s="722"/>
      <c r="L157" s="722"/>
      <c r="M157" s="722"/>
      <c r="N157" s="722"/>
      <c r="O157" s="723"/>
      <c r="P157" s="720"/>
      <c r="Q157" s="724"/>
    </row>
    <row r="158" spans="1:20" ht="25.5" customHeight="1" thickBot="1">
      <c r="A158" s="693" t="s">
        <v>29</v>
      </c>
      <c r="B158" s="725"/>
      <c r="C158" s="726"/>
      <c r="D158" s="727"/>
      <c r="E158" s="728"/>
      <c r="F158" s="728"/>
      <c r="G158" s="728"/>
      <c r="H158" s="728"/>
      <c r="I158" s="728"/>
      <c r="J158" s="728"/>
      <c r="K158" s="728"/>
      <c r="L158" s="728"/>
      <c r="M158" s="728"/>
      <c r="N158" s="728"/>
      <c r="O158" s="729"/>
      <c r="P158" s="726"/>
      <c r="Q158" s="730"/>
    </row>
    <row r="159" spans="1:20" ht="25.5" customHeight="1">
      <c r="A159" s="615" t="s">
        <v>19</v>
      </c>
      <c r="B159" s="607"/>
      <c r="C159" s="608"/>
      <c r="D159" s="681"/>
      <c r="E159" s="681"/>
      <c r="F159" s="681"/>
      <c r="G159" s="683">
        <f>+F159*$R$2</f>
        <v>0</v>
      </c>
      <c r="H159" s="683">
        <f t="shared" ref="H159:H160" si="243">+F159*$R$2</f>
        <v>0</v>
      </c>
      <c r="I159" s="683">
        <f t="shared" ref="I159:I160" si="244">+F159*$R$2</f>
        <v>0</v>
      </c>
      <c r="J159" s="683">
        <f t="shared" ref="J159:J160" si="245">+I159*$S$2</f>
        <v>0</v>
      </c>
      <c r="K159" s="683">
        <f t="shared" ref="K159:K160" si="246">+I159*$S$2</f>
        <v>0</v>
      </c>
      <c r="L159" s="683">
        <f t="shared" ref="L159:L160" si="247">+I159*$S$2</f>
        <v>0</v>
      </c>
      <c r="M159" s="683">
        <f t="shared" ref="M159:M160" si="248">+L159*$T$2</f>
        <v>0</v>
      </c>
      <c r="N159" s="683">
        <f t="shared" ref="N159:N160" si="249">+L159*$T$2</f>
        <v>0</v>
      </c>
      <c r="O159" s="684">
        <f t="shared" ref="O159:O160" si="250">+L159*$T$2</f>
        <v>0</v>
      </c>
      <c r="P159" s="609">
        <f t="shared" si="229"/>
        <v>0</v>
      </c>
      <c r="Q159" s="610" t="e">
        <f t="shared" ref="Q159:Q160" si="251">SUM(P159-C159)/C159</f>
        <v>#DIV/0!</v>
      </c>
    </row>
    <row r="160" spans="1:20" ht="25.5" customHeight="1" thickBot="1">
      <c r="A160" s="616" t="s">
        <v>20</v>
      </c>
      <c r="B160" s="611"/>
      <c r="C160" s="612"/>
      <c r="D160" s="685"/>
      <c r="E160" s="685"/>
      <c r="F160" s="685"/>
      <c r="G160" s="686">
        <f t="shared" ref="G160" si="252">+F160*$R$2</f>
        <v>0</v>
      </c>
      <c r="H160" s="686">
        <f t="shared" si="243"/>
        <v>0</v>
      </c>
      <c r="I160" s="686">
        <f t="shared" si="244"/>
        <v>0</v>
      </c>
      <c r="J160" s="686">
        <f t="shared" si="245"/>
        <v>0</v>
      </c>
      <c r="K160" s="686">
        <f t="shared" si="246"/>
        <v>0</v>
      </c>
      <c r="L160" s="686">
        <f t="shared" si="247"/>
        <v>0</v>
      </c>
      <c r="M160" s="686">
        <f t="shared" si="248"/>
        <v>0</v>
      </c>
      <c r="N160" s="686">
        <f t="shared" si="249"/>
        <v>0</v>
      </c>
      <c r="O160" s="686">
        <f t="shared" si="250"/>
        <v>0</v>
      </c>
      <c r="P160" s="613">
        <f t="shared" si="229"/>
        <v>0</v>
      </c>
      <c r="Q160" s="614" t="e">
        <f t="shared" si="251"/>
        <v>#DIV/0!</v>
      </c>
    </row>
    <row r="161" spans="1:20" ht="25.5" customHeight="1" thickBot="1">
      <c r="A161" s="693" t="s">
        <v>30</v>
      </c>
      <c r="B161" s="694"/>
      <c r="C161" s="726"/>
      <c r="D161" s="727"/>
      <c r="E161" s="728"/>
      <c r="F161" s="728"/>
      <c r="G161" s="728"/>
      <c r="H161" s="728"/>
      <c r="I161" s="728"/>
      <c r="J161" s="728"/>
      <c r="K161" s="728"/>
      <c r="L161" s="728"/>
      <c r="M161" s="728"/>
      <c r="N161" s="728"/>
      <c r="O161" s="729"/>
      <c r="P161" s="726"/>
      <c r="Q161" s="730"/>
    </row>
    <row r="162" spans="1:20" ht="25.5" customHeight="1">
      <c r="A162" s="615" t="s">
        <v>106</v>
      </c>
      <c r="B162" s="607"/>
      <c r="C162" s="608"/>
      <c r="D162" s="687">
        <f>D18</f>
        <v>0</v>
      </c>
      <c r="E162" s="687">
        <f t="shared" ref="E162:O162" si="253">E18</f>
        <v>0</v>
      </c>
      <c r="F162" s="687">
        <f t="shared" si="253"/>
        <v>0</v>
      </c>
      <c r="G162" s="687">
        <f t="shared" si="253"/>
        <v>0</v>
      </c>
      <c r="H162" s="687">
        <f t="shared" si="253"/>
        <v>0</v>
      </c>
      <c r="I162" s="687">
        <f t="shared" si="253"/>
        <v>0</v>
      </c>
      <c r="J162" s="687">
        <f t="shared" si="253"/>
        <v>0</v>
      </c>
      <c r="K162" s="687">
        <f t="shared" si="253"/>
        <v>0</v>
      </c>
      <c r="L162" s="687">
        <f t="shared" si="253"/>
        <v>0</v>
      </c>
      <c r="M162" s="687">
        <f t="shared" si="253"/>
        <v>0</v>
      </c>
      <c r="N162" s="687">
        <f t="shared" si="253"/>
        <v>0</v>
      </c>
      <c r="O162" s="687">
        <f t="shared" si="253"/>
        <v>0</v>
      </c>
      <c r="P162" s="609">
        <f t="shared" si="229"/>
        <v>0</v>
      </c>
      <c r="Q162" s="610" t="e">
        <f t="shared" ref="Q162:Q163" si="254">SUM(P162-C162)/C162</f>
        <v>#DIV/0!</v>
      </c>
    </row>
    <row r="163" spans="1:20" ht="25.5" customHeight="1" thickBot="1">
      <c r="A163" s="616" t="s">
        <v>105</v>
      </c>
      <c r="B163" s="617"/>
      <c r="C163" s="618"/>
      <c r="D163" s="688">
        <f>D19</f>
        <v>0</v>
      </c>
      <c r="E163" s="688">
        <f t="shared" ref="E163:O163" si="255">E19</f>
        <v>0</v>
      </c>
      <c r="F163" s="688">
        <f t="shared" si="255"/>
        <v>0</v>
      </c>
      <c r="G163" s="688">
        <f t="shared" si="255"/>
        <v>0</v>
      </c>
      <c r="H163" s="688">
        <f t="shared" si="255"/>
        <v>0</v>
      </c>
      <c r="I163" s="688">
        <f t="shared" si="255"/>
        <v>0</v>
      </c>
      <c r="J163" s="688">
        <f t="shared" si="255"/>
        <v>0</v>
      </c>
      <c r="K163" s="688">
        <f t="shared" si="255"/>
        <v>0</v>
      </c>
      <c r="L163" s="688">
        <f t="shared" si="255"/>
        <v>0</v>
      </c>
      <c r="M163" s="688">
        <f t="shared" si="255"/>
        <v>0</v>
      </c>
      <c r="N163" s="688">
        <f t="shared" si="255"/>
        <v>0</v>
      </c>
      <c r="O163" s="688">
        <f t="shared" si="255"/>
        <v>0</v>
      </c>
      <c r="P163" s="619">
        <f t="shared" si="229"/>
        <v>0</v>
      </c>
      <c r="Q163" s="620" t="e">
        <f t="shared" si="254"/>
        <v>#DIV/0!</v>
      </c>
    </row>
    <row r="164" spans="1:20" ht="25.5" customHeight="1" thickBot="1">
      <c r="B164" s="601"/>
      <c r="C164" s="621"/>
      <c r="D164" s="689"/>
      <c r="E164" s="689"/>
      <c r="F164" s="689"/>
      <c r="G164" s="689"/>
      <c r="H164" s="689"/>
      <c r="I164" s="689"/>
      <c r="J164" s="689"/>
      <c r="K164" s="689"/>
      <c r="L164" s="689"/>
      <c r="M164" s="689"/>
      <c r="N164" s="689"/>
      <c r="O164" s="689"/>
      <c r="P164" s="622"/>
      <c r="Q164" s="623"/>
    </row>
    <row r="165" spans="1:20" ht="25.5" customHeight="1" thickBot="1">
      <c r="A165" s="693" t="s">
        <v>86</v>
      </c>
      <c r="B165" s="694"/>
      <c r="C165" s="695"/>
      <c r="D165" s="697">
        <v>13.829000000000001</v>
      </c>
      <c r="E165" s="697">
        <v>13.829000000000001</v>
      </c>
      <c r="F165" s="697">
        <v>13.829000000000001</v>
      </c>
      <c r="G165" s="697">
        <f>$F$21*$R$2</f>
        <v>15.76506</v>
      </c>
      <c r="H165" s="697">
        <f t="shared" ref="H165:I165" si="256">$F$21*$R$2</f>
        <v>15.76506</v>
      </c>
      <c r="I165" s="697">
        <f t="shared" si="256"/>
        <v>15.76506</v>
      </c>
      <c r="J165" s="697">
        <f>$I$21*$S$2</f>
        <v>18.129818999999998</v>
      </c>
      <c r="K165" s="697">
        <f t="shared" ref="K165:L165" si="257">$I$21*$S$2</f>
        <v>18.129818999999998</v>
      </c>
      <c r="L165" s="697">
        <f t="shared" si="257"/>
        <v>18.129818999999998</v>
      </c>
      <c r="M165" s="697">
        <f>$L$21*$T$2</f>
        <v>21.030590039999996</v>
      </c>
      <c r="N165" s="697">
        <f t="shared" ref="N165:O165" si="258">$L$21*$T$2</f>
        <v>21.030590039999996</v>
      </c>
      <c r="O165" s="697">
        <f t="shared" si="258"/>
        <v>21.030590039999996</v>
      </c>
      <c r="P165" s="2269">
        <f t="shared" si="229"/>
        <v>17.188617259999997</v>
      </c>
      <c r="Q165" s="699" t="e">
        <f t="shared" ref="Q165" si="259">SUM(P165-C165)/C165</f>
        <v>#DIV/0!</v>
      </c>
    </row>
    <row r="166" spans="1:20" ht="25.5" customHeight="1" thickBot="1">
      <c r="A166" s="624"/>
      <c r="B166" s="625"/>
      <c r="C166" s="626"/>
      <c r="D166" s="690"/>
      <c r="E166" s="690"/>
      <c r="F166" s="690"/>
      <c r="G166" s="690"/>
      <c r="H166" s="690"/>
      <c r="I166" s="690"/>
      <c r="J166" s="690"/>
      <c r="K166" s="690"/>
      <c r="L166" s="690"/>
      <c r="M166" s="690"/>
      <c r="N166" s="690"/>
      <c r="O166" s="690"/>
      <c r="P166" s="626"/>
      <c r="Q166" s="627"/>
    </row>
    <row r="167" spans="1:20" ht="25.5" customHeight="1" thickBot="1">
      <c r="A167" s="693" t="s">
        <v>31</v>
      </c>
      <c r="B167" s="694"/>
      <c r="C167" s="695"/>
      <c r="D167" s="696"/>
      <c r="E167" s="697"/>
      <c r="F167" s="697"/>
      <c r="G167" s="697"/>
      <c r="H167" s="697"/>
      <c r="I167" s="697"/>
      <c r="J167" s="697"/>
      <c r="K167" s="697"/>
      <c r="L167" s="697"/>
      <c r="M167" s="697"/>
      <c r="N167" s="697"/>
      <c r="O167" s="698"/>
      <c r="P167" s="695"/>
      <c r="Q167" s="699"/>
    </row>
    <row r="168" spans="1:20">
      <c r="B168" s="601"/>
      <c r="C168" s="601"/>
      <c r="D168" s="601"/>
      <c r="E168" s="601"/>
      <c r="F168" s="601"/>
      <c r="G168" s="601"/>
      <c r="H168" s="601"/>
      <c r="I168" s="601"/>
      <c r="J168" s="601"/>
      <c r="K168" s="601"/>
      <c r="L168" s="601"/>
      <c r="M168" s="601"/>
      <c r="N168" s="601"/>
      <c r="O168" s="601"/>
      <c r="P168" s="601"/>
    </row>
    <row r="169" spans="1:20" ht="16.2" thickBot="1">
      <c r="B169" s="601"/>
      <c r="C169" s="601"/>
      <c r="D169" s="601">
        <f>+D177*1.025</f>
        <v>0</v>
      </c>
      <c r="E169" s="601"/>
      <c r="F169" s="601"/>
      <c r="G169" s="601"/>
      <c r="H169" s="601"/>
      <c r="I169" s="601"/>
      <c r="J169" s="601"/>
      <c r="K169" s="601"/>
      <c r="L169" s="601"/>
      <c r="M169" s="601"/>
      <c r="N169" s="601"/>
      <c r="O169" s="601"/>
      <c r="P169" s="601"/>
    </row>
    <row r="170" spans="1:20" ht="32.1" customHeight="1" thickBot="1">
      <c r="A170" s="649"/>
      <c r="B170" s="2390"/>
      <c r="C170" s="2392" t="s">
        <v>695</v>
      </c>
      <c r="D170" s="2394" t="s">
        <v>583</v>
      </c>
      <c r="E170" s="2395"/>
      <c r="F170" s="2395"/>
      <c r="G170" s="2395"/>
      <c r="H170" s="2395"/>
      <c r="I170" s="2395"/>
      <c r="J170" s="2395"/>
      <c r="K170" s="2395"/>
      <c r="L170" s="2395"/>
      <c r="M170" s="2395"/>
      <c r="N170" s="2395"/>
      <c r="O170" s="2395"/>
      <c r="P170" s="2396"/>
      <c r="Q170" s="937" t="s">
        <v>605</v>
      </c>
    </row>
    <row r="171" spans="1:20" ht="32.1" customHeight="1" thickBot="1">
      <c r="A171" s="650"/>
      <c r="B171" s="2391"/>
      <c r="C171" s="2393"/>
      <c r="D171" s="678" t="s">
        <v>1</v>
      </c>
      <c r="E171" s="679" t="s">
        <v>2</v>
      </c>
      <c r="F171" s="679" t="s">
        <v>3</v>
      </c>
      <c r="G171" s="679" t="s">
        <v>4</v>
      </c>
      <c r="H171" s="679" t="s">
        <v>5</v>
      </c>
      <c r="I171" s="679" t="s">
        <v>6</v>
      </c>
      <c r="J171" s="679" t="s">
        <v>7</v>
      </c>
      <c r="K171" s="679" t="s">
        <v>8</v>
      </c>
      <c r="L171" s="679" t="s">
        <v>9</v>
      </c>
      <c r="M171" s="679" t="s">
        <v>10</v>
      </c>
      <c r="N171" s="679" t="s">
        <v>11</v>
      </c>
      <c r="O171" s="680" t="s">
        <v>12</v>
      </c>
      <c r="P171" s="651" t="s">
        <v>281</v>
      </c>
      <c r="Q171" s="941" t="s">
        <v>693</v>
      </c>
      <c r="R171" s="913" t="s">
        <v>509</v>
      </c>
      <c r="S171" s="913" t="s">
        <v>150</v>
      </c>
      <c r="T171" s="913" t="s">
        <v>151</v>
      </c>
    </row>
    <row r="172" spans="1:20" ht="25.5" customHeight="1" thickBot="1">
      <c r="A172" s="693" t="s">
        <v>28</v>
      </c>
      <c r="B172" s="694"/>
      <c r="C172" s="695"/>
      <c r="D172" s="696"/>
      <c r="E172" s="697"/>
      <c r="F172" s="697"/>
      <c r="G172" s="697"/>
      <c r="H172" s="697"/>
      <c r="I172" s="697"/>
      <c r="J172" s="697"/>
      <c r="K172" s="697"/>
      <c r="L172" s="697"/>
      <c r="M172" s="697"/>
      <c r="N172" s="697"/>
      <c r="O172" s="698"/>
      <c r="P172" s="695"/>
      <c r="Q172" s="699"/>
      <c r="R172" s="914" t="s">
        <v>487</v>
      </c>
      <c r="S172" s="914"/>
      <c r="T172" s="914" t="s">
        <v>320</v>
      </c>
    </row>
    <row r="173" spans="1:20" ht="25.5" customHeight="1">
      <c r="A173" s="654" t="s">
        <v>15</v>
      </c>
      <c r="B173" s="655"/>
      <c r="C173" s="656"/>
      <c r="D173" s="657"/>
      <c r="E173" s="657"/>
      <c r="F173" s="657"/>
      <c r="G173" s="657">
        <f>+F173*$R$2</f>
        <v>0</v>
      </c>
      <c r="H173" s="657">
        <f t="shared" ref="H173:H174" si="260">+F173*$R$2</f>
        <v>0</v>
      </c>
      <c r="I173" s="657">
        <f t="shared" ref="I173:I174" si="261">+F173*$R$2</f>
        <v>0</v>
      </c>
      <c r="J173" s="657">
        <f t="shared" ref="J173:J180" si="262">+I173*$S$2</f>
        <v>0</v>
      </c>
      <c r="K173" s="657">
        <f t="shared" ref="K173:K174" si="263">+I173*$S$2</f>
        <v>0</v>
      </c>
      <c r="L173" s="657">
        <f t="shared" ref="L173:L174" si="264">+I173*$S$2</f>
        <v>0</v>
      </c>
      <c r="M173" s="657">
        <f t="shared" ref="M173:M180" si="265">+L173*$T$2</f>
        <v>0</v>
      </c>
      <c r="N173" s="657">
        <f t="shared" ref="N173:N174" si="266">+L173*$T$2</f>
        <v>0</v>
      </c>
      <c r="O173" s="657">
        <f t="shared" ref="O173:O174" si="267">+L173*$T$2</f>
        <v>0</v>
      </c>
      <c r="P173" s="658">
        <f t="shared" ref="P173:P189" si="268">AVERAGE(D173:O173)</f>
        <v>0</v>
      </c>
      <c r="Q173" s="659" t="e">
        <f t="shared" ref="Q173" si="269">SUM(P173-C173)/C173</f>
        <v>#DIV/0!</v>
      </c>
    </row>
    <row r="174" spans="1:20" ht="25.5" customHeight="1">
      <c r="A174" s="660" t="s">
        <v>16</v>
      </c>
      <c r="B174" s="661"/>
      <c r="C174" s="662"/>
      <c r="D174" s="663"/>
      <c r="E174" s="663"/>
      <c r="F174" s="663"/>
      <c r="G174" s="664">
        <f>+F174*$R$2</f>
        <v>0</v>
      </c>
      <c r="H174" s="665">
        <f t="shared" si="260"/>
        <v>0</v>
      </c>
      <c r="I174" s="665">
        <f t="shared" si="261"/>
        <v>0</v>
      </c>
      <c r="J174" s="665">
        <f t="shared" si="262"/>
        <v>0</v>
      </c>
      <c r="K174" s="665">
        <f t="shared" si="263"/>
        <v>0</v>
      </c>
      <c r="L174" s="665">
        <f t="shared" si="264"/>
        <v>0</v>
      </c>
      <c r="M174" s="665">
        <f t="shared" si="265"/>
        <v>0</v>
      </c>
      <c r="N174" s="665">
        <f t="shared" si="266"/>
        <v>0</v>
      </c>
      <c r="O174" s="666">
        <f t="shared" si="267"/>
        <v>0</v>
      </c>
      <c r="P174" s="604">
        <f t="shared" ref="P174" si="270">AVERAGE(D174:O174)</f>
        <v>0</v>
      </c>
      <c r="Q174" s="600" t="e">
        <f t="shared" ref="Q174" si="271">SUM(P174-C174)/C174</f>
        <v>#DIV/0!</v>
      </c>
    </row>
    <row r="175" spans="1:20" ht="25.5" customHeight="1">
      <c r="A175" s="701" t="s">
        <v>27</v>
      </c>
      <c r="B175" s="702"/>
      <c r="C175" s="703"/>
      <c r="D175" s="704"/>
      <c r="E175" s="704"/>
      <c r="F175" s="704"/>
      <c r="G175" s="705"/>
      <c r="H175" s="705"/>
      <c r="I175" s="705"/>
      <c r="J175" s="705"/>
      <c r="K175" s="705"/>
      <c r="L175" s="705"/>
      <c r="M175" s="705"/>
      <c r="N175" s="705"/>
      <c r="O175" s="706"/>
      <c r="P175" s="707"/>
      <c r="Q175" s="708"/>
    </row>
    <row r="176" spans="1:20" ht="25.5" customHeight="1">
      <c r="A176" s="710" t="s">
        <v>17</v>
      </c>
      <c r="B176" s="711"/>
      <c r="C176" s="712"/>
      <c r="D176" s="713"/>
      <c r="E176" s="713"/>
      <c r="F176" s="713"/>
      <c r="G176" s="714">
        <f t="shared" ref="G176:G180" si="272">+F176*$R$2</f>
        <v>0</v>
      </c>
      <c r="H176" s="714">
        <f t="shared" ref="H176:H180" si="273">+F176*$R$2</f>
        <v>0</v>
      </c>
      <c r="I176" s="714">
        <f t="shared" ref="I176:I180" si="274">+F176*$R$2</f>
        <v>0</v>
      </c>
      <c r="J176" s="714">
        <f t="shared" si="262"/>
        <v>0</v>
      </c>
      <c r="K176" s="714">
        <f t="shared" ref="K176:K180" si="275">+I176*$S$2</f>
        <v>0</v>
      </c>
      <c r="L176" s="714">
        <f t="shared" ref="L176:L180" si="276">+I176*$S$2</f>
        <v>0</v>
      </c>
      <c r="M176" s="714">
        <f t="shared" si="265"/>
        <v>0</v>
      </c>
      <c r="N176" s="714">
        <f t="shared" ref="N176:N180" si="277">+L176*$T$2</f>
        <v>0</v>
      </c>
      <c r="O176" s="715">
        <f t="shared" ref="O176:O180" si="278">+L176*$T$2</f>
        <v>0</v>
      </c>
      <c r="P176" s="716">
        <f t="shared" si="268"/>
        <v>0</v>
      </c>
      <c r="Q176" s="717"/>
    </row>
    <row r="177" spans="1:17" ht="25.5" customHeight="1">
      <c r="A177" s="670" t="s">
        <v>81</v>
      </c>
      <c r="B177" s="602"/>
      <c r="C177" s="656"/>
      <c r="D177" s="671"/>
      <c r="E177" s="671"/>
      <c r="F177" s="671"/>
      <c r="G177" s="657">
        <v>20.484193078018745</v>
      </c>
      <c r="H177" s="657">
        <v>20.859365293877371</v>
      </c>
      <c r="I177" s="657">
        <v>21.717449379567885</v>
      </c>
      <c r="J177" s="657">
        <v>22.677904810291913</v>
      </c>
      <c r="K177" s="657">
        <v>23.205150194018518</v>
      </c>
      <c r="L177" s="657">
        <v>23.027045912009168</v>
      </c>
      <c r="M177" s="657">
        <v>23.692937343234373</v>
      </c>
      <c r="N177" s="657">
        <v>22.99839729760826</v>
      </c>
      <c r="O177" s="657">
        <v>23.491706166247948</v>
      </c>
      <c r="P177" s="605">
        <f t="shared" si="268"/>
        <v>22.461572163874909</v>
      </c>
      <c r="Q177" s="606" t="e">
        <f t="shared" ref="Q177" si="279">SUM(P177-C177)/C177</f>
        <v>#DIV/0!</v>
      </c>
    </row>
    <row r="178" spans="1:17" ht="25.5" customHeight="1">
      <c r="A178" s="672" t="s">
        <v>82</v>
      </c>
      <c r="B178" s="603"/>
      <c r="C178" s="662"/>
      <c r="D178" s="667"/>
      <c r="E178" s="667"/>
      <c r="F178" s="667"/>
      <c r="G178" s="668">
        <f t="shared" si="272"/>
        <v>0</v>
      </c>
      <c r="H178" s="668">
        <f t="shared" si="273"/>
        <v>0</v>
      </c>
      <c r="I178" s="668">
        <f t="shared" si="274"/>
        <v>0</v>
      </c>
      <c r="J178" s="668">
        <f t="shared" si="262"/>
        <v>0</v>
      </c>
      <c r="K178" s="668">
        <f t="shared" si="275"/>
        <v>0</v>
      </c>
      <c r="L178" s="668">
        <f t="shared" si="276"/>
        <v>0</v>
      </c>
      <c r="M178" s="668">
        <f t="shared" si="265"/>
        <v>0</v>
      </c>
      <c r="N178" s="668">
        <f t="shared" si="277"/>
        <v>0</v>
      </c>
      <c r="O178" s="669">
        <f t="shared" si="278"/>
        <v>0</v>
      </c>
      <c r="P178" s="604"/>
      <c r="Q178" s="600"/>
    </row>
    <row r="179" spans="1:17" ht="25.5" customHeight="1">
      <c r="A179" s="670" t="s">
        <v>83</v>
      </c>
      <c r="B179" s="673"/>
      <c r="C179" s="656"/>
      <c r="D179" s="671"/>
      <c r="E179" s="671"/>
      <c r="F179" s="671"/>
      <c r="G179" s="674">
        <f t="shared" si="272"/>
        <v>0</v>
      </c>
      <c r="H179" s="674">
        <f t="shared" si="273"/>
        <v>0</v>
      </c>
      <c r="I179" s="674">
        <f t="shared" si="274"/>
        <v>0</v>
      </c>
      <c r="J179" s="674">
        <f t="shared" si="262"/>
        <v>0</v>
      </c>
      <c r="K179" s="674">
        <f t="shared" si="275"/>
        <v>0</v>
      </c>
      <c r="L179" s="674">
        <f t="shared" si="276"/>
        <v>0</v>
      </c>
      <c r="M179" s="674">
        <f t="shared" si="265"/>
        <v>0</v>
      </c>
      <c r="N179" s="674">
        <f t="shared" si="277"/>
        <v>0</v>
      </c>
      <c r="O179" s="674">
        <f t="shared" si="278"/>
        <v>0</v>
      </c>
      <c r="P179" s="605">
        <f>AVERAGE(D179:O179)</f>
        <v>0</v>
      </c>
      <c r="Q179" s="606" t="e">
        <f t="shared" ref="Q179" si="280">SUM(P179-C179)/C179</f>
        <v>#DIV/0!</v>
      </c>
    </row>
    <row r="180" spans="1:17" ht="25.5" customHeight="1">
      <c r="A180" s="672" t="s">
        <v>84</v>
      </c>
      <c r="B180" s="661"/>
      <c r="C180" s="675"/>
      <c r="D180" s="676"/>
      <c r="E180" s="665"/>
      <c r="F180" s="665"/>
      <c r="G180" s="665">
        <f t="shared" si="272"/>
        <v>0</v>
      </c>
      <c r="H180" s="665">
        <f t="shared" si="273"/>
        <v>0</v>
      </c>
      <c r="I180" s="677">
        <f t="shared" si="274"/>
        <v>0</v>
      </c>
      <c r="J180" s="677">
        <f t="shared" si="262"/>
        <v>0</v>
      </c>
      <c r="K180" s="665">
        <f t="shared" si="275"/>
        <v>0</v>
      </c>
      <c r="L180" s="665">
        <f t="shared" si="276"/>
        <v>0</v>
      </c>
      <c r="M180" s="665">
        <f t="shared" si="265"/>
        <v>0</v>
      </c>
      <c r="N180" s="665">
        <f t="shared" si="277"/>
        <v>0</v>
      </c>
      <c r="O180" s="666">
        <f t="shared" si="278"/>
        <v>0</v>
      </c>
      <c r="P180" s="604"/>
      <c r="Q180" s="600"/>
    </row>
    <row r="181" spans="1:17" ht="25.5" customHeight="1" thickBot="1">
      <c r="A181" s="718" t="s">
        <v>18</v>
      </c>
      <c r="B181" s="719"/>
      <c r="C181" s="720"/>
      <c r="D181" s="721"/>
      <c r="E181" s="722"/>
      <c r="F181" s="722"/>
      <c r="G181" s="722"/>
      <c r="H181" s="722"/>
      <c r="I181" s="722"/>
      <c r="J181" s="722"/>
      <c r="K181" s="722"/>
      <c r="L181" s="722"/>
      <c r="M181" s="722"/>
      <c r="N181" s="722"/>
      <c r="O181" s="723"/>
      <c r="P181" s="720"/>
      <c r="Q181" s="724"/>
    </row>
    <row r="182" spans="1:17" ht="25.5" customHeight="1" thickBot="1">
      <c r="A182" s="693" t="s">
        <v>29</v>
      </c>
      <c r="B182" s="725"/>
      <c r="C182" s="726"/>
      <c r="D182" s="727"/>
      <c r="E182" s="728"/>
      <c r="F182" s="728"/>
      <c r="G182" s="728"/>
      <c r="H182" s="728"/>
      <c r="I182" s="728"/>
      <c r="J182" s="728"/>
      <c r="K182" s="728"/>
      <c r="L182" s="728"/>
      <c r="M182" s="728"/>
      <c r="N182" s="728"/>
      <c r="O182" s="729"/>
      <c r="P182" s="726"/>
      <c r="Q182" s="730"/>
    </row>
    <row r="183" spans="1:17" ht="25.5" customHeight="1">
      <c r="A183" s="615" t="s">
        <v>19</v>
      </c>
      <c r="B183" s="607"/>
      <c r="C183" s="608"/>
      <c r="D183" s="681"/>
      <c r="E183" s="681"/>
      <c r="F183" s="681"/>
      <c r="G183" s="683">
        <f>+F183*$R$2</f>
        <v>0</v>
      </c>
      <c r="H183" s="683">
        <f t="shared" ref="H183:H184" si="281">+F183*$R$2</f>
        <v>0</v>
      </c>
      <c r="I183" s="683">
        <f t="shared" ref="I183:I184" si="282">+F183*$R$2</f>
        <v>0</v>
      </c>
      <c r="J183" s="683">
        <f t="shared" ref="J183:J184" si="283">+I183*$S$2</f>
        <v>0</v>
      </c>
      <c r="K183" s="683">
        <f t="shared" ref="K183:K184" si="284">+I183*$S$2</f>
        <v>0</v>
      </c>
      <c r="L183" s="683">
        <f t="shared" ref="L183:L184" si="285">+I183*$S$2</f>
        <v>0</v>
      </c>
      <c r="M183" s="683">
        <f t="shared" ref="M183:M184" si="286">+L183*$T$2</f>
        <v>0</v>
      </c>
      <c r="N183" s="683">
        <f t="shared" ref="N183:N184" si="287">+L183*$T$2</f>
        <v>0</v>
      </c>
      <c r="O183" s="684">
        <f t="shared" ref="O183:O184" si="288">+L183*$T$2</f>
        <v>0</v>
      </c>
      <c r="P183" s="609">
        <f t="shared" si="268"/>
        <v>0</v>
      </c>
      <c r="Q183" s="610" t="e">
        <f t="shared" ref="Q183:Q184" si="289">SUM(P183-C183)/C183</f>
        <v>#DIV/0!</v>
      </c>
    </row>
    <row r="184" spans="1:17" ht="25.5" customHeight="1" thickBot="1">
      <c r="A184" s="616" t="s">
        <v>20</v>
      </c>
      <c r="B184" s="611"/>
      <c r="C184" s="612"/>
      <c r="D184" s="685"/>
      <c r="E184" s="685"/>
      <c r="F184" s="685"/>
      <c r="G184" s="686">
        <f t="shared" ref="G184" si="290">+F184*$R$2</f>
        <v>0</v>
      </c>
      <c r="H184" s="686">
        <f t="shared" si="281"/>
        <v>0</v>
      </c>
      <c r="I184" s="686">
        <f t="shared" si="282"/>
        <v>0</v>
      </c>
      <c r="J184" s="686">
        <f t="shared" si="283"/>
        <v>0</v>
      </c>
      <c r="K184" s="686">
        <f t="shared" si="284"/>
        <v>0</v>
      </c>
      <c r="L184" s="686">
        <f t="shared" si="285"/>
        <v>0</v>
      </c>
      <c r="M184" s="686">
        <f t="shared" si="286"/>
        <v>0</v>
      </c>
      <c r="N184" s="686">
        <f t="shared" si="287"/>
        <v>0</v>
      </c>
      <c r="O184" s="686">
        <f t="shared" si="288"/>
        <v>0</v>
      </c>
      <c r="P184" s="613">
        <f t="shared" si="268"/>
        <v>0</v>
      </c>
      <c r="Q184" s="614" t="e">
        <f t="shared" si="289"/>
        <v>#DIV/0!</v>
      </c>
    </row>
    <row r="185" spans="1:17" ht="25.5" customHeight="1" thickBot="1">
      <c r="A185" s="693" t="s">
        <v>30</v>
      </c>
      <c r="B185" s="694"/>
      <c r="C185" s="726"/>
      <c r="D185" s="727"/>
      <c r="E185" s="728"/>
      <c r="F185" s="728"/>
      <c r="G185" s="728"/>
      <c r="H185" s="728"/>
      <c r="I185" s="728"/>
      <c r="J185" s="728"/>
      <c r="K185" s="728"/>
      <c r="L185" s="728"/>
      <c r="M185" s="728"/>
      <c r="N185" s="728"/>
      <c r="O185" s="729"/>
      <c r="P185" s="726"/>
      <c r="Q185" s="730"/>
    </row>
    <row r="186" spans="1:17" ht="25.5" customHeight="1">
      <c r="A186" s="615" t="s">
        <v>106</v>
      </c>
      <c r="B186" s="607"/>
      <c r="C186" s="608"/>
      <c r="D186" s="687">
        <f>D18</f>
        <v>0</v>
      </c>
      <c r="E186" s="687">
        <f t="shared" ref="E186:O186" si="291">E18</f>
        <v>0</v>
      </c>
      <c r="F186" s="687">
        <f t="shared" si="291"/>
        <v>0</v>
      </c>
      <c r="G186" s="687">
        <f t="shared" si="291"/>
        <v>0</v>
      </c>
      <c r="H186" s="687">
        <f t="shared" si="291"/>
        <v>0</v>
      </c>
      <c r="I186" s="687">
        <f t="shared" si="291"/>
        <v>0</v>
      </c>
      <c r="J186" s="687">
        <f t="shared" si="291"/>
        <v>0</v>
      </c>
      <c r="K186" s="687">
        <f t="shared" si="291"/>
        <v>0</v>
      </c>
      <c r="L186" s="687">
        <f t="shared" si="291"/>
        <v>0</v>
      </c>
      <c r="M186" s="687">
        <f t="shared" si="291"/>
        <v>0</v>
      </c>
      <c r="N186" s="687">
        <f t="shared" si="291"/>
        <v>0</v>
      </c>
      <c r="O186" s="687">
        <f t="shared" si="291"/>
        <v>0</v>
      </c>
      <c r="P186" s="609">
        <f t="shared" si="268"/>
        <v>0</v>
      </c>
      <c r="Q186" s="610" t="e">
        <f t="shared" ref="Q186:Q187" si="292">SUM(P186-C186)/C186</f>
        <v>#DIV/0!</v>
      </c>
    </row>
    <row r="187" spans="1:17" ht="25.5" customHeight="1" thickBot="1">
      <c r="A187" s="616" t="s">
        <v>105</v>
      </c>
      <c r="B187" s="617"/>
      <c r="C187" s="618"/>
      <c r="D187" s="688">
        <f>D19</f>
        <v>0</v>
      </c>
      <c r="E187" s="688">
        <f t="shared" ref="E187:O187" si="293">E19</f>
        <v>0</v>
      </c>
      <c r="F187" s="688">
        <f t="shared" si="293"/>
        <v>0</v>
      </c>
      <c r="G187" s="688">
        <f t="shared" si="293"/>
        <v>0</v>
      </c>
      <c r="H187" s="688">
        <f t="shared" si="293"/>
        <v>0</v>
      </c>
      <c r="I187" s="688">
        <f t="shared" si="293"/>
        <v>0</v>
      </c>
      <c r="J187" s="688">
        <f t="shared" si="293"/>
        <v>0</v>
      </c>
      <c r="K187" s="688">
        <f t="shared" si="293"/>
        <v>0</v>
      </c>
      <c r="L187" s="688">
        <f t="shared" si="293"/>
        <v>0</v>
      </c>
      <c r="M187" s="688">
        <f t="shared" si="293"/>
        <v>0</v>
      </c>
      <c r="N187" s="688">
        <f t="shared" si="293"/>
        <v>0</v>
      </c>
      <c r="O187" s="688">
        <f t="shared" si="293"/>
        <v>0</v>
      </c>
      <c r="P187" s="619">
        <f t="shared" si="268"/>
        <v>0</v>
      </c>
      <c r="Q187" s="620" t="e">
        <f t="shared" si="292"/>
        <v>#DIV/0!</v>
      </c>
    </row>
    <row r="188" spans="1:17" ht="25.5" customHeight="1" thickBot="1">
      <c r="B188" s="601"/>
      <c r="C188" s="621"/>
      <c r="D188" s="689"/>
      <c r="E188" s="689"/>
      <c r="F188" s="689"/>
      <c r="G188" s="689"/>
      <c r="H188" s="689"/>
      <c r="I188" s="689"/>
      <c r="J188" s="689"/>
      <c r="K188" s="689"/>
      <c r="L188" s="689"/>
      <c r="M188" s="689"/>
      <c r="N188" s="689"/>
      <c r="O188" s="689"/>
      <c r="P188" s="622"/>
      <c r="Q188" s="623"/>
    </row>
    <row r="189" spans="1:17" ht="25.5" customHeight="1" thickBot="1">
      <c r="A189" s="693" t="s">
        <v>86</v>
      </c>
      <c r="B189" s="694"/>
      <c r="C189" s="695"/>
      <c r="D189" s="697">
        <v>13.829000000000001</v>
      </c>
      <c r="E189" s="697">
        <v>13.829000000000001</v>
      </c>
      <c r="F189" s="697">
        <v>13.829000000000001</v>
      </c>
      <c r="G189" s="697">
        <f>$F$21*$R$2</f>
        <v>15.76506</v>
      </c>
      <c r="H189" s="697">
        <f t="shared" ref="H189:I189" si="294">$F$21*$R$2</f>
        <v>15.76506</v>
      </c>
      <c r="I189" s="697">
        <f t="shared" si="294"/>
        <v>15.76506</v>
      </c>
      <c r="J189" s="697">
        <f>$I$21*$S$2</f>
        <v>18.129818999999998</v>
      </c>
      <c r="K189" s="697">
        <f t="shared" ref="K189:L189" si="295">$I$21*$S$2</f>
        <v>18.129818999999998</v>
      </c>
      <c r="L189" s="697">
        <f t="shared" si="295"/>
        <v>18.129818999999998</v>
      </c>
      <c r="M189" s="697">
        <f>$L$21*$T$2</f>
        <v>21.030590039999996</v>
      </c>
      <c r="N189" s="697">
        <f t="shared" ref="N189:O189" si="296">$L$21*$T$2</f>
        <v>21.030590039999996</v>
      </c>
      <c r="O189" s="697">
        <f t="shared" si="296"/>
        <v>21.030590039999996</v>
      </c>
      <c r="P189" s="2269">
        <f t="shared" si="268"/>
        <v>17.188617259999997</v>
      </c>
      <c r="Q189" s="699" t="e">
        <f t="shared" ref="Q189" si="297">SUM(P189-C189)/C189</f>
        <v>#DIV/0!</v>
      </c>
    </row>
    <row r="190" spans="1:17" ht="25.5" customHeight="1" thickBot="1">
      <c r="A190" s="624"/>
      <c r="B190" s="625"/>
      <c r="C190" s="626"/>
      <c r="D190" s="690"/>
      <c r="E190" s="690"/>
      <c r="F190" s="690"/>
      <c r="G190" s="690"/>
      <c r="H190" s="690"/>
      <c r="I190" s="690"/>
      <c r="J190" s="690"/>
      <c r="K190" s="690"/>
      <c r="L190" s="690"/>
      <c r="M190" s="690"/>
      <c r="N190" s="690"/>
      <c r="O190" s="690"/>
      <c r="P190" s="626"/>
      <c r="Q190" s="627"/>
    </row>
    <row r="191" spans="1:17" ht="25.5" customHeight="1" thickBot="1">
      <c r="A191" s="693" t="s">
        <v>31</v>
      </c>
      <c r="B191" s="694"/>
      <c r="C191" s="695"/>
      <c r="D191" s="696"/>
      <c r="E191" s="697"/>
      <c r="F191" s="697"/>
      <c r="G191" s="697"/>
      <c r="H191" s="697"/>
      <c r="I191" s="697"/>
      <c r="J191" s="697"/>
      <c r="K191" s="697"/>
      <c r="L191" s="697"/>
      <c r="M191" s="697"/>
      <c r="N191" s="697"/>
      <c r="O191" s="698"/>
      <c r="P191" s="695"/>
      <c r="Q191" s="699"/>
    </row>
    <row r="192" spans="1:17">
      <c r="B192" s="601"/>
      <c r="C192" s="601"/>
      <c r="D192" s="601"/>
      <c r="E192" s="601"/>
      <c r="F192" s="601"/>
      <c r="G192" s="601"/>
      <c r="H192" s="601"/>
      <c r="I192" s="601"/>
      <c r="J192" s="601"/>
      <c r="K192" s="601"/>
      <c r="L192" s="601"/>
      <c r="M192" s="601"/>
      <c r="N192" s="601"/>
      <c r="O192" s="601"/>
      <c r="P192" s="601"/>
    </row>
    <row r="193" spans="1:20" ht="16.2" thickBot="1">
      <c r="B193" s="601"/>
      <c r="C193" s="601"/>
      <c r="D193" s="601"/>
      <c r="E193" s="601"/>
      <c r="F193" s="601"/>
      <c r="G193" s="601"/>
      <c r="H193" s="601"/>
      <c r="I193" s="601"/>
      <c r="J193" s="601"/>
      <c r="K193" s="601"/>
      <c r="L193" s="601"/>
      <c r="M193" s="601"/>
      <c r="N193" s="601"/>
      <c r="O193" s="601"/>
      <c r="P193" s="601"/>
    </row>
    <row r="194" spans="1:20" ht="32.1" customHeight="1" thickBot="1">
      <c r="A194" s="649"/>
      <c r="B194" s="2390"/>
      <c r="C194" s="2392" t="s">
        <v>695</v>
      </c>
      <c r="D194" s="2394" t="s">
        <v>584</v>
      </c>
      <c r="E194" s="2395"/>
      <c r="F194" s="2395"/>
      <c r="G194" s="2395"/>
      <c r="H194" s="2395"/>
      <c r="I194" s="2395"/>
      <c r="J194" s="2395"/>
      <c r="K194" s="2395"/>
      <c r="L194" s="2395"/>
      <c r="M194" s="2395"/>
      <c r="N194" s="2395"/>
      <c r="O194" s="2395"/>
      <c r="P194" s="2396"/>
      <c r="Q194" s="937" t="s">
        <v>605</v>
      </c>
    </row>
    <row r="195" spans="1:20" ht="32.1" customHeight="1" thickBot="1">
      <c r="A195" s="650"/>
      <c r="B195" s="2391"/>
      <c r="C195" s="2393"/>
      <c r="D195" s="678" t="s">
        <v>1</v>
      </c>
      <c r="E195" s="679" t="s">
        <v>2</v>
      </c>
      <c r="F195" s="679" t="s">
        <v>3</v>
      </c>
      <c r="G195" s="679" t="s">
        <v>4</v>
      </c>
      <c r="H195" s="679" t="s">
        <v>5</v>
      </c>
      <c r="I195" s="679" t="s">
        <v>6</v>
      </c>
      <c r="J195" s="679" t="s">
        <v>7</v>
      </c>
      <c r="K195" s="679" t="s">
        <v>8</v>
      </c>
      <c r="L195" s="679" t="s">
        <v>9</v>
      </c>
      <c r="M195" s="679" t="s">
        <v>10</v>
      </c>
      <c r="N195" s="679" t="s">
        <v>11</v>
      </c>
      <c r="O195" s="680" t="s">
        <v>12</v>
      </c>
      <c r="P195" s="651" t="s">
        <v>281</v>
      </c>
      <c r="Q195" s="941" t="s">
        <v>693</v>
      </c>
      <c r="R195" s="913" t="s">
        <v>509</v>
      </c>
      <c r="S195" s="913" t="s">
        <v>150</v>
      </c>
      <c r="T195" s="913" t="s">
        <v>151</v>
      </c>
    </row>
    <row r="196" spans="1:20" ht="25.5" customHeight="1" thickBot="1">
      <c r="A196" s="693" t="s">
        <v>28</v>
      </c>
      <c r="B196" s="694"/>
      <c r="C196" s="695"/>
      <c r="D196" s="696"/>
      <c r="E196" s="697"/>
      <c r="F196" s="697"/>
      <c r="G196" s="697"/>
      <c r="H196" s="697"/>
      <c r="I196" s="697"/>
      <c r="J196" s="697"/>
      <c r="K196" s="697"/>
      <c r="L196" s="697"/>
      <c r="M196" s="697"/>
      <c r="N196" s="697"/>
      <c r="O196" s="698"/>
      <c r="P196" s="695"/>
      <c r="Q196" s="699"/>
      <c r="R196" s="914" t="s">
        <v>487</v>
      </c>
      <c r="S196" s="914"/>
      <c r="T196" s="914" t="s">
        <v>320</v>
      </c>
    </row>
    <row r="197" spans="1:20" ht="25.5" customHeight="1">
      <c r="A197" s="654" t="s">
        <v>15</v>
      </c>
      <c r="B197" s="655"/>
      <c r="C197" s="656"/>
      <c r="D197" s="657"/>
      <c r="E197" s="657"/>
      <c r="F197" s="657"/>
      <c r="G197" s="657">
        <f>+F197*$R$2</f>
        <v>0</v>
      </c>
      <c r="H197" s="657">
        <f t="shared" ref="H197:H198" si="298">+F197*$R$2</f>
        <v>0</v>
      </c>
      <c r="I197" s="657">
        <f>+F197*$R$2</f>
        <v>0</v>
      </c>
      <c r="J197" s="657">
        <f>+I197*$S$2</f>
        <v>0</v>
      </c>
      <c r="K197" s="657">
        <f t="shared" ref="K197:K198" si="299">+I197*$S$2</f>
        <v>0</v>
      </c>
      <c r="L197" s="657">
        <f>+I197*$S$2</f>
        <v>0</v>
      </c>
      <c r="M197" s="657">
        <f>+L197*$T$2</f>
        <v>0</v>
      </c>
      <c r="N197" s="657">
        <f t="shared" ref="N197:N198" si="300">+L197*$T$2</f>
        <v>0</v>
      </c>
      <c r="O197" s="657">
        <f t="shared" ref="O197:O198" si="301">+L197*$T$2</f>
        <v>0</v>
      </c>
      <c r="P197" s="658">
        <f t="shared" ref="P197:P213" si="302">AVERAGE(D197:O197)</f>
        <v>0</v>
      </c>
      <c r="Q197" s="659" t="e">
        <f t="shared" ref="Q197:Q198" si="303">SUM(P197-C197)/C197</f>
        <v>#DIV/0!</v>
      </c>
    </row>
    <row r="198" spans="1:20" ht="25.5" customHeight="1">
      <c r="A198" s="660" t="s">
        <v>16</v>
      </c>
      <c r="B198" s="661"/>
      <c r="C198" s="662"/>
      <c r="D198" s="663"/>
      <c r="E198" s="663"/>
      <c r="F198" s="663"/>
      <c r="G198" s="663">
        <f>+F198*$R$2</f>
        <v>0</v>
      </c>
      <c r="H198" s="663">
        <f t="shared" si="298"/>
        <v>0</v>
      </c>
      <c r="I198" s="663">
        <f>+F198*$R$2</f>
        <v>0</v>
      </c>
      <c r="J198" s="663">
        <f>+I198*$S$2</f>
        <v>0</v>
      </c>
      <c r="K198" s="663">
        <f t="shared" si="299"/>
        <v>0</v>
      </c>
      <c r="L198" s="663">
        <f>+I198*$S$2</f>
        <v>0</v>
      </c>
      <c r="M198" s="663">
        <f t="shared" ref="M198:M204" si="304">+L198*$T$2</f>
        <v>0</v>
      </c>
      <c r="N198" s="663">
        <f t="shared" si="300"/>
        <v>0</v>
      </c>
      <c r="O198" s="663">
        <f t="shared" si="301"/>
        <v>0</v>
      </c>
      <c r="P198" s="604">
        <f t="shared" si="302"/>
        <v>0</v>
      </c>
      <c r="Q198" s="600" t="e">
        <f t="shared" si="303"/>
        <v>#DIV/0!</v>
      </c>
    </row>
    <row r="199" spans="1:20" ht="25.5" customHeight="1">
      <c r="A199" s="701" t="s">
        <v>27</v>
      </c>
      <c r="B199" s="702"/>
      <c r="C199" s="703"/>
      <c r="D199" s="704"/>
      <c r="E199" s="704"/>
      <c r="F199" s="704"/>
      <c r="G199" s="705"/>
      <c r="H199" s="705"/>
      <c r="I199" s="705"/>
      <c r="J199" s="705"/>
      <c r="K199" s="705"/>
      <c r="L199" s="705"/>
      <c r="M199" s="705"/>
      <c r="N199" s="705"/>
      <c r="O199" s="706"/>
      <c r="P199" s="707"/>
      <c r="Q199" s="708"/>
    </row>
    <row r="200" spans="1:20" ht="25.5" customHeight="1">
      <c r="A200" s="710" t="s">
        <v>17</v>
      </c>
      <c r="B200" s="711"/>
      <c r="C200" s="712"/>
      <c r="D200" s="713"/>
      <c r="E200" s="713"/>
      <c r="F200" s="713"/>
      <c r="G200" s="714">
        <f>+F200*$R$2</f>
        <v>0</v>
      </c>
      <c r="H200" s="714">
        <f t="shared" ref="H200:H204" si="305">+F200*$R$2</f>
        <v>0</v>
      </c>
      <c r="I200" s="714">
        <f>+F200*$R$2</f>
        <v>0</v>
      </c>
      <c r="J200" s="714">
        <f>+I200*$S$2</f>
        <v>0</v>
      </c>
      <c r="K200" s="714">
        <f t="shared" ref="K200:K204" si="306">+I200*$S$2</f>
        <v>0</v>
      </c>
      <c r="L200" s="714">
        <f>+I200*$S$2</f>
        <v>0</v>
      </c>
      <c r="M200" s="714">
        <f t="shared" si="304"/>
        <v>0</v>
      </c>
      <c r="N200" s="714">
        <f t="shared" ref="N200:N204" si="307">+L200*$T$2</f>
        <v>0</v>
      </c>
      <c r="O200" s="715">
        <f t="shared" ref="O200:O204" si="308">+L200*$T$2</f>
        <v>0</v>
      </c>
      <c r="P200" s="716">
        <f t="shared" si="302"/>
        <v>0</v>
      </c>
      <c r="Q200" s="717"/>
    </row>
    <row r="201" spans="1:20" ht="25.5" customHeight="1">
      <c r="A201" s="670" t="s">
        <v>81</v>
      </c>
      <c r="B201" s="602"/>
      <c r="C201" s="656"/>
      <c r="D201" s="671"/>
      <c r="E201" s="671"/>
      <c r="F201" s="671"/>
      <c r="G201" s="657">
        <v>20.484193078018745</v>
      </c>
      <c r="H201" s="657">
        <v>20.859365293877371</v>
      </c>
      <c r="I201" s="657">
        <v>21.717449379567885</v>
      </c>
      <c r="J201" s="657">
        <v>22.677904810291913</v>
      </c>
      <c r="K201" s="657">
        <v>23.205150194018518</v>
      </c>
      <c r="L201" s="657">
        <v>23.027045912009168</v>
      </c>
      <c r="M201" s="657">
        <v>23.692937343234373</v>
      </c>
      <c r="N201" s="657">
        <v>22.99839729760826</v>
      </c>
      <c r="O201" s="657">
        <v>23.491706166247948</v>
      </c>
      <c r="P201" s="605">
        <f t="shared" si="302"/>
        <v>22.461572163874909</v>
      </c>
      <c r="Q201" s="606" t="e">
        <f t="shared" ref="Q201" si="309">SUM(P201-C201)/C201</f>
        <v>#DIV/0!</v>
      </c>
    </row>
    <row r="202" spans="1:20" ht="25.5" customHeight="1">
      <c r="A202" s="672" t="s">
        <v>82</v>
      </c>
      <c r="B202" s="603"/>
      <c r="C202" s="662"/>
      <c r="D202" s="667"/>
      <c r="E202" s="667"/>
      <c r="F202" s="667"/>
      <c r="G202" s="668">
        <f>+F202*$R$2</f>
        <v>0</v>
      </c>
      <c r="H202" s="668">
        <f t="shared" si="305"/>
        <v>0</v>
      </c>
      <c r="I202" s="668">
        <f t="shared" ref="I202:I204" si="310">+F202*$R$2</f>
        <v>0</v>
      </c>
      <c r="J202" s="668">
        <f t="shared" ref="J202:J204" si="311">+I202*$S$2</f>
        <v>0</v>
      </c>
      <c r="K202" s="668">
        <f t="shared" si="306"/>
        <v>0</v>
      </c>
      <c r="L202" s="668">
        <f t="shared" ref="L202:L204" si="312">+I202*$S$2</f>
        <v>0</v>
      </c>
      <c r="M202" s="668">
        <f t="shared" si="304"/>
        <v>0</v>
      </c>
      <c r="N202" s="668">
        <f t="shared" si="307"/>
        <v>0</v>
      </c>
      <c r="O202" s="669">
        <f t="shared" si="308"/>
        <v>0</v>
      </c>
      <c r="P202" s="604"/>
      <c r="Q202" s="600"/>
    </row>
    <row r="203" spans="1:20" ht="25.5" customHeight="1">
      <c r="A203" s="670" t="s">
        <v>83</v>
      </c>
      <c r="B203" s="673"/>
      <c r="C203" s="656"/>
      <c r="D203" s="671"/>
      <c r="E203" s="671"/>
      <c r="F203" s="671"/>
      <c r="G203" s="674">
        <f>+F203*$R$2</f>
        <v>0</v>
      </c>
      <c r="H203" s="674">
        <f t="shared" si="305"/>
        <v>0</v>
      </c>
      <c r="I203" s="674">
        <f t="shared" si="310"/>
        <v>0</v>
      </c>
      <c r="J203" s="674">
        <f t="shared" si="311"/>
        <v>0</v>
      </c>
      <c r="K203" s="674">
        <f t="shared" si="306"/>
        <v>0</v>
      </c>
      <c r="L203" s="674">
        <f t="shared" si="312"/>
        <v>0</v>
      </c>
      <c r="M203" s="674">
        <f t="shared" si="304"/>
        <v>0</v>
      </c>
      <c r="N203" s="674">
        <f t="shared" si="307"/>
        <v>0</v>
      </c>
      <c r="O203" s="674">
        <f t="shared" si="308"/>
        <v>0</v>
      </c>
      <c r="P203" s="605">
        <f t="shared" si="302"/>
        <v>0</v>
      </c>
      <c r="Q203" s="606" t="e">
        <f t="shared" ref="Q203" si="313">SUM(P203-C203)/C203</f>
        <v>#DIV/0!</v>
      </c>
    </row>
    <row r="204" spans="1:20" ht="25.5" customHeight="1">
      <c r="A204" s="672" t="s">
        <v>84</v>
      </c>
      <c r="B204" s="661"/>
      <c r="C204" s="675"/>
      <c r="D204" s="676"/>
      <c r="E204" s="665"/>
      <c r="F204" s="665"/>
      <c r="G204" s="665">
        <f>+F204*$R$2</f>
        <v>0</v>
      </c>
      <c r="H204" s="665">
        <f t="shared" si="305"/>
        <v>0</v>
      </c>
      <c r="I204" s="677">
        <f t="shared" si="310"/>
        <v>0</v>
      </c>
      <c r="J204" s="677">
        <f t="shared" si="311"/>
        <v>0</v>
      </c>
      <c r="K204" s="665">
        <f t="shared" si="306"/>
        <v>0</v>
      </c>
      <c r="L204" s="665">
        <f t="shared" si="312"/>
        <v>0</v>
      </c>
      <c r="M204" s="665">
        <f t="shared" si="304"/>
        <v>0</v>
      </c>
      <c r="N204" s="665">
        <f t="shared" si="307"/>
        <v>0</v>
      </c>
      <c r="O204" s="666">
        <f t="shared" si="308"/>
        <v>0</v>
      </c>
      <c r="P204" s="604"/>
      <c r="Q204" s="600"/>
    </row>
    <row r="205" spans="1:20" ht="25.5" customHeight="1" thickBot="1">
      <c r="A205" s="718" t="s">
        <v>18</v>
      </c>
      <c r="B205" s="719"/>
      <c r="C205" s="720"/>
      <c r="D205" s="721"/>
      <c r="E205" s="722"/>
      <c r="F205" s="722"/>
      <c r="G205" s="722"/>
      <c r="H205" s="722"/>
      <c r="I205" s="722"/>
      <c r="J205" s="722"/>
      <c r="K205" s="722"/>
      <c r="L205" s="722"/>
      <c r="M205" s="722"/>
      <c r="N205" s="722"/>
      <c r="O205" s="723"/>
      <c r="P205" s="720"/>
      <c r="Q205" s="724"/>
    </row>
    <row r="206" spans="1:20" ht="25.5" customHeight="1" thickBot="1">
      <c r="A206" s="693" t="s">
        <v>29</v>
      </c>
      <c r="B206" s="725"/>
      <c r="C206" s="726"/>
      <c r="D206" s="727"/>
      <c r="E206" s="728"/>
      <c r="F206" s="728"/>
      <c r="G206" s="728"/>
      <c r="H206" s="728"/>
      <c r="I206" s="728"/>
      <c r="J206" s="728"/>
      <c r="K206" s="728"/>
      <c r="L206" s="728"/>
      <c r="M206" s="728"/>
      <c r="N206" s="728"/>
      <c r="O206" s="729"/>
      <c r="P206" s="726"/>
      <c r="Q206" s="730"/>
    </row>
    <row r="207" spans="1:20" ht="25.5" customHeight="1">
      <c r="A207" s="615" t="s">
        <v>19</v>
      </c>
      <c r="B207" s="607"/>
      <c r="C207" s="608"/>
      <c r="D207" s="681"/>
      <c r="E207" s="681"/>
      <c r="F207" s="681"/>
      <c r="G207" s="683">
        <f>+F207*$R$2</f>
        <v>0</v>
      </c>
      <c r="H207" s="683">
        <f t="shared" ref="H207:H208" si="314">+F207*$R$2</f>
        <v>0</v>
      </c>
      <c r="I207" s="683">
        <f t="shared" ref="I207:I208" si="315">+F207*$R$2</f>
        <v>0</v>
      </c>
      <c r="J207" s="683">
        <f t="shared" ref="J207:J208" si="316">+I207*$S$2</f>
        <v>0</v>
      </c>
      <c r="K207" s="683">
        <f t="shared" ref="K207:K208" si="317">+I207*$S$2</f>
        <v>0</v>
      </c>
      <c r="L207" s="683">
        <f t="shared" ref="L207:L208" si="318">+I207*$S$2</f>
        <v>0</v>
      </c>
      <c r="M207" s="683">
        <f t="shared" ref="M207:M208" si="319">+L207*$T$2</f>
        <v>0</v>
      </c>
      <c r="N207" s="683">
        <f t="shared" ref="N207:N208" si="320">+L207*$T$2</f>
        <v>0</v>
      </c>
      <c r="O207" s="684">
        <f t="shared" ref="O207:O208" si="321">+L207*$T$2</f>
        <v>0</v>
      </c>
      <c r="P207" s="609">
        <f t="shared" si="302"/>
        <v>0</v>
      </c>
      <c r="Q207" s="610" t="e">
        <f t="shared" ref="Q207:Q208" si="322">SUM(P207-C207)/C207</f>
        <v>#DIV/0!</v>
      </c>
    </row>
    <row r="208" spans="1:20" ht="25.5" customHeight="1" thickBot="1">
      <c r="A208" s="616" t="s">
        <v>20</v>
      </c>
      <c r="B208" s="611"/>
      <c r="C208" s="612"/>
      <c r="D208" s="685"/>
      <c r="E208" s="685"/>
      <c r="F208" s="685"/>
      <c r="G208" s="686">
        <f t="shared" ref="G208" si="323">+F208*$R$2</f>
        <v>0</v>
      </c>
      <c r="H208" s="686">
        <f t="shared" si="314"/>
        <v>0</v>
      </c>
      <c r="I208" s="686">
        <f t="shared" si="315"/>
        <v>0</v>
      </c>
      <c r="J208" s="686">
        <f t="shared" si="316"/>
        <v>0</v>
      </c>
      <c r="K208" s="686">
        <f t="shared" si="317"/>
        <v>0</v>
      </c>
      <c r="L208" s="686">
        <f t="shared" si="318"/>
        <v>0</v>
      </c>
      <c r="M208" s="686">
        <f t="shared" si="319"/>
        <v>0</v>
      </c>
      <c r="N208" s="686">
        <f t="shared" si="320"/>
        <v>0</v>
      </c>
      <c r="O208" s="686">
        <f t="shared" si="321"/>
        <v>0</v>
      </c>
      <c r="P208" s="613">
        <f t="shared" si="302"/>
        <v>0</v>
      </c>
      <c r="Q208" s="614" t="e">
        <f t="shared" si="322"/>
        <v>#DIV/0!</v>
      </c>
    </row>
    <row r="209" spans="1:20" ht="25.5" customHeight="1" thickBot="1">
      <c r="A209" s="693" t="s">
        <v>30</v>
      </c>
      <c r="B209" s="694"/>
      <c r="C209" s="726"/>
      <c r="D209" s="727"/>
      <c r="E209" s="728"/>
      <c r="F209" s="728"/>
      <c r="G209" s="728"/>
      <c r="H209" s="728"/>
      <c r="I209" s="728"/>
      <c r="J209" s="728"/>
      <c r="K209" s="728"/>
      <c r="L209" s="728"/>
      <c r="M209" s="728"/>
      <c r="N209" s="728"/>
      <c r="O209" s="729"/>
      <c r="P209" s="726"/>
      <c r="Q209" s="730"/>
    </row>
    <row r="210" spans="1:20" ht="25.5" customHeight="1">
      <c r="A210" s="615" t="s">
        <v>106</v>
      </c>
      <c r="B210" s="607"/>
      <c r="C210" s="608"/>
      <c r="D210" s="687">
        <f>D18</f>
        <v>0</v>
      </c>
      <c r="E210" s="687">
        <f t="shared" ref="E210:O210" si="324">E18</f>
        <v>0</v>
      </c>
      <c r="F210" s="687">
        <f t="shared" si="324"/>
        <v>0</v>
      </c>
      <c r="G210" s="687">
        <f t="shared" si="324"/>
        <v>0</v>
      </c>
      <c r="H210" s="687">
        <f t="shared" si="324"/>
        <v>0</v>
      </c>
      <c r="I210" s="687">
        <f t="shared" si="324"/>
        <v>0</v>
      </c>
      <c r="J210" s="687">
        <f t="shared" si="324"/>
        <v>0</v>
      </c>
      <c r="K210" s="687">
        <f t="shared" si="324"/>
        <v>0</v>
      </c>
      <c r="L210" s="687">
        <f t="shared" si="324"/>
        <v>0</v>
      </c>
      <c r="M210" s="687">
        <f t="shared" si="324"/>
        <v>0</v>
      </c>
      <c r="N210" s="687">
        <f t="shared" si="324"/>
        <v>0</v>
      </c>
      <c r="O210" s="687">
        <f t="shared" si="324"/>
        <v>0</v>
      </c>
      <c r="P210" s="609">
        <f t="shared" si="302"/>
        <v>0</v>
      </c>
      <c r="Q210" s="610" t="e">
        <f t="shared" ref="Q210:Q211" si="325">SUM(P210-C210)/C210</f>
        <v>#DIV/0!</v>
      </c>
    </row>
    <row r="211" spans="1:20" ht="25.5" customHeight="1" thickBot="1">
      <c r="A211" s="616" t="s">
        <v>105</v>
      </c>
      <c r="B211" s="617"/>
      <c r="C211" s="618"/>
      <c r="D211" s="688">
        <f>D19</f>
        <v>0</v>
      </c>
      <c r="E211" s="688">
        <f t="shared" ref="E211:O211" si="326">E19</f>
        <v>0</v>
      </c>
      <c r="F211" s="688">
        <f t="shared" si="326"/>
        <v>0</v>
      </c>
      <c r="G211" s="688">
        <f t="shared" si="326"/>
        <v>0</v>
      </c>
      <c r="H211" s="688">
        <f t="shared" si="326"/>
        <v>0</v>
      </c>
      <c r="I211" s="688">
        <f t="shared" si="326"/>
        <v>0</v>
      </c>
      <c r="J211" s="688">
        <f t="shared" si="326"/>
        <v>0</v>
      </c>
      <c r="K211" s="688">
        <f t="shared" si="326"/>
        <v>0</v>
      </c>
      <c r="L211" s="688">
        <f t="shared" si="326"/>
        <v>0</v>
      </c>
      <c r="M211" s="688">
        <f t="shared" si="326"/>
        <v>0</v>
      </c>
      <c r="N211" s="688">
        <f t="shared" si="326"/>
        <v>0</v>
      </c>
      <c r="O211" s="688">
        <f t="shared" si="326"/>
        <v>0</v>
      </c>
      <c r="P211" s="619">
        <f t="shared" si="302"/>
        <v>0</v>
      </c>
      <c r="Q211" s="620" t="e">
        <f t="shared" si="325"/>
        <v>#DIV/0!</v>
      </c>
    </row>
    <row r="212" spans="1:20" ht="25.5" customHeight="1" thickBot="1">
      <c r="B212" s="601"/>
      <c r="C212" s="621"/>
      <c r="D212" s="689"/>
      <c r="E212" s="689"/>
      <c r="F212" s="689"/>
      <c r="G212" s="689"/>
      <c r="H212" s="689"/>
      <c r="I212" s="689"/>
      <c r="J212" s="689"/>
      <c r="K212" s="689"/>
      <c r="L212" s="689"/>
      <c r="M212" s="689"/>
      <c r="N212" s="689"/>
      <c r="O212" s="689"/>
      <c r="P212" s="622"/>
      <c r="Q212" s="623"/>
    </row>
    <row r="213" spans="1:20" ht="25.5" customHeight="1" thickBot="1">
      <c r="A213" s="693" t="s">
        <v>86</v>
      </c>
      <c r="B213" s="694"/>
      <c r="C213" s="695"/>
      <c r="D213" s="697">
        <v>13.829000000000001</v>
      </c>
      <c r="E213" s="697">
        <v>13.829000000000001</v>
      </c>
      <c r="F213" s="697">
        <v>13.829000000000001</v>
      </c>
      <c r="G213" s="697">
        <f>$F$21*$R$2</f>
        <v>15.76506</v>
      </c>
      <c r="H213" s="697">
        <f t="shared" ref="H213:I213" si="327">$F$21*$R$2</f>
        <v>15.76506</v>
      </c>
      <c r="I213" s="697">
        <f t="shared" si="327"/>
        <v>15.76506</v>
      </c>
      <c r="J213" s="697">
        <f>$I$21*$S$2</f>
        <v>18.129818999999998</v>
      </c>
      <c r="K213" s="697">
        <f t="shared" ref="K213:L213" si="328">$I$21*$S$2</f>
        <v>18.129818999999998</v>
      </c>
      <c r="L213" s="697">
        <f t="shared" si="328"/>
        <v>18.129818999999998</v>
      </c>
      <c r="M213" s="697">
        <f>$L$21*$T$2</f>
        <v>21.030590039999996</v>
      </c>
      <c r="N213" s="697">
        <f t="shared" ref="N213:O213" si="329">$L$21*$T$2</f>
        <v>21.030590039999996</v>
      </c>
      <c r="O213" s="697">
        <f t="shared" si="329"/>
        <v>21.030590039999996</v>
      </c>
      <c r="P213" s="2269">
        <f t="shared" si="302"/>
        <v>17.188617259999997</v>
      </c>
      <c r="Q213" s="699" t="e">
        <f t="shared" ref="Q213" si="330">SUM(P213-C213)/C213</f>
        <v>#DIV/0!</v>
      </c>
    </row>
    <row r="214" spans="1:20" ht="25.5" customHeight="1" thickBot="1">
      <c r="A214" s="624"/>
      <c r="B214" s="625"/>
      <c r="C214" s="626"/>
      <c r="D214" s="690"/>
      <c r="E214" s="690"/>
      <c r="F214" s="690"/>
      <c r="G214" s="690"/>
      <c r="H214" s="690"/>
      <c r="I214" s="690"/>
      <c r="J214" s="690"/>
      <c r="K214" s="690"/>
      <c r="L214" s="690"/>
      <c r="M214" s="690"/>
      <c r="N214" s="690"/>
      <c r="O214" s="690"/>
      <c r="P214" s="626"/>
      <c r="Q214" s="627"/>
    </row>
    <row r="215" spans="1:20" ht="25.5" customHeight="1" thickBot="1">
      <c r="A215" s="693" t="s">
        <v>31</v>
      </c>
      <c r="B215" s="694"/>
      <c r="C215" s="695"/>
      <c r="D215" s="696"/>
      <c r="E215" s="697"/>
      <c r="F215" s="697"/>
      <c r="G215" s="697"/>
      <c r="H215" s="697"/>
      <c r="I215" s="697"/>
      <c r="J215" s="697"/>
      <c r="K215" s="697"/>
      <c r="L215" s="697"/>
      <c r="M215" s="697"/>
      <c r="N215" s="697"/>
      <c r="O215" s="698"/>
      <c r="P215" s="695"/>
      <c r="Q215" s="699"/>
    </row>
    <row r="216" spans="1:20">
      <c r="B216" s="601"/>
      <c r="C216" s="601"/>
      <c r="D216" s="601"/>
      <c r="E216" s="601"/>
      <c r="F216" s="601"/>
      <c r="G216" s="601"/>
      <c r="H216" s="601"/>
      <c r="I216" s="601"/>
      <c r="J216" s="601"/>
      <c r="K216" s="601"/>
      <c r="L216" s="601"/>
      <c r="M216" s="601"/>
      <c r="N216" s="601"/>
      <c r="O216" s="601"/>
      <c r="P216" s="601"/>
    </row>
    <row r="217" spans="1:20" ht="16.2" thickBot="1">
      <c r="B217" s="601"/>
      <c r="C217" s="601"/>
      <c r="D217" s="601">
        <f>+D225*1.025</f>
        <v>0</v>
      </c>
      <c r="E217" s="601"/>
      <c r="F217" s="601"/>
      <c r="G217" s="601"/>
      <c r="H217" s="601"/>
      <c r="I217" s="601"/>
      <c r="J217" s="601"/>
      <c r="K217" s="601"/>
      <c r="L217" s="601"/>
      <c r="M217" s="601"/>
      <c r="N217" s="601"/>
      <c r="O217" s="601"/>
      <c r="P217" s="601"/>
    </row>
    <row r="218" spans="1:20" ht="32.1" customHeight="1" thickBot="1">
      <c r="A218" s="649"/>
      <c r="B218" s="2390"/>
      <c r="C218" s="2392" t="s">
        <v>695</v>
      </c>
      <c r="D218" s="2394" t="s">
        <v>561</v>
      </c>
      <c r="E218" s="2395"/>
      <c r="F218" s="2395"/>
      <c r="G218" s="2395"/>
      <c r="H218" s="2395"/>
      <c r="I218" s="2395"/>
      <c r="J218" s="2395"/>
      <c r="K218" s="2395"/>
      <c r="L218" s="2395"/>
      <c r="M218" s="2395"/>
      <c r="N218" s="2395"/>
      <c r="O218" s="2395"/>
      <c r="P218" s="2396"/>
      <c r="Q218" s="937" t="s">
        <v>605</v>
      </c>
    </row>
    <row r="219" spans="1:20" ht="32.1" customHeight="1" thickBot="1">
      <c r="A219" s="650"/>
      <c r="B219" s="2391"/>
      <c r="C219" s="2393"/>
      <c r="D219" s="678" t="s">
        <v>1</v>
      </c>
      <c r="E219" s="679" t="s">
        <v>2</v>
      </c>
      <c r="F219" s="679" t="s">
        <v>3</v>
      </c>
      <c r="G219" s="679" t="s">
        <v>4</v>
      </c>
      <c r="H219" s="679" t="s">
        <v>5</v>
      </c>
      <c r="I219" s="679" t="s">
        <v>6</v>
      </c>
      <c r="J219" s="679" t="s">
        <v>7</v>
      </c>
      <c r="K219" s="679" t="s">
        <v>8</v>
      </c>
      <c r="L219" s="679" t="s">
        <v>9</v>
      </c>
      <c r="M219" s="679" t="s">
        <v>10</v>
      </c>
      <c r="N219" s="679" t="s">
        <v>11</v>
      </c>
      <c r="O219" s="680" t="s">
        <v>12</v>
      </c>
      <c r="P219" s="651" t="s">
        <v>281</v>
      </c>
      <c r="Q219" s="941" t="s">
        <v>693</v>
      </c>
      <c r="R219" s="913" t="s">
        <v>509</v>
      </c>
      <c r="S219" s="913" t="s">
        <v>150</v>
      </c>
      <c r="T219" s="913" t="s">
        <v>151</v>
      </c>
    </row>
    <row r="220" spans="1:20" ht="25.5" customHeight="1" thickBot="1">
      <c r="A220" s="693" t="s">
        <v>28</v>
      </c>
      <c r="B220" s="694"/>
      <c r="C220" s="695"/>
      <c r="D220" s="696"/>
      <c r="E220" s="697"/>
      <c r="F220" s="697"/>
      <c r="G220" s="697"/>
      <c r="H220" s="697"/>
      <c r="I220" s="697"/>
      <c r="J220" s="697"/>
      <c r="K220" s="697"/>
      <c r="L220" s="697"/>
      <c r="M220" s="697"/>
      <c r="N220" s="697"/>
      <c r="O220" s="698"/>
      <c r="P220" s="695"/>
      <c r="Q220" s="699"/>
      <c r="R220" s="914" t="s">
        <v>163</v>
      </c>
      <c r="S220" s="914"/>
      <c r="T220" s="914" t="s">
        <v>320</v>
      </c>
    </row>
    <row r="221" spans="1:20" ht="25.5" customHeight="1">
      <c r="A221" s="654" t="s">
        <v>15</v>
      </c>
      <c r="B221" s="655"/>
      <c r="C221" s="656"/>
      <c r="D221" s="657"/>
      <c r="E221" s="657"/>
      <c r="F221" s="657"/>
      <c r="G221" s="657">
        <f>+F221*$R$2</f>
        <v>0</v>
      </c>
      <c r="H221" s="657">
        <f t="shared" ref="H221:H222" si="331">+F221*$R$2</f>
        <v>0</v>
      </c>
      <c r="I221" s="657">
        <f t="shared" ref="I221:I222" si="332">+F221*$R$2</f>
        <v>0</v>
      </c>
      <c r="J221" s="657">
        <f t="shared" ref="J221:J228" si="333">+I221*$S$2</f>
        <v>0</v>
      </c>
      <c r="K221" s="657">
        <f t="shared" ref="K221:K222" si="334">+I221*$S$2</f>
        <v>0</v>
      </c>
      <c r="L221" s="657">
        <f t="shared" ref="L221:L222" si="335">+I221*$S$2</f>
        <v>0</v>
      </c>
      <c r="M221" s="657">
        <f t="shared" ref="M221:M228" si="336">+L221*$T$2</f>
        <v>0</v>
      </c>
      <c r="N221" s="657">
        <f t="shared" ref="N221:N222" si="337">+L221*$T$2</f>
        <v>0</v>
      </c>
      <c r="O221" s="657">
        <f t="shared" ref="O221:O222" si="338">+L221*$T$2</f>
        <v>0</v>
      </c>
      <c r="P221" s="658">
        <f t="shared" ref="P221:P237" si="339">AVERAGE(D221:O221)</f>
        <v>0</v>
      </c>
      <c r="Q221" s="659" t="e">
        <f t="shared" ref="Q221:Q222" si="340">SUM(P221-C221)/C221</f>
        <v>#DIV/0!</v>
      </c>
    </row>
    <row r="222" spans="1:20" ht="25.5" customHeight="1">
      <c r="A222" s="660" t="s">
        <v>16</v>
      </c>
      <c r="B222" s="661"/>
      <c r="C222" s="662"/>
      <c r="D222" s="663"/>
      <c r="E222" s="663"/>
      <c r="F222" s="663"/>
      <c r="G222" s="663">
        <f>+F222*$R$2</f>
        <v>0</v>
      </c>
      <c r="H222" s="663">
        <f t="shared" si="331"/>
        <v>0</v>
      </c>
      <c r="I222" s="663">
        <f t="shared" si="332"/>
        <v>0</v>
      </c>
      <c r="J222" s="663">
        <f t="shared" si="333"/>
        <v>0</v>
      </c>
      <c r="K222" s="663">
        <f t="shared" si="334"/>
        <v>0</v>
      </c>
      <c r="L222" s="663">
        <f t="shared" si="335"/>
        <v>0</v>
      </c>
      <c r="M222" s="663">
        <f t="shared" si="336"/>
        <v>0</v>
      </c>
      <c r="N222" s="663">
        <f t="shared" si="337"/>
        <v>0</v>
      </c>
      <c r="O222" s="663">
        <f t="shared" si="338"/>
        <v>0</v>
      </c>
      <c r="P222" s="604">
        <f t="shared" si="339"/>
        <v>0</v>
      </c>
      <c r="Q222" s="600" t="e">
        <f t="shared" si="340"/>
        <v>#DIV/0!</v>
      </c>
    </row>
    <row r="223" spans="1:20" ht="25.5" customHeight="1">
      <c r="A223" s="701" t="s">
        <v>27</v>
      </c>
      <c r="B223" s="702"/>
      <c r="C223" s="703"/>
      <c r="D223" s="704"/>
      <c r="E223" s="704"/>
      <c r="F223" s="704"/>
      <c r="G223" s="704"/>
      <c r="H223" s="704"/>
      <c r="I223" s="704"/>
      <c r="J223" s="704"/>
      <c r="K223" s="704"/>
      <c r="L223" s="704"/>
      <c r="M223" s="704"/>
      <c r="N223" s="704"/>
      <c r="O223" s="704"/>
      <c r="P223" s="707"/>
      <c r="Q223" s="708"/>
    </row>
    <row r="224" spans="1:20" ht="25.5" customHeight="1">
      <c r="A224" s="710" t="s">
        <v>17</v>
      </c>
      <c r="B224" s="711"/>
      <c r="C224" s="712"/>
      <c r="D224" s="713"/>
      <c r="E224" s="713"/>
      <c r="F224" s="713"/>
      <c r="G224" s="713">
        <f t="shared" ref="G224:G228" si="341">+F224*$R$2</f>
        <v>0</v>
      </c>
      <c r="H224" s="713">
        <f t="shared" ref="H224:H228" si="342">+F224*$R$2</f>
        <v>0</v>
      </c>
      <c r="I224" s="713">
        <f t="shared" ref="I224:I228" si="343">+F224*$R$2</f>
        <v>0</v>
      </c>
      <c r="J224" s="713">
        <f t="shared" si="333"/>
        <v>0</v>
      </c>
      <c r="K224" s="713">
        <f t="shared" ref="K224:K228" si="344">+I224*$S$2</f>
        <v>0</v>
      </c>
      <c r="L224" s="713">
        <f t="shared" ref="L224:L228" si="345">+I224*$S$2</f>
        <v>0</v>
      </c>
      <c r="M224" s="713">
        <f t="shared" si="336"/>
        <v>0</v>
      </c>
      <c r="N224" s="713">
        <f t="shared" ref="N224:N228" si="346">+L224*$T$2</f>
        <v>0</v>
      </c>
      <c r="O224" s="713">
        <f t="shared" ref="O224:O228" si="347">+L224*$T$2</f>
        <v>0</v>
      </c>
      <c r="P224" s="716">
        <f>AVERAGE(D224:O224)</f>
        <v>0</v>
      </c>
      <c r="Q224" s="717"/>
    </row>
    <row r="225" spans="1:17" ht="25.5" customHeight="1">
      <c r="A225" s="670" t="s">
        <v>81</v>
      </c>
      <c r="B225" s="602"/>
      <c r="C225" s="656"/>
      <c r="D225" s="671"/>
      <c r="E225" s="671"/>
      <c r="F225" s="671"/>
      <c r="G225" s="657">
        <v>20.484193078018745</v>
      </c>
      <c r="H225" s="657">
        <v>20.859365293877371</v>
      </c>
      <c r="I225" s="657">
        <v>21.717449379567885</v>
      </c>
      <c r="J225" s="657">
        <v>22.677904810291913</v>
      </c>
      <c r="K225" s="657">
        <v>23.205150194018518</v>
      </c>
      <c r="L225" s="657">
        <v>23.027045912009168</v>
      </c>
      <c r="M225" s="657">
        <v>23.692937343234373</v>
      </c>
      <c r="N225" s="657">
        <v>22.99839729760826</v>
      </c>
      <c r="O225" s="657">
        <v>23.491706166247948</v>
      </c>
      <c r="P225" s="605">
        <f t="shared" si="339"/>
        <v>22.461572163874909</v>
      </c>
      <c r="Q225" s="606" t="e">
        <f t="shared" ref="Q225" si="348">SUM(P225-C225)/C225</f>
        <v>#DIV/0!</v>
      </c>
    </row>
    <row r="226" spans="1:17" ht="25.5" customHeight="1">
      <c r="A226" s="672" t="s">
        <v>82</v>
      </c>
      <c r="B226" s="603"/>
      <c r="C226" s="662"/>
      <c r="D226" s="667"/>
      <c r="E226" s="667"/>
      <c r="F226" s="667"/>
      <c r="G226" s="667">
        <f t="shared" si="341"/>
        <v>0</v>
      </c>
      <c r="H226" s="667">
        <f t="shared" si="342"/>
        <v>0</v>
      </c>
      <c r="I226" s="667">
        <f t="shared" si="343"/>
        <v>0</v>
      </c>
      <c r="J226" s="667">
        <f t="shared" si="333"/>
        <v>0</v>
      </c>
      <c r="K226" s="667">
        <f t="shared" si="344"/>
        <v>0</v>
      </c>
      <c r="L226" s="667">
        <f t="shared" si="345"/>
        <v>0</v>
      </c>
      <c r="M226" s="667">
        <f t="shared" si="336"/>
        <v>0</v>
      </c>
      <c r="N226" s="667">
        <f t="shared" si="346"/>
        <v>0</v>
      </c>
      <c r="O226" s="667">
        <f t="shared" si="347"/>
        <v>0</v>
      </c>
      <c r="P226" s="604"/>
      <c r="Q226" s="600"/>
    </row>
    <row r="227" spans="1:17" ht="25.5" customHeight="1">
      <c r="A227" s="670" t="s">
        <v>83</v>
      </c>
      <c r="B227" s="673"/>
      <c r="C227" s="656"/>
      <c r="D227" s="674">
        <f>+D225</f>
        <v>0</v>
      </c>
      <c r="E227" s="674">
        <f t="shared" ref="E227:F227" si="349">+E225</f>
        <v>0</v>
      </c>
      <c r="F227" s="674">
        <f t="shared" si="349"/>
        <v>0</v>
      </c>
      <c r="G227" s="674">
        <f t="shared" si="341"/>
        <v>0</v>
      </c>
      <c r="H227" s="674">
        <f t="shared" si="342"/>
        <v>0</v>
      </c>
      <c r="I227" s="674">
        <f t="shared" si="343"/>
        <v>0</v>
      </c>
      <c r="J227" s="674">
        <f t="shared" si="333"/>
        <v>0</v>
      </c>
      <c r="K227" s="674">
        <f t="shared" si="344"/>
        <v>0</v>
      </c>
      <c r="L227" s="674">
        <f t="shared" si="345"/>
        <v>0</v>
      </c>
      <c r="M227" s="674">
        <f t="shared" si="336"/>
        <v>0</v>
      </c>
      <c r="N227" s="674">
        <f t="shared" si="346"/>
        <v>0</v>
      </c>
      <c r="O227" s="674">
        <f t="shared" si="347"/>
        <v>0</v>
      </c>
      <c r="P227" s="605">
        <f t="shared" si="339"/>
        <v>0</v>
      </c>
      <c r="Q227" s="606" t="e">
        <f t="shared" ref="Q227" si="350">SUM(P227-C227)/C227</f>
        <v>#DIV/0!</v>
      </c>
    </row>
    <row r="228" spans="1:17" ht="25.5" customHeight="1">
      <c r="A228" s="672" t="s">
        <v>84</v>
      </c>
      <c r="B228" s="661"/>
      <c r="C228" s="675"/>
      <c r="D228" s="676"/>
      <c r="E228" s="665"/>
      <c r="F228" s="665"/>
      <c r="G228" s="665">
        <f t="shared" si="341"/>
        <v>0</v>
      </c>
      <c r="H228" s="665">
        <f t="shared" si="342"/>
        <v>0</v>
      </c>
      <c r="I228" s="677">
        <f t="shared" si="343"/>
        <v>0</v>
      </c>
      <c r="J228" s="677">
        <f t="shared" si="333"/>
        <v>0</v>
      </c>
      <c r="K228" s="665">
        <f t="shared" si="344"/>
        <v>0</v>
      </c>
      <c r="L228" s="665">
        <f t="shared" si="345"/>
        <v>0</v>
      </c>
      <c r="M228" s="665">
        <f t="shared" si="336"/>
        <v>0</v>
      </c>
      <c r="N228" s="665">
        <f t="shared" si="346"/>
        <v>0</v>
      </c>
      <c r="O228" s="666">
        <f t="shared" si="347"/>
        <v>0</v>
      </c>
      <c r="P228" s="604"/>
      <c r="Q228" s="600"/>
    </row>
    <row r="229" spans="1:17" ht="25.5" customHeight="1" thickBot="1">
      <c r="A229" s="718" t="s">
        <v>18</v>
      </c>
      <c r="B229" s="719"/>
      <c r="C229" s="720"/>
      <c r="D229" s="721"/>
      <c r="E229" s="722"/>
      <c r="F229" s="722" t="s">
        <v>587</v>
      </c>
      <c r="G229" s="722"/>
      <c r="H229" s="722"/>
      <c r="I229" s="722"/>
      <c r="J229" s="722"/>
      <c r="K229" s="722"/>
      <c r="L229" s="722"/>
      <c r="M229" s="722"/>
      <c r="N229" s="722"/>
      <c r="O229" s="723"/>
      <c r="P229" s="720"/>
      <c r="Q229" s="724"/>
    </row>
    <row r="230" spans="1:17" ht="25.5" customHeight="1" thickBot="1">
      <c r="A230" s="693" t="s">
        <v>29</v>
      </c>
      <c r="B230" s="725"/>
      <c r="C230" s="726"/>
      <c r="D230" s="727"/>
      <c r="E230" s="728"/>
      <c r="F230" s="728"/>
      <c r="G230" s="728"/>
      <c r="H230" s="728"/>
      <c r="I230" s="728"/>
      <c r="J230" s="728"/>
      <c r="K230" s="728"/>
      <c r="L230" s="728"/>
      <c r="M230" s="728"/>
      <c r="N230" s="728"/>
      <c r="O230" s="729"/>
      <c r="P230" s="726"/>
      <c r="Q230" s="730"/>
    </row>
    <row r="231" spans="1:17" ht="25.5" customHeight="1">
      <c r="A231" s="615" t="s">
        <v>19</v>
      </c>
      <c r="B231" s="607"/>
      <c r="C231" s="608"/>
      <c r="D231" s="681"/>
      <c r="E231" s="681"/>
      <c r="F231" s="681"/>
      <c r="G231" s="683">
        <f>+F231*$R$2</f>
        <v>0</v>
      </c>
      <c r="H231" s="683">
        <f t="shared" ref="H231:H232" si="351">+F231*$R$2</f>
        <v>0</v>
      </c>
      <c r="I231" s="683">
        <f t="shared" ref="I231:I232" si="352">+F231*$R$2</f>
        <v>0</v>
      </c>
      <c r="J231" s="683">
        <f t="shared" ref="J231:J232" si="353">+I231*$S$2</f>
        <v>0</v>
      </c>
      <c r="K231" s="683">
        <f t="shared" ref="K231:K232" si="354">+I231*$S$2</f>
        <v>0</v>
      </c>
      <c r="L231" s="683">
        <f t="shared" ref="L231:L232" si="355">+I231*$S$2</f>
        <v>0</v>
      </c>
      <c r="M231" s="683">
        <f t="shared" ref="M231:M232" si="356">+L231*$T$2</f>
        <v>0</v>
      </c>
      <c r="N231" s="683">
        <f t="shared" ref="N231:N232" si="357">+L231*$T$2</f>
        <v>0</v>
      </c>
      <c r="O231" s="684">
        <f t="shared" ref="O231:O232" si="358">+L231*$T$2</f>
        <v>0</v>
      </c>
      <c r="P231" s="609">
        <f t="shared" si="339"/>
        <v>0</v>
      </c>
      <c r="Q231" s="610" t="e">
        <f t="shared" ref="Q231:Q232" si="359">SUM(P231-C231)/C231</f>
        <v>#DIV/0!</v>
      </c>
    </row>
    <row r="232" spans="1:17" ht="25.5" customHeight="1" thickBot="1">
      <c r="A232" s="616" t="s">
        <v>20</v>
      </c>
      <c r="B232" s="611"/>
      <c r="C232" s="612"/>
      <c r="D232" s="685"/>
      <c r="E232" s="685"/>
      <c r="F232" s="685"/>
      <c r="G232" s="686">
        <f t="shared" ref="G232" si="360">+F232*$R$2</f>
        <v>0</v>
      </c>
      <c r="H232" s="686">
        <f t="shared" si="351"/>
        <v>0</v>
      </c>
      <c r="I232" s="686">
        <f t="shared" si="352"/>
        <v>0</v>
      </c>
      <c r="J232" s="686">
        <f t="shared" si="353"/>
        <v>0</v>
      </c>
      <c r="K232" s="686">
        <f t="shared" si="354"/>
        <v>0</v>
      </c>
      <c r="L232" s="686">
        <f t="shared" si="355"/>
        <v>0</v>
      </c>
      <c r="M232" s="686">
        <f t="shared" si="356"/>
        <v>0</v>
      </c>
      <c r="N232" s="686">
        <f t="shared" si="357"/>
        <v>0</v>
      </c>
      <c r="O232" s="686">
        <f t="shared" si="358"/>
        <v>0</v>
      </c>
      <c r="P232" s="613">
        <f t="shared" si="339"/>
        <v>0</v>
      </c>
      <c r="Q232" s="614" t="e">
        <f t="shared" si="359"/>
        <v>#DIV/0!</v>
      </c>
    </row>
    <row r="233" spans="1:17" ht="25.5" customHeight="1" thickBot="1">
      <c r="A233" s="693" t="s">
        <v>30</v>
      </c>
      <c r="B233" s="694"/>
      <c r="C233" s="726"/>
      <c r="D233" s="727"/>
      <c r="E233" s="728"/>
      <c r="F233" s="728"/>
      <c r="G233" s="728"/>
      <c r="H233" s="728"/>
      <c r="I233" s="728"/>
      <c r="J233" s="728"/>
      <c r="K233" s="728"/>
      <c r="L233" s="728"/>
      <c r="M233" s="728"/>
      <c r="N233" s="728"/>
      <c r="O233" s="729"/>
      <c r="P233" s="726"/>
      <c r="Q233" s="730"/>
    </row>
    <row r="234" spans="1:17" ht="25.5" customHeight="1">
      <c r="A234" s="615" t="s">
        <v>106</v>
      </c>
      <c r="B234" s="607"/>
      <c r="C234" s="608"/>
      <c r="D234" s="687">
        <f>D18</f>
        <v>0</v>
      </c>
      <c r="E234" s="687">
        <f t="shared" ref="E234:O234" si="361">E18</f>
        <v>0</v>
      </c>
      <c r="F234" s="687">
        <f t="shared" si="361"/>
        <v>0</v>
      </c>
      <c r="G234" s="687">
        <f t="shared" si="361"/>
        <v>0</v>
      </c>
      <c r="H234" s="687">
        <f t="shared" si="361"/>
        <v>0</v>
      </c>
      <c r="I234" s="687">
        <f t="shared" si="361"/>
        <v>0</v>
      </c>
      <c r="J234" s="687">
        <f t="shared" si="361"/>
        <v>0</v>
      </c>
      <c r="K234" s="687">
        <f t="shared" si="361"/>
        <v>0</v>
      </c>
      <c r="L234" s="687">
        <f t="shared" si="361"/>
        <v>0</v>
      </c>
      <c r="M234" s="687">
        <f t="shared" si="361"/>
        <v>0</v>
      </c>
      <c r="N234" s="687">
        <f t="shared" si="361"/>
        <v>0</v>
      </c>
      <c r="O234" s="687">
        <f t="shared" si="361"/>
        <v>0</v>
      </c>
      <c r="P234" s="609">
        <f t="shared" si="339"/>
        <v>0</v>
      </c>
      <c r="Q234" s="610" t="e">
        <f t="shared" ref="Q234:Q235" si="362">SUM(P234-C234)/C234</f>
        <v>#DIV/0!</v>
      </c>
    </row>
    <row r="235" spans="1:17" ht="25.5" customHeight="1" thickBot="1">
      <c r="A235" s="616" t="s">
        <v>105</v>
      </c>
      <c r="B235" s="617"/>
      <c r="C235" s="618"/>
      <c r="D235" s="688">
        <f>D19</f>
        <v>0</v>
      </c>
      <c r="E235" s="688">
        <f t="shared" ref="E235:O235" si="363">E19</f>
        <v>0</v>
      </c>
      <c r="F235" s="688">
        <f t="shared" si="363"/>
        <v>0</v>
      </c>
      <c r="G235" s="688">
        <f t="shared" si="363"/>
        <v>0</v>
      </c>
      <c r="H235" s="688">
        <f t="shared" si="363"/>
        <v>0</v>
      </c>
      <c r="I235" s="688">
        <f t="shared" si="363"/>
        <v>0</v>
      </c>
      <c r="J235" s="688">
        <f t="shared" si="363"/>
        <v>0</v>
      </c>
      <c r="K235" s="688">
        <f t="shared" si="363"/>
        <v>0</v>
      </c>
      <c r="L235" s="688">
        <f t="shared" si="363"/>
        <v>0</v>
      </c>
      <c r="M235" s="688">
        <f t="shared" si="363"/>
        <v>0</v>
      </c>
      <c r="N235" s="688">
        <f t="shared" si="363"/>
        <v>0</v>
      </c>
      <c r="O235" s="688">
        <f t="shared" si="363"/>
        <v>0</v>
      </c>
      <c r="P235" s="619">
        <f t="shared" si="339"/>
        <v>0</v>
      </c>
      <c r="Q235" s="620" t="e">
        <f t="shared" si="362"/>
        <v>#DIV/0!</v>
      </c>
    </row>
    <row r="236" spans="1:17" ht="25.5" customHeight="1" thickBot="1">
      <c r="B236" s="601"/>
      <c r="C236" s="621"/>
      <c r="D236" s="689"/>
      <c r="E236" s="689"/>
      <c r="F236" s="689"/>
      <c r="G236" s="689"/>
      <c r="H236" s="689"/>
      <c r="I236" s="689"/>
      <c r="J236" s="689"/>
      <c r="K236" s="689"/>
      <c r="L236" s="689"/>
      <c r="M236" s="689"/>
      <c r="N236" s="689"/>
      <c r="O236" s="689"/>
      <c r="P236" s="622"/>
      <c r="Q236" s="623"/>
    </row>
    <row r="237" spans="1:17" ht="25.5" customHeight="1" thickBot="1">
      <c r="A237" s="693" t="s">
        <v>86</v>
      </c>
      <c r="B237" s="694"/>
      <c r="C237" s="695"/>
      <c r="D237" s="697">
        <v>13.829000000000001</v>
      </c>
      <c r="E237" s="697">
        <v>13.829000000000001</v>
      </c>
      <c r="F237" s="697">
        <v>13.829000000000001</v>
      </c>
      <c r="G237" s="697">
        <f>$F$21*$R$2</f>
        <v>15.76506</v>
      </c>
      <c r="H237" s="697">
        <f t="shared" ref="H237:I237" si="364">$F$21*$R$2</f>
        <v>15.76506</v>
      </c>
      <c r="I237" s="697">
        <f t="shared" si="364"/>
        <v>15.76506</v>
      </c>
      <c r="J237" s="697">
        <f>$I$21*$S$2</f>
        <v>18.129818999999998</v>
      </c>
      <c r="K237" s="697">
        <f t="shared" ref="K237:L237" si="365">$I$21*$S$2</f>
        <v>18.129818999999998</v>
      </c>
      <c r="L237" s="697">
        <f t="shared" si="365"/>
        <v>18.129818999999998</v>
      </c>
      <c r="M237" s="697">
        <f>$L$21*$T$2</f>
        <v>21.030590039999996</v>
      </c>
      <c r="N237" s="697">
        <f t="shared" ref="N237:O237" si="366">$L$21*$T$2</f>
        <v>21.030590039999996</v>
      </c>
      <c r="O237" s="697">
        <f t="shared" si="366"/>
        <v>21.030590039999996</v>
      </c>
      <c r="P237" s="2269">
        <f t="shared" si="339"/>
        <v>17.188617259999997</v>
      </c>
      <c r="Q237" s="699" t="e">
        <f t="shared" ref="Q237" si="367">SUM(P237-C237)/C237</f>
        <v>#DIV/0!</v>
      </c>
    </row>
    <row r="238" spans="1:17" ht="25.5" customHeight="1" thickBot="1">
      <c r="A238" s="624"/>
      <c r="B238" s="625"/>
      <c r="C238" s="626"/>
      <c r="D238" s="690"/>
      <c r="E238" s="690"/>
      <c r="F238" s="690"/>
      <c r="G238" s="690"/>
      <c r="H238" s="690"/>
      <c r="I238" s="690"/>
      <c r="J238" s="690"/>
      <c r="K238" s="690"/>
      <c r="L238" s="690"/>
      <c r="M238" s="690"/>
      <c r="N238" s="690"/>
      <c r="O238" s="690"/>
      <c r="P238" s="626"/>
      <c r="Q238" s="627"/>
    </row>
    <row r="239" spans="1:17" ht="25.5" customHeight="1" thickBot="1">
      <c r="A239" s="693" t="s">
        <v>31</v>
      </c>
      <c r="B239" s="694"/>
      <c r="C239" s="695"/>
      <c r="D239" s="696"/>
      <c r="E239" s="697"/>
      <c r="F239" s="697"/>
      <c r="G239" s="697"/>
      <c r="H239" s="697"/>
      <c r="I239" s="697"/>
      <c r="J239" s="697"/>
      <c r="K239" s="697"/>
      <c r="L239" s="697"/>
      <c r="M239" s="697"/>
      <c r="N239" s="697"/>
      <c r="O239" s="698"/>
      <c r="P239" s="695"/>
      <c r="Q239" s="699"/>
    </row>
    <row r="240" spans="1:17">
      <c r="B240" s="601"/>
      <c r="C240" s="601"/>
      <c r="D240" s="601"/>
      <c r="E240" s="601"/>
      <c r="F240" s="601"/>
      <c r="G240" s="601"/>
      <c r="H240" s="601"/>
      <c r="I240" s="601"/>
      <c r="J240" s="601"/>
      <c r="K240" s="601"/>
      <c r="L240" s="601"/>
      <c r="M240" s="601"/>
      <c r="N240" s="601"/>
      <c r="O240" s="601"/>
      <c r="P240" s="601"/>
    </row>
    <row r="241" spans="1:20" ht="16.2" thickBot="1">
      <c r="B241" s="601"/>
      <c r="C241" s="601"/>
      <c r="D241" s="601"/>
      <c r="E241" s="601"/>
      <c r="F241" s="601"/>
      <c r="G241" s="601"/>
      <c r="H241" s="601"/>
      <c r="I241" s="601"/>
      <c r="J241" s="601"/>
      <c r="K241" s="601"/>
      <c r="L241" s="601"/>
      <c r="M241" s="601"/>
      <c r="N241" s="601"/>
      <c r="O241" s="601"/>
      <c r="P241" s="601"/>
    </row>
    <row r="242" spans="1:20" ht="32.1" customHeight="1" thickBot="1">
      <c r="A242" s="649"/>
      <c r="B242" s="2390"/>
      <c r="C242" s="2392" t="s">
        <v>695</v>
      </c>
      <c r="D242" s="2394" t="s">
        <v>488</v>
      </c>
      <c r="E242" s="2395"/>
      <c r="F242" s="2395"/>
      <c r="G242" s="2395"/>
      <c r="H242" s="2395"/>
      <c r="I242" s="2395"/>
      <c r="J242" s="2395"/>
      <c r="K242" s="2395"/>
      <c r="L242" s="2395"/>
      <c r="M242" s="2395"/>
      <c r="N242" s="2395"/>
      <c r="O242" s="2395"/>
      <c r="P242" s="2396"/>
      <c r="Q242" s="937" t="s">
        <v>605</v>
      </c>
    </row>
    <row r="243" spans="1:20" ht="32.1" customHeight="1" thickBot="1">
      <c r="A243" s="650"/>
      <c r="B243" s="2391"/>
      <c r="C243" s="2393"/>
      <c r="D243" s="678" t="s">
        <v>1</v>
      </c>
      <c r="E243" s="679" t="s">
        <v>2</v>
      </c>
      <c r="F243" s="679" t="s">
        <v>3</v>
      </c>
      <c r="G243" s="679" t="s">
        <v>4</v>
      </c>
      <c r="H243" s="679" t="s">
        <v>5</v>
      </c>
      <c r="I243" s="679" t="s">
        <v>6</v>
      </c>
      <c r="J243" s="679" t="s">
        <v>7</v>
      </c>
      <c r="K243" s="679" t="s">
        <v>8</v>
      </c>
      <c r="L243" s="679" t="s">
        <v>9</v>
      </c>
      <c r="M243" s="679" t="s">
        <v>10</v>
      </c>
      <c r="N243" s="679" t="s">
        <v>11</v>
      </c>
      <c r="O243" s="680" t="s">
        <v>12</v>
      </c>
      <c r="P243" s="651" t="s">
        <v>281</v>
      </c>
      <c r="Q243" s="941" t="s">
        <v>693</v>
      </c>
      <c r="R243" s="913" t="s">
        <v>509</v>
      </c>
      <c r="S243" s="913" t="s">
        <v>150</v>
      </c>
      <c r="T243" s="913" t="s">
        <v>151</v>
      </c>
    </row>
    <row r="244" spans="1:20" ht="25.5" customHeight="1" thickBot="1">
      <c r="A244" s="693" t="s">
        <v>28</v>
      </c>
      <c r="B244" s="694"/>
      <c r="C244" s="695"/>
      <c r="D244" s="696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8"/>
      <c r="P244" s="695"/>
      <c r="Q244" s="699"/>
      <c r="R244" s="1795" t="s">
        <v>159</v>
      </c>
      <c r="S244" s="914"/>
      <c r="T244" s="914" t="s">
        <v>320</v>
      </c>
    </row>
    <row r="245" spans="1:20" ht="25.5" customHeight="1">
      <c r="A245" s="654" t="s">
        <v>15</v>
      </c>
      <c r="B245" s="655"/>
      <c r="C245" s="656"/>
      <c r="D245" s="657"/>
      <c r="E245" s="657"/>
      <c r="F245" s="657"/>
      <c r="G245" s="657">
        <f>+F245*$R$2</f>
        <v>0</v>
      </c>
      <c r="H245" s="657">
        <f t="shared" ref="H245:H246" si="368">+F245*$R$2</f>
        <v>0</v>
      </c>
      <c r="I245" s="657">
        <f t="shared" ref="I245:I246" si="369">+F245*$R$2</f>
        <v>0</v>
      </c>
      <c r="J245" s="657">
        <f t="shared" ref="J245:J252" si="370">+I245*$S$2</f>
        <v>0</v>
      </c>
      <c r="K245" s="657">
        <f t="shared" ref="K245:K246" si="371">+I245*$S$2</f>
        <v>0</v>
      </c>
      <c r="L245" s="657">
        <f t="shared" ref="L245:L246" si="372">+I245*$S$2</f>
        <v>0</v>
      </c>
      <c r="M245" s="657">
        <f t="shared" ref="M245:M252" si="373">+L245*$T$2</f>
        <v>0</v>
      </c>
      <c r="N245" s="657">
        <f t="shared" ref="N245:N246" si="374">+L245*$T$2</f>
        <v>0</v>
      </c>
      <c r="O245" s="657">
        <f t="shared" ref="O245:O246" si="375">+L245*$T$2</f>
        <v>0</v>
      </c>
      <c r="P245" s="658">
        <f t="shared" ref="P245:P261" si="376">AVERAGE(D245:O245)</f>
        <v>0</v>
      </c>
      <c r="Q245" s="659" t="e">
        <f>SUM(P245-C245)/C245</f>
        <v>#DIV/0!</v>
      </c>
    </row>
    <row r="246" spans="1:20" ht="25.5" customHeight="1">
      <c r="A246" s="660" t="s">
        <v>16</v>
      </c>
      <c r="B246" s="661"/>
      <c r="C246" s="662"/>
      <c r="D246" s="663"/>
      <c r="E246" s="664"/>
      <c r="F246" s="664"/>
      <c r="G246" s="663">
        <f>+F246*$R$2</f>
        <v>0</v>
      </c>
      <c r="H246" s="663">
        <f t="shared" si="368"/>
        <v>0</v>
      </c>
      <c r="I246" s="663">
        <f t="shared" si="369"/>
        <v>0</v>
      </c>
      <c r="J246" s="663">
        <f t="shared" si="370"/>
        <v>0</v>
      </c>
      <c r="K246" s="663">
        <f t="shared" si="371"/>
        <v>0</v>
      </c>
      <c r="L246" s="663">
        <f t="shared" si="372"/>
        <v>0</v>
      </c>
      <c r="M246" s="663">
        <f t="shared" si="373"/>
        <v>0</v>
      </c>
      <c r="N246" s="663">
        <f t="shared" si="374"/>
        <v>0</v>
      </c>
      <c r="O246" s="663">
        <f t="shared" si="375"/>
        <v>0</v>
      </c>
      <c r="P246" s="604">
        <f t="shared" ref="P246" si="377">AVERAGE(D246:O246)</f>
        <v>0</v>
      </c>
      <c r="Q246" s="600" t="e">
        <f t="shared" ref="Q246" si="378">SUM(P246-C246)/C246</f>
        <v>#DIV/0!</v>
      </c>
    </row>
    <row r="247" spans="1:20" ht="25.5" customHeight="1">
      <c r="A247" s="701" t="s">
        <v>27</v>
      </c>
      <c r="B247" s="702"/>
      <c r="C247" s="703"/>
      <c r="D247" s="704"/>
      <c r="E247" s="705"/>
      <c r="F247" s="705"/>
      <c r="G247" s="704"/>
      <c r="H247" s="704"/>
      <c r="I247" s="704"/>
      <c r="J247" s="704"/>
      <c r="K247" s="704"/>
      <c r="L247" s="704"/>
      <c r="M247" s="704"/>
      <c r="N247" s="704"/>
      <c r="O247" s="704"/>
      <c r="P247" s="707"/>
      <c r="Q247" s="708"/>
    </row>
    <row r="248" spans="1:20" ht="25.5" customHeight="1">
      <c r="A248" s="710" t="s">
        <v>17</v>
      </c>
      <c r="B248" s="711"/>
      <c r="C248" s="712"/>
      <c r="D248" s="713"/>
      <c r="E248" s="714"/>
      <c r="F248" s="714"/>
      <c r="G248" s="713">
        <f t="shared" ref="G248:G252" si="379">+F248*$R$2</f>
        <v>0</v>
      </c>
      <c r="H248" s="713">
        <f t="shared" ref="H248:H252" si="380">+F248*$R$2</f>
        <v>0</v>
      </c>
      <c r="I248" s="713">
        <f t="shared" ref="I248:I252" si="381">+F248*$R$2</f>
        <v>0</v>
      </c>
      <c r="J248" s="713">
        <f t="shared" si="370"/>
        <v>0</v>
      </c>
      <c r="K248" s="713">
        <f t="shared" ref="K248:K252" si="382">+I248*$S$2</f>
        <v>0</v>
      </c>
      <c r="L248" s="713">
        <f t="shared" ref="L248:L252" si="383">+I248*$S$2</f>
        <v>0</v>
      </c>
      <c r="M248" s="713">
        <f t="shared" si="373"/>
        <v>0</v>
      </c>
      <c r="N248" s="713">
        <f t="shared" ref="N248:N252" si="384">+L248*$T$2</f>
        <v>0</v>
      </c>
      <c r="O248" s="713">
        <f t="shared" ref="O248:O252" si="385">+L248*$T$2</f>
        <v>0</v>
      </c>
      <c r="P248" s="716">
        <f>AVERAGE(D248:O248)</f>
        <v>0</v>
      </c>
      <c r="Q248" s="717"/>
    </row>
    <row r="249" spans="1:20" ht="25.5" customHeight="1">
      <c r="A249" s="670" t="s">
        <v>81</v>
      </c>
      <c r="B249" s="602"/>
      <c r="C249" s="656"/>
      <c r="D249" s="657"/>
      <c r="E249" s="657"/>
      <c r="F249" s="657"/>
      <c r="G249" s="657">
        <v>20.484193078018745</v>
      </c>
      <c r="H249" s="657">
        <v>20.859365293877371</v>
      </c>
      <c r="I249" s="657">
        <v>21.717449379567885</v>
      </c>
      <c r="J249" s="657">
        <v>22.677904810291913</v>
      </c>
      <c r="K249" s="657">
        <v>23.205150194018518</v>
      </c>
      <c r="L249" s="657">
        <v>23.027045912009168</v>
      </c>
      <c r="M249" s="657">
        <v>23.692937343234373</v>
      </c>
      <c r="N249" s="657">
        <v>22.99839729760826</v>
      </c>
      <c r="O249" s="657">
        <v>23.491706166247948</v>
      </c>
      <c r="P249" s="605">
        <f t="shared" si="376"/>
        <v>22.461572163874909</v>
      </c>
      <c r="Q249" s="606" t="e">
        <f t="shared" ref="Q249" si="386">SUM(P249-C249)/C249</f>
        <v>#DIV/0!</v>
      </c>
    </row>
    <row r="250" spans="1:20" ht="25.5" customHeight="1">
      <c r="A250" s="672" t="s">
        <v>82</v>
      </c>
      <c r="B250" s="603"/>
      <c r="C250" s="662"/>
      <c r="D250" s="667"/>
      <c r="E250" s="668"/>
      <c r="F250" s="668"/>
      <c r="G250" s="667">
        <f t="shared" si="379"/>
        <v>0</v>
      </c>
      <c r="H250" s="667">
        <f t="shared" si="380"/>
        <v>0</v>
      </c>
      <c r="I250" s="667">
        <f t="shared" si="381"/>
        <v>0</v>
      </c>
      <c r="J250" s="667">
        <f t="shared" si="370"/>
        <v>0</v>
      </c>
      <c r="K250" s="667">
        <f t="shared" si="382"/>
        <v>0</v>
      </c>
      <c r="L250" s="667">
        <f t="shared" si="383"/>
        <v>0</v>
      </c>
      <c r="M250" s="667">
        <f t="shared" si="373"/>
        <v>0</v>
      </c>
      <c r="N250" s="667">
        <f t="shared" si="384"/>
        <v>0</v>
      </c>
      <c r="O250" s="667">
        <f t="shared" si="385"/>
        <v>0</v>
      </c>
      <c r="P250" s="604"/>
      <c r="Q250" s="600"/>
    </row>
    <row r="251" spans="1:20" ht="25.5" customHeight="1">
      <c r="A251" s="670" t="s">
        <v>83</v>
      </c>
      <c r="B251" s="673"/>
      <c r="C251" s="656"/>
      <c r="D251" s="674">
        <f>+D249</f>
        <v>0</v>
      </c>
      <c r="E251" s="674">
        <f t="shared" ref="E251:F251" si="387">+E249</f>
        <v>0</v>
      </c>
      <c r="F251" s="674">
        <f t="shared" si="387"/>
        <v>0</v>
      </c>
      <c r="G251" s="674">
        <f t="shared" si="379"/>
        <v>0</v>
      </c>
      <c r="H251" s="674">
        <f t="shared" si="380"/>
        <v>0</v>
      </c>
      <c r="I251" s="674">
        <f t="shared" si="381"/>
        <v>0</v>
      </c>
      <c r="J251" s="674">
        <f t="shared" si="370"/>
        <v>0</v>
      </c>
      <c r="K251" s="674">
        <f t="shared" si="382"/>
        <v>0</v>
      </c>
      <c r="L251" s="674">
        <f t="shared" si="383"/>
        <v>0</v>
      </c>
      <c r="M251" s="674">
        <f t="shared" si="373"/>
        <v>0</v>
      </c>
      <c r="N251" s="674">
        <f t="shared" si="384"/>
        <v>0</v>
      </c>
      <c r="O251" s="674">
        <f t="shared" si="385"/>
        <v>0</v>
      </c>
      <c r="P251" s="605">
        <f t="shared" si="376"/>
        <v>0</v>
      </c>
      <c r="Q251" s="606" t="e">
        <f t="shared" ref="Q251" si="388">SUM(P251-C251)/C251</f>
        <v>#DIV/0!</v>
      </c>
    </row>
    <row r="252" spans="1:20" ht="25.5" customHeight="1">
      <c r="A252" s="672" t="s">
        <v>84</v>
      </c>
      <c r="B252" s="661"/>
      <c r="C252" s="675"/>
      <c r="D252" s="676"/>
      <c r="E252" s="665"/>
      <c r="F252" s="665"/>
      <c r="G252" s="665">
        <f t="shared" si="379"/>
        <v>0</v>
      </c>
      <c r="H252" s="665">
        <f t="shared" si="380"/>
        <v>0</v>
      </c>
      <c r="I252" s="677">
        <f t="shared" si="381"/>
        <v>0</v>
      </c>
      <c r="J252" s="677">
        <f t="shared" si="370"/>
        <v>0</v>
      </c>
      <c r="K252" s="665">
        <f t="shared" si="382"/>
        <v>0</v>
      </c>
      <c r="L252" s="665">
        <f t="shared" si="383"/>
        <v>0</v>
      </c>
      <c r="M252" s="665">
        <f t="shared" si="373"/>
        <v>0</v>
      </c>
      <c r="N252" s="665">
        <f t="shared" si="384"/>
        <v>0</v>
      </c>
      <c r="O252" s="666">
        <f t="shared" si="385"/>
        <v>0</v>
      </c>
      <c r="P252" s="604"/>
      <c r="Q252" s="600"/>
    </row>
    <row r="253" spans="1:20" ht="25.5" customHeight="1" thickBot="1">
      <c r="A253" s="718" t="s">
        <v>18</v>
      </c>
      <c r="B253" s="719"/>
      <c r="C253" s="720"/>
      <c r="D253" s="721"/>
      <c r="E253" s="722"/>
      <c r="F253" s="722"/>
      <c r="G253" s="722"/>
      <c r="H253" s="722"/>
      <c r="I253" s="722"/>
      <c r="J253" s="722"/>
      <c r="K253" s="722"/>
      <c r="L253" s="722"/>
      <c r="M253" s="722"/>
      <c r="N253" s="722"/>
      <c r="O253" s="723"/>
      <c r="P253" s="720"/>
      <c r="Q253" s="724"/>
    </row>
    <row r="254" spans="1:20" ht="25.5" customHeight="1" thickBot="1">
      <c r="A254" s="693" t="s">
        <v>29</v>
      </c>
      <c r="B254" s="725"/>
      <c r="C254" s="726"/>
      <c r="D254" s="727"/>
      <c r="E254" s="728"/>
      <c r="F254" s="728"/>
      <c r="G254" s="728"/>
      <c r="H254" s="728"/>
      <c r="I254" s="728"/>
      <c r="J254" s="728"/>
      <c r="K254" s="728"/>
      <c r="L254" s="728"/>
      <c r="M254" s="728"/>
      <c r="N254" s="728"/>
      <c r="O254" s="729"/>
      <c r="P254" s="726"/>
      <c r="Q254" s="730"/>
    </row>
    <row r="255" spans="1:20" ht="25.5" customHeight="1">
      <c r="A255" s="615" t="s">
        <v>19</v>
      </c>
      <c r="B255" s="607"/>
      <c r="C255" s="608"/>
      <c r="D255" s="681"/>
      <c r="E255" s="681"/>
      <c r="F255" s="681"/>
      <c r="G255" s="683">
        <f>+F255*$R$2</f>
        <v>0</v>
      </c>
      <c r="H255" s="683">
        <f t="shared" ref="H255:H256" si="389">+F255*$R$2</f>
        <v>0</v>
      </c>
      <c r="I255" s="683">
        <f t="shared" ref="I255:I256" si="390">+F255*$R$2</f>
        <v>0</v>
      </c>
      <c r="J255" s="683">
        <f t="shared" ref="J255:J256" si="391">+I255*$S$2</f>
        <v>0</v>
      </c>
      <c r="K255" s="683">
        <f t="shared" ref="K255:K256" si="392">+I255*$S$2</f>
        <v>0</v>
      </c>
      <c r="L255" s="683">
        <f t="shared" ref="L255:L256" si="393">+I255*$S$2</f>
        <v>0</v>
      </c>
      <c r="M255" s="683">
        <f t="shared" ref="M255:M256" si="394">+L255*$T$2</f>
        <v>0</v>
      </c>
      <c r="N255" s="683">
        <f t="shared" ref="N255:N256" si="395">+L255*$T$2</f>
        <v>0</v>
      </c>
      <c r="O255" s="684">
        <f t="shared" ref="O255:O256" si="396">+L255*$T$2</f>
        <v>0</v>
      </c>
      <c r="P255" s="609">
        <f t="shared" si="376"/>
        <v>0</v>
      </c>
      <c r="Q255" s="610" t="e">
        <f t="shared" ref="Q255:Q256" si="397">SUM(P255-C255)/C255</f>
        <v>#DIV/0!</v>
      </c>
    </row>
    <row r="256" spans="1:20" ht="25.5" customHeight="1" thickBot="1">
      <c r="A256" s="616" t="s">
        <v>20</v>
      </c>
      <c r="B256" s="611"/>
      <c r="C256" s="612"/>
      <c r="D256" s="685"/>
      <c r="E256" s="685"/>
      <c r="F256" s="685"/>
      <c r="G256" s="686">
        <f t="shared" ref="G256" si="398">+F256*$R$2</f>
        <v>0</v>
      </c>
      <c r="H256" s="686">
        <f t="shared" si="389"/>
        <v>0</v>
      </c>
      <c r="I256" s="686">
        <f t="shared" si="390"/>
        <v>0</v>
      </c>
      <c r="J256" s="686">
        <f t="shared" si="391"/>
        <v>0</v>
      </c>
      <c r="K256" s="686">
        <f t="shared" si="392"/>
        <v>0</v>
      </c>
      <c r="L256" s="686">
        <f t="shared" si="393"/>
        <v>0</v>
      </c>
      <c r="M256" s="686">
        <f t="shared" si="394"/>
        <v>0</v>
      </c>
      <c r="N256" s="686">
        <f t="shared" si="395"/>
        <v>0</v>
      </c>
      <c r="O256" s="686">
        <f t="shared" si="396"/>
        <v>0</v>
      </c>
      <c r="P256" s="613">
        <f t="shared" si="376"/>
        <v>0</v>
      </c>
      <c r="Q256" s="614" t="e">
        <f t="shared" si="397"/>
        <v>#DIV/0!</v>
      </c>
    </row>
    <row r="257" spans="1:20" ht="25.5" customHeight="1" thickBot="1">
      <c r="A257" s="693" t="s">
        <v>30</v>
      </c>
      <c r="B257" s="694"/>
      <c r="C257" s="726"/>
      <c r="D257" s="727"/>
      <c r="E257" s="728"/>
      <c r="F257" s="728"/>
      <c r="G257" s="728"/>
      <c r="H257" s="728"/>
      <c r="I257" s="728"/>
      <c r="J257" s="728"/>
      <c r="K257" s="728"/>
      <c r="L257" s="728"/>
      <c r="M257" s="728"/>
      <c r="N257" s="728"/>
      <c r="O257" s="729"/>
      <c r="P257" s="726"/>
      <c r="Q257" s="730"/>
    </row>
    <row r="258" spans="1:20" ht="25.5" customHeight="1">
      <c r="A258" s="615" t="s">
        <v>106</v>
      </c>
      <c r="B258" s="607"/>
      <c r="C258" s="608"/>
      <c r="D258" s="687">
        <f>D18</f>
        <v>0</v>
      </c>
      <c r="E258" s="687">
        <f t="shared" ref="E258:O258" si="399">E18</f>
        <v>0</v>
      </c>
      <c r="F258" s="687">
        <f t="shared" si="399"/>
        <v>0</v>
      </c>
      <c r="G258" s="687">
        <f t="shared" si="399"/>
        <v>0</v>
      </c>
      <c r="H258" s="687">
        <f t="shared" si="399"/>
        <v>0</v>
      </c>
      <c r="I258" s="687">
        <f t="shared" si="399"/>
        <v>0</v>
      </c>
      <c r="J258" s="687">
        <f t="shared" si="399"/>
        <v>0</v>
      </c>
      <c r="K258" s="687">
        <f t="shared" si="399"/>
        <v>0</v>
      </c>
      <c r="L258" s="687">
        <f t="shared" si="399"/>
        <v>0</v>
      </c>
      <c r="M258" s="687">
        <f t="shared" si="399"/>
        <v>0</v>
      </c>
      <c r="N258" s="687">
        <f t="shared" si="399"/>
        <v>0</v>
      </c>
      <c r="O258" s="687">
        <f t="shared" si="399"/>
        <v>0</v>
      </c>
      <c r="P258" s="609">
        <f t="shared" si="376"/>
        <v>0</v>
      </c>
      <c r="Q258" s="610" t="e">
        <f t="shared" ref="Q258:Q259" si="400">SUM(P258-C258)/C258</f>
        <v>#DIV/0!</v>
      </c>
    </row>
    <row r="259" spans="1:20" ht="25.5" customHeight="1" thickBot="1">
      <c r="A259" s="616" t="s">
        <v>105</v>
      </c>
      <c r="B259" s="617"/>
      <c r="C259" s="618"/>
      <c r="D259" s="688">
        <f>D19</f>
        <v>0</v>
      </c>
      <c r="E259" s="688">
        <f t="shared" ref="E259:O259" si="401">E19</f>
        <v>0</v>
      </c>
      <c r="F259" s="688">
        <f t="shared" si="401"/>
        <v>0</v>
      </c>
      <c r="G259" s="688">
        <f t="shared" si="401"/>
        <v>0</v>
      </c>
      <c r="H259" s="688">
        <f t="shared" si="401"/>
        <v>0</v>
      </c>
      <c r="I259" s="688">
        <f t="shared" si="401"/>
        <v>0</v>
      </c>
      <c r="J259" s="688">
        <f t="shared" si="401"/>
        <v>0</v>
      </c>
      <c r="K259" s="688">
        <f t="shared" si="401"/>
        <v>0</v>
      </c>
      <c r="L259" s="688">
        <f t="shared" si="401"/>
        <v>0</v>
      </c>
      <c r="M259" s="688">
        <f t="shared" si="401"/>
        <v>0</v>
      </c>
      <c r="N259" s="688">
        <f t="shared" si="401"/>
        <v>0</v>
      </c>
      <c r="O259" s="688">
        <f t="shared" si="401"/>
        <v>0</v>
      </c>
      <c r="P259" s="619">
        <f t="shared" si="376"/>
        <v>0</v>
      </c>
      <c r="Q259" s="620" t="e">
        <f t="shared" si="400"/>
        <v>#DIV/0!</v>
      </c>
    </row>
    <row r="260" spans="1:20" ht="25.5" customHeight="1" thickBot="1">
      <c r="B260" s="601"/>
      <c r="C260" s="621"/>
      <c r="D260" s="689"/>
      <c r="E260" s="689"/>
      <c r="F260" s="689"/>
      <c r="G260" s="689"/>
      <c r="H260" s="689"/>
      <c r="I260" s="689"/>
      <c r="J260" s="689"/>
      <c r="K260" s="689"/>
      <c r="L260" s="689"/>
      <c r="M260" s="689"/>
      <c r="N260" s="689"/>
      <c r="O260" s="689"/>
      <c r="P260" s="622"/>
      <c r="Q260" s="623"/>
    </row>
    <row r="261" spans="1:20" ht="25.5" customHeight="1" thickBot="1">
      <c r="A261" s="693" t="s">
        <v>86</v>
      </c>
      <c r="B261" s="694"/>
      <c r="C261" s="695"/>
      <c r="D261" s="697">
        <v>13.829000000000001</v>
      </c>
      <c r="E261" s="697">
        <v>13.829000000000001</v>
      </c>
      <c r="F261" s="697">
        <v>13.829000000000001</v>
      </c>
      <c r="G261" s="697">
        <f>$F$21*$R$2</f>
        <v>15.76506</v>
      </c>
      <c r="H261" s="697">
        <f t="shared" ref="H261:I261" si="402">$F$21*$R$2</f>
        <v>15.76506</v>
      </c>
      <c r="I261" s="697">
        <f t="shared" si="402"/>
        <v>15.76506</v>
      </c>
      <c r="J261" s="697">
        <f>$I$21*$S$2</f>
        <v>18.129818999999998</v>
      </c>
      <c r="K261" s="697">
        <f t="shared" ref="K261:L261" si="403">$I$21*$S$2</f>
        <v>18.129818999999998</v>
      </c>
      <c r="L261" s="697">
        <f t="shared" si="403"/>
        <v>18.129818999999998</v>
      </c>
      <c r="M261" s="697">
        <f>$L$21*$T$2</f>
        <v>21.030590039999996</v>
      </c>
      <c r="N261" s="697">
        <f t="shared" ref="N261:O261" si="404">$L$21*$T$2</f>
        <v>21.030590039999996</v>
      </c>
      <c r="O261" s="697">
        <f t="shared" si="404"/>
        <v>21.030590039999996</v>
      </c>
      <c r="P261" s="2269">
        <f t="shared" si="376"/>
        <v>17.188617259999997</v>
      </c>
      <c r="Q261" s="699" t="e">
        <f t="shared" ref="Q261" si="405">SUM(P261-C261)/C261</f>
        <v>#DIV/0!</v>
      </c>
    </row>
    <row r="262" spans="1:20" ht="25.5" customHeight="1" thickBot="1">
      <c r="A262" s="624"/>
      <c r="B262" s="625"/>
      <c r="C262" s="626"/>
      <c r="D262" s="690"/>
      <c r="E262" s="690"/>
      <c r="F262" s="690"/>
      <c r="G262" s="690"/>
      <c r="H262" s="690"/>
      <c r="I262" s="690"/>
      <c r="J262" s="690"/>
      <c r="K262" s="690"/>
      <c r="L262" s="690"/>
      <c r="M262" s="690"/>
      <c r="N262" s="690"/>
      <c r="O262" s="690"/>
      <c r="P262" s="626"/>
      <c r="Q262" s="627"/>
    </row>
    <row r="263" spans="1:20" ht="25.5" customHeight="1" thickBot="1">
      <c r="A263" s="693" t="s">
        <v>31</v>
      </c>
      <c r="B263" s="694"/>
      <c r="C263" s="695"/>
      <c r="D263" s="696"/>
      <c r="E263" s="697"/>
      <c r="F263" s="697"/>
      <c r="G263" s="697"/>
      <c r="H263" s="697"/>
      <c r="I263" s="697"/>
      <c r="J263" s="697"/>
      <c r="K263" s="697"/>
      <c r="L263" s="697"/>
      <c r="M263" s="697"/>
      <c r="N263" s="697"/>
      <c r="O263" s="698"/>
      <c r="P263" s="695"/>
      <c r="Q263" s="699"/>
    </row>
    <row r="264" spans="1:20">
      <c r="B264" s="601"/>
      <c r="C264" s="601"/>
      <c r="D264" s="601"/>
      <c r="E264" s="601"/>
      <c r="F264" s="601"/>
      <c r="G264" s="601"/>
      <c r="H264" s="601"/>
      <c r="I264" s="601"/>
      <c r="J264" s="601"/>
      <c r="K264" s="601"/>
      <c r="L264" s="601"/>
      <c r="M264" s="601"/>
      <c r="N264" s="601"/>
      <c r="O264" s="601"/>
      <c r="P264" s="601"/>
    </row>
    <row r="265" spans="1:20" ht="16.2" thickBot="1">
      <c r="B265" s="601"/>
      <c r="C265" s="601"/>
      <c r="D265" s="601"/>
      <c r="E265" s="601"/>
      <c r="F265" s="601"/>
      <c r="G265" s="601"/>
      <c r="H265" s="601"/>
      <c r="I265" s="601"/>
      <c r="J265" s="601"/>
      <c r="K265" s="601"/>
      <c r="L265" s="601"/>
      <c r="M265" s="601"/>
      <c r="N265" s="601"/>
      <c r="O265" s="601"/>
      <c r="P265" s="601"/>
    </row>
    <row r="266" spans="1:20" ht="32.1" customHeight="1" thickBot="1">
      <c r="A266" s="649"/>
      <c r="B266" s="2390"/>
      <c r="C266" s="2392" t="s">
        <v>695</v>
      </c>
      <c r="D266" s="2394" t="s">
        <v>102</v>
      </c>
      <c r="E266" s="2395"/>
      <c r="F266" s="2395"/>
      <c r="G266" s="2395"/>
      <c r="H266" s="2395"/>
      <c r="I266" s="2395"/>
      <c r="J266" s="2395"/>
      <c r="K266" s="2395"/>
      <c r="L266" s="2395"/>
      <c r="M266" s="2395"/>
      <c r="N266" s="2395"/>
      <c r="O266" s="2395"/>
      <c r="P266" s="2396"/>
      <c r="Q266" s="937" t="s">
        <v>605</v>
      </c>
    </row>
    <row r="267" spans="1:20" ht="32.1" customHeight="1" thickBot="1">
      <c r="A267" s="650"/>
      <c r="B267" s="2391"/>
      <c r="C267" s="2393"/>
      <c r="D267" s="678" t="s">
        <v>1</v>
      </c>
      <c r="E267" s="679" t="s">
        <v>2</v>
      </c>
      <c r="F267" s="679" t="s">
        <v>3</v>
      </c>
      <c r="G267" s="679" t="s">
        <v>4</v>
      </c>
      <c r="H267" s="679" t="s">
        <v>5</v>
      </c>
      <c r="I267" s="679" t="s">
        <v>6</v>
      </c>
      <c r="J267" s="679" t="s">
        <v>7</v>
      </c>
      <c r="K267" s="679" t="s">
        <v>8</v>
      </c>
      <c r="L267" s="679" t="s">
        <v>9</v>
      </c>
      <c r="M267" s="679" t="s">
        <v>10</v>
      </c>
      <c r="N267" s="679" t="s">
        <v>11</v>
      </c>
      <c r="O267" s="680" t="s">
        <v>12</v>
      </c>
      <c r="P267" s="651" t="s">
        <v>281</v>
      </c>
      <c r="Q267" s="941" t="s">
        <v>693</v>
      </c>
      <c r="R267" s="913" t="s">
        <v>509</v>
      </c>
      <c r="S267" s="913" t="s">
        <v>150</v>
      </c>
      <c r="T267" s="913" t="s">
        <v>151</v>
      </c>
    </row>
    <row r="268" spans="1:20" ht="25.5" customHeight="1" thickBot="1">
      <c r="A268" s="693" t="s">
        <v>28</v>
      </c>
      <c r="B268" s="694"/>
      <c r="C268" s="695"/>
      <c r="D268" s="696"/>
      <c r="E268" s="697"/>
      <c r="F268" s="697"/>
      <c r="G268" s="697"/>
      <c r="H268" s="697"/>
      <c r="I268" s="697"/>
      <c r="J268" s="697"/>
      <c r="K268" s="697"/>
      <c r="L268" s="697"/>
      <c r="M268" s="697"/>
      <c r="N268" s="697"/>
      <c r="O268" s="698"/>
      <c r="P268" s="695"/>
      <c r="Q268" s="699"/>
      <c r="R268" s="1795" t="s">
        <v>159</v>
      </c>
      <c r="S268" s="914"/>
      <c r="T268" s="914" t="s">
        <v>320</v>
      </c>
    </row>
    <row r="269" spans="1:20" ht="25.5" customHeight="1">
      <c r="A269" s="654" t="s">
        <v>15</v>
      </c>
      <c r="B269" s="655"/>
      <c r="C269" s="656"/>
      <c r="D269" s="657"/>
      <c r="E269" s="657"/>
      <c r="F269" s="657"/>
      <c r="G269" s="657">
        <f>+F269*$R$2</f>
        <v>0</v>
      </c>
      <c r="H269" s="657">
        <f t="shared" ref="H269:H270" si="406">+F269*$R$2</f>
        <v>0</v>
      </c>
      <c r="I269" s="657">
        <f t="shared" ref="I269:I270" si="407">+F269*$R$2</f>
        <v>0</v>
      </c>
      <c r="J269" s="657">
        <f t="shared" ref="J269:J276" si="408">+I269*$S$2</f>
        <v>0</v>
      </c>
      <c r="K269" s="657">
        <f t="shared" ref="K269:K270" si="409">+I269*$S$2</f>
        <v>0</v>
      </c>
      <c r="L269" s="657">
        <f t="shared" ref="L269:L270" si="410">+I269*$S$2</f>
        <v>0</v>
      </c>
      <c r="M269" s="657">
        <f t="shared" ref="M269:M276" si="411">+L269*$T$2</f>
        <v>0</v>
      </c>
      <c r="N269" s="657">
        <f t="shared" ref="N269:N270" si="412">+L269*$T$2</f>
        <v>0</v>
      </c>
      <c r="O269" s="657">
        <f t="shared" ref="O269:O270" si="413">+L269*$T$2</f>
        <v>0</v>
      </c>
      <c r="P269" s="658">
        <f t="shared" ref="P269:P285" si="414">AVERAGE(D269:O269)</f>
        <v>0</v>
      </c>
      <c r="Q269" s="659" t="e">
        <f t="shared" ref="Q269" si="415">SUM(P269-C269)/C269</f>
        <v>#DIV/0!</v>
      </c>
    </row>
    <row r="270" spans="1:20" ht="25.5" customHeight="1">
      <c r="A270" s="660" t="s">
        <v>16</v>
      </c>
      <c r="B270" s="661"/>
      <c r="C270" s="662"/>
      <c r="D270" s="663"/>
      <c r="E270" s="664"/>
      <c r="F270" s="664"/>
      <c r="G270" s="663">
        <f>+F270*$R$2</f>
        <v>0</v>
      </c>
      <c r="H270" s="663">
        <f t="shared" si="406"/>
        <v>0</v>
      </c>
      <c r="I270" s="663">
        <f t="shared" si="407"/>
        <v>0</v>
      </c>
      <c r="J270" s="663">
        <f t="shared" si="408"/>
        <v>0</v>
      </c>
      <c r="K270" s="663">
        <f t="shared" si="409"/>
        <v>0</v>
      </c>
      <c r="L270" s="663">
        <f t="shared" si="410"/>
        <v>0</v>
      </c>
      <c r="M270" s="663">
        <f t="shared" si="411"/>
        <v>0</v>
      </c>
      <c r="N270" s="663">
        <f t="shared" si="412"/>
        <v>0</v>
      </c>
      <c r="O270" s="663">
        <f t="shared" si="413"/>
        <v>0</v>
      </c>
      <c r="P270" s="604">
        <f t="shared" ref="P270" si="416">AVERAGE(D270:O270)</f>
        <v>0</v>
      </c>
      <c r="Q270" s="600" t="e">
        <f t="shared" ref="Q270" si="417">SUM(P270-C270)/C270</f>
        <v>#DIV/0!</v>
      </c>
    </row>
    <row r="271" spans="1:20" ht="25.5" customHeight="1">
      <c r="A271" s="701" t="s">
        <v>27</v>
      </c>
      <c r="B271" s="702"/>
      <c r="C271" s="703"/>
      <c r="D271" s="704"/>
      <c r="E271" s="705"/>
      <c r="F271" s="705"/>
      <c r="G271" s="704"/>
      <c r="H271" s="704"/>
      <c r="I271" s="704"/>
      <c r="J271" s="704"/>
      <c r="K271" s="704"/>
      <c r="L271" s="704"/>
      <c r="M271" s="704"/>
      <c r="N271" s="704"/>
      <c r="O271" s="704"/>
      <c r="P271" s="707"/>
      <c r="Q271" s="708"/>
    </row>
    <row r="272" spans="1:20" ht="25.5" customHeight="1">
      <c r="A272" s="710" t="s">
        <v>17</v>
      </c>
      <c r="B272" s="711"/>
      <c r="C272" s="712"/>
      <c r="D272" s="713"/>
      <c r="E272" s="714"/>
      <c r="F272" s="714"/>
      <c r="G272" s="713">
        <f t="shared" ref="G272:G276" si="418">+F272*$R$2</f>
        <v>0</v>
      </c>
      <c r="H272" s="713">
        <f t="shared" ref="H272:H276" si="419">+F272*$R$2</f>
        <v>0</v>
      </c>
      <c r="I272" s="713">
        <f t="shared" ref="I272:I276" si="420">+F272*$R$2</f>
        <v>0</v>
      </c>
      <c r="J272" s="713">
        <f t="shared" si="408"/>
        <v>0</v>
      </c>
      <c r="K272" s="713">
        <f t="shared" ref="K272:K276" si="421">+I272*$S$2</f>
        <v>0</v>
      </c>
      <c r="L272" s="713">
        <f t="shared" ref="L272:L276" si="422">+I272*$S$2</f>
        <v>0</v>
      </c>
      <c r="M272" s="713">
        <f t="shared" si="411"/>
        <v>0</v>
      </c>
      <c r="N272" s="713">
        <f t="shared" ref="N272:N276" si="423">+L272*$T$2</f>
        <v>0</v>
      </c>
      <c r="O272" s="713">
        <f t="shared" ref="O272:O276" si="424">+L272*$T$2</f>
        <v>0</v>
      </c>
      <c r="P272" s="604">
        <f t="shared" si="414"/>
        <v>0</v>
      </c>
      <c r="Q272" s="717"/>
    </row>
    <row r="273" spans="1:17" ht="25.5" customHeight="1">
      <c r="A273" s="670" t="s">
        <v>81</v>
      </c>
      <c r="B273" s="602"/>
      <c r="C273" s="656"/>
      <c r="D273" s="657"/>
      <c r="E273" s="657"/>
      <c r="F273" s="657"/>
      <c r="G273" s="657">
        <v>20.484193078018745</v>
      </c>
      <c r="H273" s="657">
        <v>20.859365293877371</v>
      </c>
      <c r="I273" s="657">
        <v>21.717449379567885</v>
      </c>
      <c r="J273" s="657">
        <v>22.677904810291913</v>
      </c>
      <c r="K273" s="657">
        <v>23.205150194018518</v>
      </c>
      <c r="L273" s="657">
        <v>23.027045912009168</v>
      </c>
      <c r="M273" s="657">
        <v>23.692937343234373</v>
      </c>
      <c r="N273" s="657">
        <v>22.99839729760826</v>
      </c>
      <c r="O273" s="657">
        <v>23.491706166247948</v>
      </c>
      <c r="P273" s="605">
        <f t="shared" si="414"/>
        <v>22.461572163874909</v>
      </c>
      <c r="Q273" s="606" t="e">
        <f t="shared" ref="Q273" si="425">SUM(P273-C273)/C273</f>
        <v>#DIV/0!</v>
      </c>
    </row>
    <row r="274" spans="1:17" ht="25.5" customHeight="1">
      <c r="A274" s="672" t="s">
        <v>82</v>
      </c>
      <c r="B274" s="603"/>
      <c r="C274" s="662"/>
      <c r="D274" s="667"/>
      <c r="E274" s="668"/>
      <c r="F274" s="668"/>
      <c r="G274" s="667">
        <f t="shared" si="418"/>
        <v>0</v>
      </c>
      <c r="H274" s="667">
        <f t="shared" si="419"/>
        <v>0</v>
      </c>
      <c r="I274" s="667">
        <f t="shared" si="420"/>
        <v>0</v>
      </c>
      <c r="J274" s="667">
        <f t="shared" si="408"/>
        <v>0</v>
      </c>
      <c r="K274" s="667">
        <f t="shared" si="421"/>
        <v>0</v>
      </c>
      <c r="L274" s="667">
        <f t="shared" si="422"/>
        <v>0</v>
      </c>
      <c r="M274" s="667">
        <f t="shared" si="411"/>
        <v>0</v>
      </c>
      <c r="N274" s="667">
        <f t="shared" si="423"/>
        <v>0</v>
      </c>
      <c r="O274" s="667">
        <f t="shared" si="424"/>
        <v>0</v>
      </c>
      <c r="P274" s="604"/>
      <c r="Q274" s="600"/>
    </row>
    <row r="275" spans="1:17" ht="25.5" customHeight="1">
      <c r="A275" s="670" t="s">
        <v>83</v>
      </c>
      <c r="B275" s="673"/>
      <c r="C275" s="656"/>
      <c r="D275" s="674">
        <f>+D273</f>
        <v>0</v>
      </c>
      <c r="E275" s="674">
        <f t="shared" ref="E275:F275" si="426">+E273</f>
        <v>0</v>
      </c>
      <c r="F275" s="674">
        <f t="shared" si="426"/>
        <v>0</v>
      </c>
      <c r="G275" s="674">
        <f t="shared" si="418"/>
        <v>0</v>
      </c>
      <c r="H275" s="674">
        <f t="shared" si="419"/>
        <v>0</v>
      </c>
      <c r="I275" s="674">
        <f t="shared" si="420"/>
        <v>0</v>
      </c>
      <c r="J275" s="674">
        <f t="shared" si="408"/>
        <v>0</v>
      </c>
      <c r="K275" s="674">
        <f t="shared" si="421"/>
        <v>0</v>
      </c>
      <c r="L275" s="674">
        <f t="shared" si="422"/>
        <v>0</v>
      </c>
      <c r="M275" s="674">
        <f t="shared" si="411"/>
        <v>0</v>
      </c>
      <c r="N275" s="674">
        <f t="shared" si="423"/>
        <v>0</v>
      </c>
      <c r="O275" s="674">
        <f t="shared" si="424"/>
        <v>0</v>
      </c>
      <c r="P275" s="605">
        <f>AVERAGE(D275:O275)</f>
        <v>0</v>
      </c>
      <c r="Q275" s="606" t="e">
        <f>SUM(P275-C275)/C275</f>
        <v>#DIV/0!</v>
      </c>
    </row>
    <row r="276" spans="1:17" ht="25.5" customHeight="1">
      <c r="A276" s="672" t="s">
        <v>84</v>
      </c>
      <c r="B276" s="661"/>
      <c r="C276" s="675"/>
      <c r="D276" s="676"/>
      <c r="E276" s="665"/>
      <c r="F276" s="665"/>
      <c r="G276" s="665">
        <f t="shared" si="418"/>
        <v>0</v>
      </c>
      <c r="H276" s="665">
        <f t="shared" si="419"/>
        <v>0</v>
      </c>
      <c r="I276" s="677">
        <f t="shared" si="420"/>
        <v>0</v>
      </c>
      <c r="J276" s="677">
        <f t="shared" si="408"/>
        <v>0</v>
      </c>
      <c r="K276" s="665">
        <f t="shared" si="421"/>
        <v>0</v>
      </c>
      <c r="L276" s="665">
        <f t="shared" si="422"/>
        <v>0</v>
      </c>
      <c r="M276" s="665">
        <f t="shared" si="411"/>
        <v>0</v>
      </c>
      <c r="N276" s="665">
        <f t="shared" si="423"/>
        <v>0</v>
      </c>
      <c r="O276" s="666">
        <f t="shared" si="424"/>
        <v>0</v>
      </c>
      <c r="P276" s="604"/>
      <c r="Q276" s="600"/>
    </row>
    <row r="277" spans="1:17" ht="25.5" customHeight="1" thickBot="1">
      <c r="A277" s="718" t="s">
        <v>18</v>
      </c>
      <c r="B277" s="719"/>
      <c r="C277" s="720"/>
      <c r="D277" s="721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3"/>
      <c r="P277" s="720"/>
      <c r="Q277" s="724"/>
    </row>
    <row r="278" spans="1:17" ht="25.5" customHeight="1" thickBot="1">
      <c r="A278" s="693" t="s">
        <v>29</v>
      </c>
      <c r="B278" s="725"/>
      <c r="C278" s="726"/>
      <c r="D278" s="727"/>
      <c r="E278" s="728"/>
      <c r="F278" s="728"/>
      <c r="G278" s="728"/>
      <c r="H278" s="728"/>
      <c r="I278" s="728"/>
      <c r="J278" s="728"/>
      <c r="K278" s="728"/>
      <c r="L278" s="728"/>
      <c r="M278" s="728"/>
      <c r="N278" s="728"/>
      <c r="O278" s="729"/>
      <c r="P278" s="726"/>
      <c r="Q278" s="730"/>
    </row>
    <row r="279" spans="1:17" ht="25.5" customHeight="1">
      <c r="A279" s="615" t="s">
        <v>19</v>
      </c>
      <c r="B279" s="607"/>
      <c r="C279" s="608"/>
      <c r="D279" s="681"/>
      <c r="E279" s="681"/>
      <c r="F279" s="681"/>
      <c r="G279" s="683">
        <f>+F279*$R$2</f>
        <v>0</v>
      </c>
      <c r="H279" s="683">
        <f t="shared" ref="H279:H280" si="427">+F279*$R$2</f>
        <v>0</v>
      </c>
      <c r="I279" s="683">
        <f t="shared" ref="I279:I280" si="428">+F279*$R$2</f>
        <v>0</v>
      </c>
      <c r="J279" s="683">
        <f t="shared" ref="J279:J280" si="429">+I279*$S$2</f>
        <v>0</v>
      </c>
      <c r="K279" s="683">
        <f t="shared" ref="K279:K280" si="430">+I279*$S$2</f>
        <v>0</v>
      </c>
      <c r="L279" s="683">
        <f t="shared" ref="L279:L280" si="431">+I279*$S$2</f>
        <v>0</v>
      </c>
      <c r="M279" s="683">
        <f t="shared" ref="M279:M280" si="432">+L279*$T$2</f>
        <v>0</v>
      </c>
      <c r="N279" s="683">
        <f t="shared" ref="N279:N280" si="433">+L279*$T$2</f>
        <v>0</v>
      </c>
      <c r="O279" s="684">
        <f t="shared" ref="O279:O280" si="434">+L279*$T$2</f>
        <v>0</v>
      </c>
      <c r="P279" s="609">
        <f t="shared" si="414"/>
        <v>0</v>
      </c>
      <c r="Q279" s="610" t="e">
        <f t="shared" ref="Q279:Q280" si="435">SUM(P279-C279)/C279</f>
        <v>#DIV/0!</v>
      </c>
    </row>
    <row r="280" spans="1:17" ht="25.5" customHeight="1" thickBot="1">
      <c r="A280" s="616" t="s">
        <v>20</v>
      </c>
      <c r="B280" s="611"/>
      <c r="C280" s="612"/>
      <c r="D280" s="685"/>
      <c r="E280" s="685"/>
      <c r="F280" s="685"/>
      <c r="G280" s="686">
        <f t="shared" ref="G280" si="436">+F280*$R$2</f>
        <v>0</v>
      </c>
      <c r="H280" s="686">
        <f t="shared" si="427"/>
        <v>0</v>
      </c>
      <c r="I280" s="686">
        <f t="shared" si="428"/>
        <v>0</v>
      </c>
      <c r="J280" s="686">
        <f t="shared" si="429"/>
        <v>0</v>
      </c>
      <c r="K280" s="686">
        <f t="shared" si="430"/>
        <v>0</v>
      </c>
      <c r="L280" s="686">
        <f t="shared" si="431"/>
        <v>0</v>
      </c>
      <c r="M280" s="686">
        <f t="shared" si="432"/>
        <v>0</v>
      </c>
      <c r="N280" s="686">
        <f t="shared" si="433"/>
        <v>0</v>
      </c>
      <c r="O280" s="686">
        <f t="shared" si="434"/>
        <v>0</v>
      </c>
      <c r="P280" s="613">
        <f t="shared" si="414"/>
        <v>0</v>
      </c>
      <c r="Q280" s="614" t="e">
        <f t="shared" si="435"/>
        <v>#DIV/0!</v>
      </c>
    </row>
    <row r="281" spans="1:17" ht="25.5" customHeight="1" thickBot="1">
      <c r="A281" s="693" t="s">
        <v>30</v>
      </c>
      <c r="B281" s="694"/>
      <c r="C281" s="726"/>
      <c r="D281" s="727"/>
      <c r="E281" s="728"/>
      <c r="F281" s="728"/>
      <c r="G281" s="728"/>
      <c r="H281" s="728"/>
      <c r="I281" s="728"/>
      <c r="J281" s="728"/>
      <c r="K281" s="728"/>
      <c r="L281" s="728"/>
      <c r="M281" s="728"/>
      <c r="N281" s="728"/>
      <c r="O281" s="729"/>
      <c r="P281" s="726"/>
      <c r="Q281" s="730"/>
    </row>
    <row r="282" spans="1:17" ht="25.5" customHeight="1">
      <c r="A282" s="615" t="s">
        <v>106</v>
      </c>
      <c r="B282" s="607"/>
      <c r="C282" s="608"/>
      <c r="D282" s="687">
        <f>D18</f>
        <v>0</v>
      </c>
      <c r="E282" s="687">
        <f t="shared" ref="E282:O282" si="437">E18</f>
        <v>0</v>
      </c>
      <c r="F282" s="687">
        <f t="shared" si="437"/>
        <v>0</v>
      </c>
      <c r="G282" s="687">
        <f t="shared" si="437"/>
        <v>0</v>
      </c>
      <c r="H282" s="687">
        <f t="shared" si="437"/>
        <v>0</v>
      </c>
      <c r="I282" s="687">
        <f t="shared" si="437"/>
        <v>0</v>
      </c>
      <c r="J282" s="687">
        <f t="shared" si="437"/>
        <v>0</v>
      </c>
      <c r="K282" s="687">
        <f t="shared" si="437"/>
        <v>0</v>
      </c>
      <c r="L282" s="687">
        <f t="shared" si="437"/>
        <v>0</v>
      </c>
      <c r="M282" s="687">
        <f t="shared" si="437"/>
        <v>0</v>
      </c>
      <c r="N282" s="687">
        <f t="shared" si="437"/>
        <v>0</v>
      </c>
      <c r="O282" s="687">
        <f t="shared" si="437"/>
        <v>0</v>
      </c>
      <c r="P282" s="609">
        <f t="shared" si="414"/>
        <v>0</v>
      </c>
      <c r="Q282" s="610" t="e">
        <f t="shared" ref="Q282:Q283" si="438">SUM(P282-C282)/C282</f>
        <v>#DIV/0!</v>
      </c>
    </row>
    <row r="283" spans="1:17" ht="25.5" customHeight="1" thickBot="1">
      <c r="A283" s="616" t="s">
        <v>105</v>
      </c>
      <c r="B283" s="617"/>
      <c r="C283" s="618"/>
      <c r="D283" s="688">
        <f>D19</f>
        <v>0</v>
      </c>
      <c r="E283" s="688">
        <f t="shared" ref="E283:O283" si="439">E19</f>
        <v>0</v>
      </c>
      <c r="F283" s="688">
        <f t="shared" si="439"/>
        <v>0</v>
      </c>
      <c r="G283" s="688">
        <f t="shared" si="439"/>
        <v>0</v>
      </c>
      <c r="H283" s="688">
        <f t="shared" si="439"/>
        <v>0</v>
      </c>
      <c r="I283" s="688">
        <f t="shared" si="439"/>
        <v>0</v>
      </c>
      <c r="J283" s="688">
        <f t="shared" si="439"/>
        <v>0</v>
      </c>
      <c r="K283" s="688">
        <f t="shared" si="439"/>
        <v>0</v>
      </c>
      <c r="L283" s="688">
        <f t="shared" si="439"/>
        <v>0</v>
      </c>
      <c r="M283" s="688">
        <f t="shared" si="439"/>
        <v>0</v>
      </c>
      <c r="N283" s="688">
        <f t="shared" si="439"/>
        <v>0</v>
      </c>
      <c r="O283" s="688">
        <f t="shared" si="439"/>
        <v>0</v>
      </c>
      <c r="P283" s="619">
        <f t="shared" si="414"/>
        <v>0</v>
      </c>
      <c r="Q283" s="620" t="e">
        <f t="shared" si="438"/>
        <v>#DIV/0!</v>
      </c>
    </row>
    <row r="284" spans="1:17" ht="25.5" customHeight="1" thickBot="1">
      <c r="B284" s="601"/>
      <c r="C284" s="621"/>
      <c r="D284" s="689"/>
      <c r="E284" s="689"/>
      <c r="F284" s="689"/>
      <c r="G284" s="689"/>
      <c r="H284" s="689"/>
      <c r="I284" s="689"/>
      <c r="J284" s="689"/>
      <c r="K284" s="689"/>
      <c r="L284" s="689"/>
      <c r="M284" s="689"/>
      <c r="N284" s="689"/>
      <c r="O284" s="689"/>
      <c r="P284" s="622"/>
      <c r="Q284" s="623"/>
    </row>
    <row r="285" spans="1:17" ht="25.5" customHeight="1" thickBot="1">
      <c r="A285" s="693" t="s">
        <v>86</v>
      </c>
      <c r="B285" s="694"/>
      <c r="C285" s="695"/>
      <c r="D285" s="697">
        <v>13.829000000000001</v>
      </c>
      <c r="E285" s="697">
        <v>13.829000000000001</v>
      </c>
      <c r="F285" s="697">
        <v>13.829000000000001</v>
      </c>
      <c r="G285" s="697">
        <f>$F$21*$R$2</f>
        <v>15.76506</v>
      </c>
      <c r="H285" s="697">
        <f t="shared" ref="H285:I285" si="440">$F$21*$R$2</f>
        <v>15.76506</v>
      </c>
      <c r="I285" s="697">
        <f t="shared" si="440"/>
        <v>15.76506</v>
      </c>
      <c r="J285" s="697">
        <f>$I$21*$S$2</f>
        <v>18.129818999999998</v>
      </c>
      <c r="K285" s="697">
        <f t="shared" ref="K285:L285" si="441">$I$21*$S$2</f>
        <v>18.129818999999998</v>
      </c>
      <c r="L285" s="697">
        <f t="shared" si="441"/>
        <v>18.129818999999998</v>
      </c>
      <c r="M285" s="697">
        <f>$L$21*$T$2</f>
        <v>21.030590039999996</v>
      </c>
      <c r="N285" s="697">
        <f t="shared" ref="N285:O285" si="442">$L$21*$T$2</f>
        <v>21.030590039999996</v>
      </c>
      <c r="O285" s="697">
        <f t="shared" si="442"/>
        <v>21.030590039999996</v>
      </c>
      <c r="P285" s="2269">
        <f t="shared" si="414"/>
        <v>17.188617259999997</v>
      </c>
      <c r="Q285" s="699" t="e">
        <f t="shared" ref="Q285" si="443">SUM(P285-C285)/C285</f>
        <v>#DIV/0!</v>
      </c>
    </row>
    <row r="286" spans="1:17" ht="25.5" customHeight="1" thickBot="1">
      <c r="A286" s="624"/>
      <c r="B286" s="625"/>
      <c r="C286" s="626"/>
      <c r="D286" s="690"/>
      <c r="E286" s="690"/>
      <c r="F286" s="690"/>
      <c r="G286" s="690"/>
      <c r="H286" s="690"/>
      <c r="I286" s="690"/>
      <c r="J286" s="690"/>
      <c r="K286" s="690"/>
      <c r="L286" s="690"/>
      <c r="M286" s="690"/>
      <c r="N286" s="690"/>
      <c r="O286" s="690"/>
      <c r="P286" s="626"/>
      <c r="Q286" s="627"/>
    </row>
    <row r="287" spans="1:17" ht="25.5" customHeight="1" thickBot="1">
      <c r="A287" s="693" t="s">
        <v>31</v>
      </c>
      <c r="B287" s="694"/>
      <c r="C287" s="695"/>
      <c r="D287" s="696"/>
      <c r="E287" s="697"/>
      <c r="F287" s="697"/>
      <c r="G287" s="697"/>
      <c r="H287" s="697"/>
      <c r="I287" s="697"/>
      <c r="J287" s="697"/>
      <c r="K287" s="697"/>
      <c r="L287" s="697"/>
      <c r="M287" s="697"/>
      <c r="N287" s="697"/>
      <c r="O287" s="698"/>
      <c r="P287" s="695"/>
      <c r="Q287" s="699"/>
    </row>
    <row r="288" spans="1:17">
      <c r="B288" s="601"/>
      <c r="C288" s="601"/>
      <c r="D288" s="601"/>
      <c r="E288" s="601"/>
      <c r="F288" s="601"/>
      <c r="G288" s="601"/>
      <c r="H288" s="601"/>
      <c r="I288" s="601"/>
      <c r="J288" s="601"/>
      <c r="K288" s="601"/>
      <c r="L288" s="601"/>
      <c r="M288" s="601"/>
      <c r="N288" s="601"/>
      <c r="O288" s="601"/>
      <c r="P288" s="601"/>
    </row>
    <row r="289" spans="1:20" ht="16.2" thickBot="1">
      <c r="B289" s="601"/>
      <c r="C289" s="601"/>
      <c r="D289" s="601">
        <f>+D297*1.025</f>
        <v>0</v>
      </c>
      <c r="E289" s="601"/>
      <c r="F289" s="601"/>
      <c r="G289" s="601"/>
      <c r="H289" s="601"/>
      <c r="I289" s="601"/>
      <c r="J289" s="601"/>
      <c r="K289" s="601"/>
      <c r="L289" s="601"/>
      <c r="M289" s="601"/>
      <c r="N289" s="601"/>
      <c r="O289" s="601"/>
      <c r="P289" s="601"/>
    </row>
    <row r="290" spans="1:20" ht="32.1" customHeight="1" thickBot="1">
      <c r="A290" s="649"/>
      <c r="B290" s="2390"/>
      <c r="C290" s="2392" t="s">
        <v>695</v>
      </c>
      <c r="D290" s="2394" t="s">
        <v>559</v>
      </c>
      <c r="E290" s="2395"/>
      <c r="F290" s="2395"/>
      <c r="G290" s="2395"/>
      <c r="H290" s="2395"/>
      <c r="I290" s="2395"/>
      <c r="J290" s="2395"/>
      <c r="K290" s="2395"/>
      <c r="L290" s="2395"/>
      <c r="M290" s="2395"/>
      <c r="N290" s="2395"/>
      <c r="O290" s="2395"/>
      <c r="P290" s="2396"/>
      <c r="Q290" s="937" t="s">
        <v>605</v>
      </c>
    </row>
    <row r="291" spans="1:20" ht="32.1" customHeight="1" thickBot="1">
      <c r="A291" s="650"/>
      <c r="B291" s="2391"/>
      <c r="C291" s="2393"/>
      <c r="D291" s="678" t="s">
        <v>1</v>
      </c>
      <c r="E291" s="679" t="s">
        <v>2</v>
      </c>
      <c r="F291" s="679" t="s">
        <v>3</v>
      </c>
      <c r="G291" s="679" t="s">
        <v>4</v>
      </c>
      <c r="H291" s="679" t="s">
        <v>5</v>
      </c>
      <c r="I291" s="679" t="s">
        <v>6</v>
      </c>
      <c r="J291" s="679" t="s">
        <v>7</v>
      </c>
      <c r="K291" s="679" t="s">
        <v>8</v>
      </c>
      <c r="L291" s="679" t="s">
        <v>9</v>
      </c>
      <c r="M291" s="679" t="s">
        <v>10</v>
      </c>
      <c r="N291" s="679" t="s">
        <v>11</v>
      </c>
      <c r="O291" s="680" t="s">
        <v>12</v>
      </c>
      <c r="P291" s="651" t="s">
        <v>281</v>
      </c>
      <c r="Q291" s="941" t="s">
        <v>693</v>
      </c>
      <c r="R291" s="913" t="s">
        <v>509</v>
      </c>
      <c r="S291" s="913" t="s">
        <v>150</v>
      </c>
      <c r="T291" s="913" t="s">
        <v>151</v>
      </c>
    </row>
    <row r="292" spans="1:20" ht="25.5" customHeight="1" thickBot="1">
      <c r="A292" s="693" t="s">
        <v>28</v>
      </c>
      <c r="B292" s="694"/>
      <c r="C292" s="695"/>
      <c r="D292" s="696"/>
      <c r="E292" s="697"/>
      <c r="F292" s="697"/>
      <c r="G292" s="697"/>
      <c r="H292" s="697"/>
      <c r="I292" s="697"/>
      <c r="J292" s="697"/>
      <c r="K292" s="697"/>
      <c r="L292" s="697"/>
      <c r="M292" s="697"/>
      <c r="N292" s="697"/>
      <c r="O292" s="698"/>
      <c r="P292" s="695"/>
      <c r="Q292" s="699"/>
      <c r="R292" s="1795" t="s">
        <v>103</v>
      </c>
      <c r="S292" s="914"/>
      <c r="T292" s="914" t="s">
        <v>320</v>
      </c>
    </row>
    <row r="293" spans="1:20" ht="25.5" customHeight="1">
      <c r="A293" s="654" t="s">
        <v>15</v>
      </c>
      <c r="B293" s="655"/>
      <c r="C293" s="656"/>
      <c r="D293" s="657"/>
      <c r="E293" s="657"/>
      <c r="F293" s="657"/>
      <c r="G293" s="657">
        <f>+F293*$R$2</f>
        <v>0</v>
      </c>
      <c r="H293" s="657">
        <f t="shared" ref="H293:H294" si="444">+F293*$R$2</f>
        <v>0</v>
      </c>
      <c r="I293" s="657">
        <f t="shared" ref="I293:I294" si="445">+F293*$R$2</f>
        <v>0</v>
      </c>
      <c r="J293" s="657">
        <f t="shared" ref="J293:J300" si="446">+I293*$S$2</f>
        <v>0</v>
      </c>
      <c r="K293" s="657">
        <f t="shared" ref="K293:K294" si="447">+I293*$S$2</f>
        <v>0</v>
      </c>
      <c r="L293" s="657">
        <f t="shared" ref="L293:L294" si="448">+I293*$S$2</f>
        <v>0</v>
      </c>
      <c r="M293" s="657">
        <f t="shared" ref="M293:M300" si="449">+L293*$T$2</f>
        <v>0</v>
      </c>
      <c r="N293" s="657">
        <f t="shared" ref="N293:N294" si="450">+L293*$T$2</f>
        <v>0</v>
      </c>
      <c r="O293" s="657">
        <f t="shared" ref="O293:O294" si="451">+L293*$T$2</f>
        <v>0</v>
      </c>
      <c r="P293" s="658">
        <f t="shared" ref="P293:P309" si="452">AVERAGE(D293:O293)</f>
        <v>0</v>
      </c>
      <c r="Q293" s="659" t="e">
        <f t="shared" ref="Q293" si="453">SUM(P293-C293)/C293</f>
        <v>#DIV/0!</v>
      </c>
    </row>
    <row r="294" spans="1:20" ht="25.5" customHeight="1">
      <c r="A294" s="660" t="s">
        <v>16</v>
      </c>
      <c r="B294" s="661"/>
      <c r="C294" s="662"/>
      <c r="D294" s="663"/>
      <c r="E294" s="663"/>
      <c r="F294" s="663"/>
      <c r="G294" s="663">
        <f>+F294*$R$2</f>
        <v>0</v>
      </c>
      <c r="H294" s="663">
        <f t="shared" si="444"/>
        <v>0</v>
      </c>
      <c r="I294" s="663">
        <f t="shared" si="445"/>
        <v>0</v>
      </c>
      <c r="J294" s="663">
        <f t="shared" si="446"/>
        <v>0</v>
      </c>
      <c r="K294" s="663">
        <f t="shared" si="447"/>
        <v>0</v>
      </c>
      <c r="L294" s="663">
        <f t="shared" si="448"/>
        <v>0</v>
      </c>
      <c r="M294" s="663">
        <f t="shared" si="449"/>
        <v>0</v>
      </c>
      <c r="N294" s="663">
        <f t="shared" si="450"/>
        <v>0</v>
      </c>
      <c r="O294" s="663">
        <f t="shared" si="451"/>
        <v>0</v>
      </c>
      <c r="P294" s="604">
        <f t="shared" ref="P294" si="454">AVERAGE(D294:O294)</f>
        <v>0</v>
      </c>
      <c r="Q294" s="600" t="e">
        <f t="shared" ref="Q294" si="455">SUM(P294-C294)/C294</f>
        <v>#DIV/0!</v>
      </c>
    </row>
    <row r="295" spans="1:20" ht="25.5" customHeight="1">
      <c r="A295" s="701" t="s">
        <v>27</v>
      </c>
      <c r="B295" s="702"/>
      <c r="C295" s="703"/>
      <c r="D295" s="704"/>
      <c r="E295" s="704"/>
      <c r="F295" s="704"/>
      <c r="G295" s="704"/>
      <c r="H295" s="704"/>
      <c r="I295" s="704"/>
      <c r="J295" s="704"/>
      <c r="K295" s="704"/>
      <c r="L295" s="704"/>
      <c r="M295" s="704"/>
      <c r="N295" s="704"/>
      <c r="O295" s="704"/>
      <c r="P295" s="707"/>
      <c r="Q295" s="708"/>
    </row>
    <row r="296" spans="1:20" ht="25.5" customHeight="1">
      <c r="A296" s="710" t="s">
        <v>17</v>
      </c>
      <c r="B296" s="711"/>
      <c r="C296" s="712"/>
      <c r="D296" s="713"/>
      <c r="E296" s="713"/>
      <c r="F296" s="713"/>
      <c r="G296" s="713">
        <f t="shared" ref="G296:G300" si="456">+F296*$R$2</f>
        <v>0</v>
      </c>
      <c r="H296" s="713">
        <f t="shared" ref="H296:H300" si="457">+F296*$R$2</f>
        <v>0</v>
      </c>
      <c r="I296" s="713">
        <f t="shared" ref="I296:I300" si="458">+F296*$R$2</f>
        <v>0</v>
      </c>
      <c r="J296" s="713">
        <f t="shared" si="446"/>
        <v>0</v>
      </c>
      <c r="K296" s="713">
        <f t="shared" ref="K296:K300" si="459">+I296*$S$2</f>
        <v>0</v>
      </c>
      <c r="L296" s="713">
        <f t="shared" ref="L296:L300" si="460">+I296*$S$2</f>
        <v>0</v>
      </c>
      <c r="M296" s="713">
        <f t="shared" si="449"/>
        <v>0</v>
      </c>
      <c r="N296" s="713">
        <f t="shared" ref="N296:N300" si="461">+L296*$T$2</f>
        <v>0</v>
      </c>
      <c r="O296" s="713">
        <f t="shared" ref="O296:O300" si="462">+L296*$T$2</f>
        <v>0</v>
      </c>
      <c r="P296" s="716">
        <f>AVERAGE(D296:O296)</f>
        <v>0</v>
      </c>
      <c r="Q296" s="717"/>
    </row>
    <row r="297" spans="1:20" ht="25.5" customHeight="1">
      <c r="A297" s="670" t="s">
        <v>81</v>
      </c>
      <c r="B297" s="602"/>
      <c r="C297" s="656"/>
      <c r="D297" s="671"/>
      <c r="E297" s="671"/>
      <c r="F297" s="671"/>
      <c r="G297" s="657">
        <v>20.484193078018745</v>
      </c>
      <c r="H297" s="657">
        <v>20.859365293877371</v>
      </c>
      <c r="I297" s="657">
        <v>21.717449379567885</v>
      </c>
      <c r="J297" s="657">
        <v>22.677904810291913</v>
      </c>
      <c r="K297" s="657">
        <v>23.205150194018518</v>
      </c>
      <c r="L297" s="657">
        <v>23.027045912009168</v>
      </c>
      <c r="M297" s="657">
        <v>23.692937343234373</v>
      </c>
      <c r="N297" s="657">
        <v>22.99839729760826</v>
      </c>
      <c r="O297" s="657">
        <v>23.491706166247948</v>
      </c>
      <c r="P297" s="605">
        <f t="shared" si="452"/>
        <v>22.461572163874909</v>
      </c>
      <c r="Q297" s="606" t="e">
        <f t="shared" ref="Q297" si="463">SUM(P297-C297)/C297</f>
        <v>#DIV/0!</v>
      </c>
    </row>
    <row r="298" spans="1:20" ht="25.5" customHeight="1">
      <c r="A298" s="672" t="s">
        <v>82</v>
      </c>
      <c r="B298" s="603"/>
      <c r="C298" s="662"/>
      <c r="D298" s="667"/>
      <c r="E298" s="667"/>
      <c r="F298" s="667"/>
      <c r="G298" s="667">
        <f t="shared" si="456"/>
        <v>0</v>
      </c>
      <c r="H298" s="667">
        <f t="shared" si="457"/>
        <v>0</v>
      </c>
      <c r="I298" s="667">
        <f t="shared" si="458"/>
        <v>0</v>
      </c>
      <c r="J298" s="667">
        <f t="shared" si="446"/>
        <v>0</v>
      </c>
      <c r="K298" s="667">
        <f t="shared" si="459"/>
        <v>0</v>
      </c>
      <c r="L298" s="667">
        <f t="shared" si="460"/>
        <v>0</v>
      </c>
      <c r="M298" s="667">
        <f t="shared" si="449"/>
        <v>0</v>
      </c>
      <c r="N298" s="667">
        <f t="shared" si="461"/>
        <v>0</v>
      </c>
      <c r="O298" s="667">
        <f t="shared" si="462"/>
        <v>0</v>
      </c>
      <c r="P298" s="604"/>
      <c r="Q298" s="600"/>
    </row>
    <row r="299" spans="1:20" ht="25.5" customHeight="1">
      <c r="A299" s="670" t="s">
        <v>83</v>
      </c>
      <c r="B299" s="673"/>
      <c r="C299" s="656"/>
      <c r="D299" s="674">
        <f>+D297</f>
        <v>0</v>
      </c>
      <c r="E299" s="674">
        <f t="shared" ref="E299:F299" si="464">+E297</f>
        <v>0</v>
      </c>
      <c r="F299" s="674">
        <f t="shared" si="464"/>
        <v>0</v>
      </c>
      <c r="G299" s="674">
        <f t="shared" si="456"/>
        <v>0</v>
      </c>
      <c r="H299" s="674">
        <f t="shared" si="457"/>
        <v>0</v>
      </c>
      <c r="I299" s="674">
        <f t="shared" si="458"/>
        <v>0</v>
      </c>
      <c r="J299" s="674">
        <f t="shared" si="446"/>
        <v>0</v>
      </c>
      <c r="K299" s="674">
        <f t="shared" si="459"/>
        <v>0</v>
      </c>
      <c r="L299" s="674">
        <f t="shared" si="460"/>
        <v>0</v>
      </c>
      <c r="M299" s="674">
        <f t="shared" si="449"/>
        <v>0</v>
      </c>
      <c r="N299" s="674">
        <f t="shared" si="461"/>
        <v>0</v>
      </c>
      <c r="O299" s="674">
        <f t="shared" si="462"/>
        <v>0</v>
      </c>
      <c r="P299" s="605">
        <f t="shared" si="452"/>
        <v>0</v>
      </c>
      <c r="Q299" s="606" t="e">
        <f t="shared" ref="Q299" si="465">SUM(P299-C299)/C299</f>
        <v>#DIV/0!</v>
      </c>
    </row>
    <row r="300" spans="1:20" ht="25.5" customHeight="1">
      <c r="A300" s="672" t="s">
        <v>84</v>
      </c>
      <c r="B300" s="661"/>
      <c r="C300" s="675"/>
      <c r="D300" s="676"/>
      <c r="E300" s="665"/>
      <c r="F300" s="665"/>
      <c r="G300" s="665">
        <f t="shared" si="456"/>
        <v>0</v>
      </c>
      <c r="H300" s="665">
        <f t="shared" si="457"/>
        <v>0</v>
      </c>
      <c r="I300" s="677">
        <f t="shared" si="458"/>
        <v>0</v>
      </c>
      <c r="J300" s="677">
        <f t="shared" si="446"/>
        <v>0</v>
      </c>
      <c r="K300" s="665">
        <f t="shared" si="459"/>
        <v>0</v>
      </c>
      <c r="L300" s="665">
        <f t="shared" si="460"/>
        <v>0</v>
      </c>
      <c r="M300" s="665">
        <f t="shared" si="449"/>
        <v>0</v>
      </c>
      <c r="N300" s="665">
        <f t="shared" si="461"/>
        <v>0</v>
      </c>
      <c r="O300" s="666">
        <f t="shared" si="462"/>
        <v>0</v>
      </c>
      <c r="P300" s="604"/>
      <c r="Q300" s="600"/>
    </row>
    <row r="301" spans="1:20" ht="25.5" customHeight="1" thickBot="1">
      <c r="A301" s="718" t="s">
        <v>18</v>
      </c>
      <c r="B301" s="719"/>
      <c r="C301" s="720"/>
      <c r="D301" s="721"/>
      <c r="E301" s="722"/>
      <c r="F301" s="722"/>
      <c r="G301" s="722"/>
      <c r="H301" s="722"/>
      <c r="I301" s="722"/>
      <c r="J301" s="722"/>
      <c r="K301" s="722"/>
      <c r="L301" s="722"/>
      <c r="M301" s="722"/>
      <c r="N301" s="722"/>
      <c r="O301" s="723"/>
      <c r="P301" s="720"/>
      <c r="Q301" s="724"/>
    </row>
    <row r="302" spans="1:20" ht="25.5" customHeight="1" thickBot="1">
      <c r="A302" s="693" t="s">
        <v>29</v>
      </c>
      <c r="B302" s="725"/>
      <c r="C302" s="726"/>
      <c r="D302" s="727"/>
      <c r="E302" s="728"/>
      <c r="F302" s="728"/>
      <c r="G302" s="728"/>
      <c r="H302" s="728"/>
      <c r="I302" s="728"/>
      <c r="J302" s="728"/>
      <c r="K302" s="728"/>
      <c r="L302" s="728"/>
      <c r="M302" s="728"/>
      <c r="N302" s="728"/>
      <c r="O302" s="729"/>
      <c r="P302" s="726"/>
      <c r="Q302" s="730"/>
    </row>
    <row r="303" spans="1:20" ht="25.5" customHeight="1">
      <c r="A303" s="615" t="s">
        <v>19</v>
      </c>
      <c r="B303" s="607"/>
      <c r="C303" s="608"/>
      <c r="D303" s="681"/>
      <c r="E303" s="681"/>
      <c r="F303" s="681"/>
      <c r="G303" s="683">
        <f>+F303*$R$2</f>
        <v>0</v>
      </c>
      <c r="H303" s="683">
        <f t="shared" ref="H303:H304" si="466">+F303*$R$2</f>
        <v>0</v>
      </c>
      <c r="I303" s="683">
        <f t="shared" ref="I303:I304" si="467">+F303*$R$2</f>
        <v>0</v>
      </c>
      <c r="J303" s="683">
        <f t="shared" ref="J303:J304" si="468">+I303*$S$2</f>
        <v>0</v>
      </c>
      <c r="K303" s="683">
        <f t="shared" ref="K303:K304" si="469">+I303*$S$2</f>
        <v>0</v>
      </c>
      <c r="L303" s="683">
        <f t="shared" ref="L303:L304" si="470">+I303*$S$2</f>
        <v>0</v>
      </c>
      <c r="M303" s="683">
        <f t="shared" ref="M303:M304" si="471">+L303*$T$2</f>
        <v>0</v>
      </c>
      <c r="N303" s="683">
        <f t="shared" ref="N303:N304" si="472">+L303*$T$2</f>
        <v>0</v>
      </c>
      <c r="O303" s="684">
        <f t="shared" ref="O303:O304" si="473">+L303*$T$2</f>
        <v>0</v>
      </c>
      <c r="P303" s="609">
        <f t="shared" si="452"/>
        <v>0</v>
      </c>
      <c r="Q303" s="610" t="e">
        <f t="shared" ref="Q303:Q304" si="474">SUM(P303-C303)/C303</f>
        <v>#DIV/0!</v>
      </c>
    </row>
    <row r="304" spans="1:20" ht="25.5" customHeight="1" thickBot="1">
      <c r="A304" s="616" t="s">
        <v>20</v>
      </c>
      <c r="B304" s="611"/>
      <c r="C304" s="612"/>
      <c r="D304" s="685"/>
      <c r="E304" s="685"/>
      <c r="F304" s="685"/>
      <c r="G304" s="686">
        <f t="shared" ref="G304" si="475">+F304*$R$2</f>
        <v>0</v>
      </c>
      <c r="H304" s="686">
        <f t="shared" si="466"/>
        <v>0</v>
      </c>
      <c r="I304" s="686">
        <f t="shared" si="467"/>
        <v>0</v>
      </c>
      <c r="J304" s="686">
        <f t="shared" si="468"/>
        <v>0</v>
      </c>
      <c r="K304" s="686">
        <f t="shared" si="469"/>
        <v>0</v>
      </c>
      <c r="L304" s="686">
        <f t="shared" si="470"/>
        <v>0</v>
      </c>
      <c r="M304" s="686">
        <f t="shared" si="471"/>
        <v>0</v>
      </c>
      <c r="N304" s="686">
        <f t="shared" si="472"/>
        <v>0</v>
      </c>
      <c r="O304" s="686">
        <f t="shared" si="473"/>
        <v>0</v>
      </c>
      <c r="P304" s="613">
        <f t="shared" si="452"/>
        <v>0</v>
      </c>
      <c r="Q304" s="614" t="e">
        <f t="shared" si="474"/>
        <v>#DIV/0!</v>
      </c>
    </row>
    <row r="305" spans="1:20" ht="25.5" customHeight="1" thickBot="1">
      <c r="A305" s="693" t="s">
        <v>30</v>
      </c>
      <c r="B305" s="694"/>
      <c r="C305" s="726"/>
      <c r="D305" s="727"/>
      <c r="E305" s="728"/>
      <c r="F305" s="728"/>
      <c r="G305" s="728"/>
      <c r="H305" s="728"/>
      <c r="I305" s="728"/>
      <c r="J305" s="728"/>
      <c r="K305" s="728"/>
      <c r="L305" s="728"/>
      <c r="M305" s="728"/>
      <c r="N305" s="728"/>
      <c r="O305" s="729"/>
      <c r="P305" s="726"/>
      <c r="Q305" s="730"/>
    </row>
    <row r="306" spans="1:20" ht="25.5" customHeight="1">
      <c r="A306" s="615" t="s">
        <v>106</v>
      </c>
      <c r="B306" s="607"/>
      <c r="C306" s="608"/>
      <c r="D306" s="687">
        <f>D18</f>
        <v>0</v>
      </c>
      <c r="E306" s="687">
        <f t="shared" ref="E306:O306" si="476">E18</f>
        <v>0</v>
      </c>
      <c r="F306" s="687">
        <f t="shared" si="476"/>
        <v>0</v>
      </c>
      <c r="G306" s="687">
        <f t="shared" si="476"/>
        <v>0</v>
      </c>
      <c r="H306" s="687">
        <f t="shared" si="476"/>
        <v>0</v>
      </c>
      <c r="I306" s="687">
        <f t="shared" si="476"/>
        <v>0</v>
      </c>
      <c r="J306" s="687">
        <f t="shared" si="476"/>
        <v>0</v>
      </c>
      <c r="K306" s="687">
        <f t="shared" si="476"/>
        <v>0</v>
      </c>
      <c r="L306" s="687">
        <f t="shared" si="476"/>
        <v>0</v>
      </c>
      <c r="M306" s="687">
        <f t="shared" si="476"/>
        <v>0</v>
      </c>
      <c r="N306" s="687">
        <f t="shared" si="476"/>
        <v>0</v>
      </c>
      <c r="O306" s="687">
        <f t="shared" si="476"/>
        <v>0</v>
      </c>
      <c r="P306" s="609">
        <f t="shared" si="452"/>
        <v>0</v>
      </c>
      <c r="Q306" s="610" t="e">
        <f t="shared" ref="Q306:Q307" si="477">SUM(P306-C306)/C306</f>
        <v>#DIV/0!</v>
      </c>
    </row>
    <row r="307" spans="1:20" ht="25.5" customHeight="1" thickBot="1">
      <c r="A307" s="616" t="s">
        <v>105</v>
      </c>
      <c r="B307" s="617"/>
      <c r="C307" s="618"/>
      <c r="D307" s="688">
        <f>D19</f>
        <v>0</v>
      </c>
      <c r="E307" s="688">
        <f t="shared" ref="E307:O307" si="478">E19</f>
        <v>0</v>
      </c>
      <c r="F307" s="688">
        <f t="shared" si="478"/>
        <v>0</v>
      </c>
      <c r="G307" s="688">
        <f t="shared" si="478"/>
        <v>0</v>
      </c>
      <c r="H307" s="688">
        <f t="shared" si="478"/>
        <v>0</v>
      </c>
      <c r="I307" s="688">
        <f t="shared" si="478"/>
        <v>0</v>
      </c>
      <c r="J307" s="688">
        <f t="shared" si="478"/>
        <v>0</v>
      </c>
      <c r="K307" s="688">
        <f t="shared" si="478"/>
        <v>0</v>
      </c>
      <c r="L307" s="688">
        <f t="shared" si="478"/>
        <v>0</v>
      </c>
      <c r="M307" s="688">
        <f t="shared" si="478"/>
        <v>0</v>
      </c>
      <c r="N307" s="688">
        <f t="shared" si="478"/>
        <v>0</v>
      </c>
      <c r="O307" s="688">
        <f t="shared" si="478"/>
        <v>0</v>
      </c>
      <c r="P307" s="619">
        <f t="shared" si="452"/>
        <v>0</v>
      </c>
      <c r="Q307" s="620" t="e">
        <f t="shared" si="477"/>
        <v>#DIV/0!</v>
      </c>
    </row>
    <row r="308" spans="1:20" ht="25.5" customHeight="1" thickBot="1">
      <c r="B308" s="601"/>
      <c r="C308" s="621"/>
      <c r="D308" s="689"/>
      <c r="E308" s="689"/>
      <c r="F308" s="689"/>
      <c r="G308" s="689"/>
      <c r="H308" s="689"/>
      <c r="I308" s="689"/>
      <c r="J308" s="689"/>
      <c r="K308" s="689"/>
      <c r="L308" s="689"/>
      <c r="M308" s="689"/>
      <c r="N308" s="689"/>
      <c r="O308" s="689"/>
      <c r="P308" s="622"/>
      <c r="Q308" s="623"/>
    </row>
    <row r="309" spans="1:20" ht="25.5" customHeight="1" thickBot="1">
      <c r="A309" s="693" t="s">
        <v>86</v>
      </c>
      <c r="B309" s="694"/>
      <c r="C309" s="695"/>
      <c r="D309" s="697">
        <v>13.829000000000001</v>
      </c>
      <c r="E309" s="697">
        <v>13.829000000000001</v>
      </c>
      <c r="F309" s="697">
        <v>13.829000000000001</v>
      </c>
      <c r="G309" s="697">
        <f>$F$21*$R$2</f>
        <v>15.76506</v>
      </c>
      <c r="H309" s="697">
        <f t="shared" ref="H309:I309" si="479">$F$21*$R$2</f>
        <v>15.76506</v>
      </c>
      <c r="I309" s="697">
        <f t="shared" si="479"/>
        <v>15.76506</v>
      </c>
      <c r="J309" s="697">
        <f>$I$21*$S$2</f>
        <v>18.129818999999998</v>
      </c>
      <c r="K309" s="697">
        <f t="shared" ref="K309:L309" si="480">$I$21*$S$2</f>
        <v>18.129818999999998</v>
      </c>
      <c r="L309" s="697">
        <f t="shared" si="480"/>
        <v>18.129818999999998</v>
      </c>
      <c r="M309" s="697">
        <f>$L$21*$T$2</f>
        <v>21.030590039999996</v>
      </c>
      <c r="N309" s="697">
        <f t="shared" ref="N309:O309" si="481">$L$21*$T$2</f>
        <v>21.030590039999996</v>
      </c>
      <c r="O309" s="697">
        <f t="shared" si="481"/>
        <v>21.030590039999996</v>
      </c>
      <c r="P309" s="2269">
        <f t="shared" si="452"/>
        <v>17.188617259999997</v>
      </c>
      <c r="Q309" s="699"/>
    </row>
    <row r="310" spans="1:20" ht="25.5" customHeight="1" thickBot="1">
      <c r="A310" s="624"/>
      <c r="B310" s="625"/>
      <c r="C310" s="626"/>
      <c r="D310" s="690"/>
      <c r="E310" s="690"/>
      <c r="F310" s="690"/>
      <c r="G310" s="690"/>
      <c r="H310" s="690"/>
      <c r="I310" s="690"/>
      <c r="J310" s="690"/>
      <c r="K310" s="690"/>
      <c r="L310" s="690"/>
      <c r="M310" s="690"/>
      <c r="N310" s="690"/>
      <c r="O310" s="690"/>
      <c r="P310" s="626"/>
      <c r="Q310" s="627"/>
    </row>
    <row r="311" spans="1:20" ht="25.5" customHeight="1" thickBot="1">
      <c r="A311" s="693" t="s">
        <v>31</v>
      </c>
      <c r="B311" s="694"/>
      <c r="C311" s="695"/>
      <c r="D311" s="696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  <c r="P311" s="695"/>
      <c r="Q311" s="699"/>
    </row>
    <row r="312" spans="1:20">
      <c r="B312" s="601"/>
      <c r="C312" s="601"/>
      <c r="D312" s="601"/>
      <c r="E312" s="601"/>
      <c r="F312" s="601"/>
      <c r="G312" s="601"/>
      <c r="H312" s="601"/>
      <c r="I312" s="601"/>
      <c r="J312" s="601"/>
      <c r="K312" s="601"/>
      <c r="L312" s="601"/>
      <c r="M312" s="601"/>
      <c r="N312" s="601"/>
      <c r="O312" s="601"/>
      <c r="P312" s="601"/>
    </row>
    <row r="313" spans="1:20" ht="16.2" thickBot="1">
      <c r="B313" s="601"/>
      <c r="C313" s="601"/>
      <c r="D313" s="601"/>
      <c r="E313" s="601"/>
      <c r="F313" s="601"/>
      <c r="G313" s="601"/>
      <c r="H313" s="601"/>
      <c r="I313" s="601"/>
      <c r="J313" s="601"/>
      <c r="K313" s="601"/>
      <c r="L313" s="601"/>
      <c r="M313" s="601"/>
      <c r="N313" s="601"/>
      <c r="O313" s="601"/>
      <c r="P313" s="601"/>
    </row>
    <row r="314" spans="1:20" ht="32.1" customHeight="1" thickBot="1">
      <c r="A314" s="649"/>
      <c r="B314" s="2392"/>
      <c r="C314" s="2392" t="s">
        <v>695</v>
      </c>
      <c r="D314" s="2394" t="s">
        <v>100</v>
      </c>
      <c r="E314" s="2395"/>
      <c r="F314" s="2395"/>
      <c r="G314" s="2395"/>
      <c r="H314" s="2395"/>
      <c r="I314" s="2395"/>
      <c r="J314" s="2395"/>
      <c r="K314" s="2395"/>
      <c r="L314" s="2395"/>
      <c r="M314" s="2395"/>
      <c r="N314" s="2395"/>
      <c r="O314" s="2395"/>
      <c r="P314" s="2396"/>
      <c r="Q314" s="937" t="s">
        <v>605</v>
      </c>
    </row>
    <row r="315" spans="1:20" ht="32.1" customHeight="1" thickBot="1">
      <c r="A315" s="650"/>
      <c r="B315" s="2393"/>
      <c r="C315" s="2393"/>
      <c r="D315" s="678" t="s">
        <v>1</v>
      </c>
      <c r="E315" s="679" t="s">
        <v>2</v>
      </c>
      <c r="F315" s="679" t="s">
        <v>3</v>
      </c>
      <c r="G315" s="679" t="s">
        <v>4</v>
      </c>
      <c r="H315" s="679" t="s">
        <v>5</v>
      </c>
      <c r="I315" s="679" t="s">
        <v>6</v>
      </c>
      <c r="J315" s="679" t="s">
        <v>7</v>
      </c>
      <c r="K315" s="679" t="s">
        <v>8</v>
      </c>
      <c r="L315" s="679" t="s">
        <v>9</v>
      </c>
      <c r="M315" s="679" t="s">
        <v>10</v>
      </c>
      <c r="N315" s="679" t="s">
        <v>11</v>
      </c>
      <c r="O315" s="680" t="s">
        <v>12</v>
      </c>
      <c r="P315" s="651" t="s">
        <v>281</v>
      </c>
      <c r="Q315" s="941" t="s">
        <v>693</v>
      </c>
      <c r="R315" s="913" t="s">
        <v>509</v>
      </c>
      <c r="S315" s="913" t="s">
        <v>150</v>
      </c>
      <c r="T315" s="913" t="s">
        <v>151</v>
      </c>
    </row>
    <row r="316" spans="1:20" ht="25.5" customHeight="1" thickBot="1">
      <c r="A316" s="693" t="s">
        <v>28</v>
      </c>
      <c r="B316" s="694"/>
      <c r="C316" s="695"/>
      <c r="D316" s="696"/>
      <c r="E316" s="697"/>
      <c r="F316" s="697"/>
      <c r="G316" s="697"/>
      <c r="H316" s="697"/>
      <c r="I316" s="697"/>
      <c r="J316" s="697"/>
      <c r="K316" s="697"/>
      <c r="L316" s="697"/>
      <c r="M316" s="697"/>
      <c r="N316" s="697"/>
      <c r="O316" s="698"/>
      <c r="P316" s="695"/>
      <c r="Q316" s="699"/>
      <c r="R316" s="914" t="s">
        <v>487</v>
      </c>
      <c r="S316" s="914"/>
      <c r="T316" s="914" t="s">
        <v>320</v>
      </c>
    </row>
    <row r="317" spans="1:20" ht="25.5" customHeight="1">
      <c r="A317" s="654" t="s">
        <v>15</v>
      </c>
      <c r="B317" s="655"/>
      <c r="C317" s="656"/>
      <c r="D317" s="657"/>
      <c r="E317" s="657"/>
      <c r="F317" s="657"/>
      <c r="G317" s="657">
        <f>+F317*$R$2</f>
        <v>0</v>
      </c>
      <c r="H317" s="657">
        <f t="shared" ref="H317:H318" si="482">+F317*$R$2</f>
        <v>0</v>
      </c>
      <c r="I317" s="657">
        <f t="shared" ref="I317:I318" si="483">+F317*$R$2</f>
        <v>0</v>
      </c>
      <c r="J317" s="657">
        <f t="shared" ref="J317:J324" si="484">+I317*$S$2</f>
        <v>0</v>
      </c>
      <c r="K317" s="657">
        <f t="shared" ref="K317:K318" si="485">+I317*$S$2</f>
        <v>0</v>
      </c>
      <c r="L317" s="657">
        <f t="shared" ref="L317:L318" si="486">+I317*$S$2</f>
        <v>0</v>
      </c>
      <c r="M317" s="657">
        <f t="shared" ref="M317:M324" si="487">+L317*$T$2</f>
        <v>0</v>
      </c>
      <c r="N317" s="657">
        <f t="shared" ref="N317:N318" si="488">+L317*$T$2</f>
        <v>0</v>
      </c>
      <c r="O317" s="657">
        <f t="shared" ref="O317:O318" si="489">+L317*$T$2</f>
        <v>0</v>
      </c>
      <c r="P317" s="658">
        <f t="shared" ref="P317:P333" si="490">AVERAGE(D317:O317)</f>
        <v>0</v>
      </c>
      <c r="Q317" s="659" t="e">
        <f t="shared" ref="Q317" si="491">SUM(P317-C317)/C317</f>
        <v>#DIV/0!</v>
      </c>
    </row>
    <row r="318" spans="1:20" ht="25.5" customHeight="1">
      <c r="A318" s="660" t="s">
        <v>16</v>
      </c>
      <c r="B318" s="661"/>
      <c r="C318" s="662"/>
      <c r="D318" s="663"/>
      <c r="E318" s="663"/>
      <c r="F318" s="663"/>
      <c r="G318" s="663">
        <f>+F318*$R$2</f>
        <v>0</v>
      </c>
      <c r="H318" s="663">
        <f t="shared" si="482"/>
        <v>0</v>
      </c>
      <c r="I318" s="663">
        <f t="shared" si="483"/>
        <v>0</v>
      </c>
      <c r="J318" s="663">
        <f t="shared" si="484"/>
        <v>0</v>
      </c>
      <c r="K318" s="663">
        <f t="shared" si="485"/>
        <v>0</v>
      </c>
      <c r="L318" s="663">
        <f t="shared" si="486"/>
        <v>0</v>
      </c>
      <c r="M318" s="663">
        <f t="shared" si="487"/>
        <v>0</v>
      </c>
      <c r="N318" s="663">
        <f t="shared" si="488"/>
        <v>0</v>
      </c>
      <c r="O318" s="663">
        <f t="shared" si="489"/>
        <v>0</v>
      </c>
      <c r="P318" s="604">
        <f t="shared" ref="P318" si="492">AVERAGE(D318:O318)</f>
        <v>0</v>
      </c>
      <c r="Q318" s="600" t="e">
        <f t="shared" ref="Q318" si="493">SUM(P318-C318)/C318</f>
        <v>#DIV/0!</v>
      </c>
    </row>
    <row r="319" spans="1:20" ht="25.5" customHeight="1">
      <c r="A319" s="701" t="s">
        <v>27</v>
      </c>
      <c r="B319" s="702"/>
      <c r="C319" s="703"/>
      <c r="D319" s="704"/>
      <c r="E319" s="704"/>
      <c r="F319" s="704"/>
      <c r="G319" s="704"/>
      <c r="H319" s="704"/>
      <c r="I319" s="704"/>
      <c r="J319" s="704"/>
      <c r="K319" s="704"/>
      <c r="L319" s="704"/>
      <c r="M319" s="704"/>
      <c r="N319" s="704"/>
      <c r="O319" s="704"/>
      <c r="P319" s="707"/>
      <c r="Q319" s="708"/>
    </row>
    <row r="320" spans="1:20" ht="25.5" customHeight="1">
      <c r="A320" s="710" t="s">
        <v>17</v>
      </c>
      <c r="B320" s="711"/>
      <c r="C320" s="712"/>
      <c r="D320" s="713"/>
      <c r="E320" s="713"/>
      <c r="F320" s="713"/>
      <c r="G320" s="713">
        <f t="shared" ref="G320:G324" si="494">+F320*$R$2</f>
        <v>0</v>
      </c>
      <c r="H320" s="713">
        <f t="shared" ref="H320:H324" si="495">+F320*$R$2</f>
        <v>0</v>
      </c>
      <c r="I320" s="713">
        <f t="shared" ref="I320:I324" si="496">+F320*$R$2</f>
        <v>0</v>
      </c>
      <c r="J320" s="713">
        <f t="shared" si="484"/>
        <v>0</v>
      </c>
      <c r="K320" s="713">
        <f t="shared" ref="K320:K324" si="497">+I320*$S$2</f>
        <v>0</v>
      </c>
      <c r="L320" s="713">
        <f t="shared" ref="L320:L324" si="498">+I320*$S$2</f>
        <v>0</v>
      </c>
      <c r="M320" s="713">
        <f t="shared" si="487"/>
        <v>0</v>
      </c>
      <c r="N320" s="713">
        <f t="shared" ref="N320:N324" si="499">+L320*$T$2</f>
        <v>0</v>
      </c>
      <c r="O320" s="713">
        <f t="shared" ref="O320:O324" si="500">+L320*$T$2</f>
        <v>0</v>
      </c>
      <c r="P320" s="604">
        <f t="shared" si="490"/>
        <v>0</v>
      </c>
      <c r="Q320" s="717"/>
    </row>
    <row r="321" spans="1:17" ht="25.5" customHeight="1">
      <c r="A321" s="670" t="s">
        <v>81</v>
      </c>
      <c r="B321" s="602"/>
      <c r="C321" s="656"/>
      <c r="D321" s="671"/>
      <c r="E321" s="671"/>
      <c r="F321" s="671"/>
      <c r="G321" s="657">
        <v>20.484193078018745</v>
      </c>
      <c r="H321" s="657">
        <v>20.859365293877371</v>
      </c>
      <c r="I321" s="657">
        <v>21.717449379567885</v>
      </c>
      <c r="J321" s="657">
        <v>22.677904810291913</v>
      </c>
      <c r="K321" s="657">
        <v>23.205150194018518</v>
      </c>
      <c r="L321" s="657">
        <v>23.027045912009168</v>
      </c>
      <c r="M321" s="657">
        <v>23.692937343234373</v>
      </c>
      <c r="N321" s="657">
        <v>22.99839729760826</v>
      </c>
      <c r="O321" s="657">
        <v>23.491706166247948</v>
      </c>
      <c r="P321" s="605">
        <f t="shared" si="490"/>
        <v>22.461572163874909</v>
      </c>
      <c r="Q321" s="606" t="e">
        <f t="shared" ref="Q321" si="501">SUM(P321-C321)/C321</f>
        <v>#DIV/0!</v>
      </c>
    </row>
    <row r="322" spans="1:17" ht="25.5" customHeight="1">
      <c r="A322" s="672" t="s">
        <v>82</v>
      </c>
      <c r="B322" s="603"/>
      <c r="C322" s="662"/>
      <c r="D322" s="667"/>
      <c r="E322" s="667"/>
      <c r="F322" s="667"/>
      <c r="G322" s="667">
        <f t="shared" si="494"/>
        <v>0</v>
      </c>
      <c r="H322" s="667">
        <f t="shared" si="495"/>
        <v>0</v>
      </c>
      <c r="I322" s="667">
        <f t="shared" si="496"/>
        <v>0</v>
      </c>
      <c r="J322" s="667">
        <f t="shared" si="484"/>
        <v>0</v>
      </c>
      <c r="K322" s="667">
        <f t="shared" si="497"/>
        <v>0</v>
      </c>
      <c r="L322" s="667">
        <f t="shared" si="498"/>
        <v>0</v>
      </c>
      <c r="M322" s="667">
        <f t="shared" si="487"/>
        <v>0</v>
      </c>
      <c r="N322" s="667">
        <f t="shared" si="499"/>
        <v>0</v>
      </c>
      <c r="O322" s="667">
        <f t="shared" si="500"/>
        <v>0</v>
      </c>
      <c r="P322" s="604"/>
      <c r="Q322" s="600"/>
    </row>
    <row r="323" spans="1:17" ht="25.5" customHeight="1">
      <c r="A323" s="670" t="s">
        <v>83</v>
      </c>
      <c r="B323" s="673"/>
      <c r="C323" s="656"/>
      <c r="D323" s="671"/>
      <c r="E323" s="671"/>
      <c r="F323" s="671"/>
      <c r="G323" s="674">
        <f t="shared" si="494"/>
        <v>0</v>
      </c>
      <c r="H323" s="674">
        <f t="shared" si="495"/>
        <v>0</v>
      </c>
      <c r="I323" s="674">
        <f t="shared" si="496"/>
        <v>0</v>
      </c>
      <c r="J323" s="674">
        <f t="shared" si="484"/>
        <v>0</v>
      </c>
      <c r="K323" s="674">
        <f t="shared" si="497"/>
        <v>0</v>
      </c>
      <c r="L323" s="674">
        <f t="shared" si="498"/>
        <v>0</v>
      </c>
      <c r="M323" s="674">
        <f t="shared" si="487"/>
        <v>0</v>
      </c>
      <c r="N323" s="674">
        <f t="shared" si="499"/>
        <v>0</v>
      </c>
      <c r="O323" s="674">
        <f t="shared" si="500"/>
        <v>0</v>
      </c>
      <c r="P323" s="605">
        <f t="shared" si="490"/>
        <v>0</v>
      </c>
      <c r="Q323" s="606" t="e">
        <f t="shared" ref="Q323" si="502">SUM(P323-C323)/C323</f>
        <v>#DIV/0!</v>
      </c>
    </row>
    <row r="324" spans="1:17" ht="25.5" customHeight="1">
      <c r="A324" s="672" t="s">
        <v>84</v>
      </c>
      <c r="B324" s="661"/>
      <c r="C324" s="675"/>
      <c r="D324" s="676"/>
      <c r="E324" s="665"/>
      <c r="F324" s="665"/>
      <c r="G324" s="665">
        <f t="shared" si="494"/>
        <v>0</v>
      </c>
      <c r="H324" s="665">
        <f t="shared" si="495"/>
        <v>0</v>
      </c>
      <c r="I324" s="677">
        <f t="shared" si="496"/>
        <v>0</v>
      </c>
      <c r="J324" s="677">
        <f t="shared" si="484"/>
        <v>0</v>
      </c>
      <c r="K324" s="665">
        <f t="shared" si="497"/>
        <v>0</v>
      </c>
      <c r="L324" s="665">
        <f t="shared" si="498"/>
        <v>0</v>
      </c>
      <c r="M324" s="665">
        <f t="shared" si="487"/>
        <v>0</v>
      </c>
      <c r="N324" s="665">
        <f t="shared" si="499"/>
        <v>0</v>
      </c>
      <c r="O324" s="666">
        <f t="shared" si="500"/>
        <v>0</v>
      </c>
      <c r="P324" s="604"/>
      <c r="Q324" s="600"/>
    </row>
    <row r="325" spans="1:17" ht="25.5" customHeight="1" thickBot="1">
      <c r="A325" s="718" t="s">
        <v>18</v>
      </c>
      <c r="B325" s="719"/>
      <c r="C325" s="720"/>
      <c r="D325" s="721"/>
      <c r="E325" s="722"/>
      <c r="F325" s="722"/>
      <c r="G325" s="722"/>
      <c r="H325" s="722"/>
      <c r="I325" s="722"/>
      <c r="J325" s="722"/>
      <c r="K325" s="722"/>
      <c r="L325" s="722"/>
      <c r="M325" s="722"/>
      <c r="N325" s="722"/>
      <c r="O325" s="723"/>
      <c r="P325" s="720"/>
      <c r="Q325" s="724"/>
    </row>
    <row r="326" spans="1:17" ht="25.5" customHeight="1" thickBot="1">
      <c r="A326" s="693" t="s">
        <v>29</v>
      </c>
      <c r="B326" s="725"/>
      <c r="C326" s="726"/>
      <c r="D326" s="727"/>
      <c r="E326" s="728"/>
      <c r="F326" s="728"/>
      <c r="G326" s="728"/>
      <c r="H326" s="728"/>
      <c r="I326" s="728"/>
      <c r="J326" s="728"/>
      <c r="K326" s="728"/>
      <c r="L326" s="728"/>
      <c r="M326" s="728"/>
      <c r="N326" s="728"/>
      <c r="O326" s="729"/>
      <c r="P326" s="726"/>
      <c r="Q326" s="730"/>
    </row>
    <row r="327" spans="1:17" ht="25.5" customHeight="1">
      <c r="A327" s="615" t="s">
        <v>19</v>
      </c>
      <c r="B327" s="607"/>
      <c r="C327" s="608"/>
      <c r="D327" s="681"/>
      <c r="E327" s="681"/>
      <c r="F327" s="681"/>
      <c r="G327" s="683">
        <f>+F327*$R$2</f>
        <v>0</v>
      </c>
      <c r="H327" s="683">
        <f t="shared" ref="H327:H328" si="503">+F327*$R$2</f>
        <v>0</v>
      </c>
      <c r="I327" s="683">
        <f t="shared" ref="I327:I328" si="504">+F327*$R$2</f>
        <v>0</v>
      </c>
      <c r="J327" s="683">
        <f t="shared" ref="J327:J328" si="505">+I327*$S$2</f>
        <v>0</v>
      </c>
      <c r="K327" s="683">
        <f t="shared" ref="K327:K328" si="506">+I327*$S$2</f>
        <v>0</v>
      </c>
      <c r="L327" s="683">
        <f t="shared" ref="L327:L328" si="507">+I327*$S$2</f>
        <v>0</v>
      </c>
      <c r="M327" s="683">
        <f t="shared" ref="M327:M328" si="508">+L327*$T$2</f>
        <v>0</v>
      </c>
      <c r="N327" s="683">
        <f t="shared" ref="N327:N328" si="509">+L327*$T$2</f>
        <v>0</v>
      </c>
      <c r="O327" s="684">
        <f t="shared" ref="O327:O328" si="510">+L327*$T$2</f>
        <v>0</v>
      </c>
      <c r="P327" s="609">
        <f t="shared" si="490"/>
        <v>0</v>
      </c>
      <c r="Q327" s="610" t="e">
        <f t="shared" ref="Q327:Q328" si="511">SUM(P327-C327)/C327</f>
        <v>#DIV/0!</v>
      </c>
    </row>
    <row r="328" spans="1:17" ht="25.5" customHeight="1" thickBot="1">
      <c r="A328" s="616" t="s">
        <v>20</v>
      </c>
      <c r="B328" s="611"/>
      <c r="C328" s="612"/>
      <c r="D328" s="685"/>
      <c r="E328" s="685"/>
      <c r="F328" s="685"/>
      <c r="G328" s="686">
        <f t="shared" ref="G328" si="512">+F328*$R$2</f>
        <v>0</v>
      </c>
      <c r="H328" s="686">
        <f t="shared" si="503"/>
        <v>0</v>
      </c>
      <c r="I328" s="686">
        <f t="shared" si="504"/>
        <v>0</v>
      </c>
      <c r="J328" s="686">
        <f t="shared" si="505"/>
        <v>0</v>
      </c>
      <c r="K328" s="686">
        <f t="shared" si="506"/>
        <v>0</v>
      </c>
      <c r="L328" s="686">
        <f t="shared" si="507"/>
        <v>0</v>
      </c>
      <c r="M328" s="686">
        <f t="shared" si="508"/>
        <v>0</v>
      </c>
      <c r="N328" s="686">
        <f t="shared" si="509"/>
        <v>0</v>
      </c>
      <c r="O328" s="686">
        <f t="shared" si="510"/>
        <v>0</v>
      </c>
      <c r="P328" s="613">
        <f t="shared" si="490"/>
        <v>0</v>
      </c>
      <c r="Q328" s="614" t="e">
        <f t="shared" si="511"/>
        <v>#DIV/0!</v>
      </c>
    </row>
    <row r="329" spans="1:17" ht="25.5" customHeight="1" thickBot="1">
      <c r="A329" s="693" t="s">
        <v>30</v>
      </c>
      <c r="B329" s="694"/>
      <c r="C329" s="726"/>
      <c r="D329" s="727"/>
      <c r="E329" s="728"/>
      <c r="F329" s="728"/>
      <c r="G329" s="728"/>
      <c r="H329" s="728"/>
      <c r="I329" s="728"/>
      <c r="J329" s="728"/>
      <c r="K329" s="728"/>
      <c r="L329" s="728"/>
      <c r="M329" s="728"/>
      <c r="N329" s="728"/>
      <c r="O329" s="729"/>
      <c r="P329" s="726"/>
      <c r="Q329" s="730"/>
    </row>
    <row r="330" spans="1:17" ht="25.5" customHeight="1">
      <c r="A330" s="615" t="s">
        <v>106</v>
      </c>
      <c r="B330" s="607"/>
      <c r="C330" s="608"/>
      <c r="D330" s="687">
        <f>D18</f>
        <v>0</v>
      </c>
      <c r="E330" s="687">
        <f t="shared" ref="E330:O330" si="513">E18</f>
        <v>0</v>
      </c>
      <c r="F330" s="687">
        <f t="shared" si="513"/>
        <v>0</v>
      </c>
      <c r="G330" s="687">
        <f t="shared" si="513"/>
        <v>0</v>
      </c>
      <c r="H330" s="687">
        <f t="shared" si="513"/>
        <v>0</v>
      </c>
      <c r="I330" s="687">
        <f t="shared" si="513"/>
        <v>0</v>
      </c>
      <c r="J330" s="687">
        <f t="shared" si="513"/>
        <v>0</v>
      </c>
      <c r="K330" s="687">
        <f t="shared" si="513"/>
        <v>0</v>
      </c>
      <c r="L330" s="687">
        <f t="shared" si="513"/>
        <v>0</v>
      </c>
      <c r="M330" s="687">
        <f t="shared" si="513"/>
        <v>0</v>
      </c>
      <c r="N330" s="687">
        <f t="shared" si="513"/>
        <v>0</v>
      </c>
      <c r="O330" s="687">
        <f t="shared" si="513"/>
        <v>0</v>
      </c>
      <c r="P330" s="609">
        <f t="shared" si="490"/>
        <v>0</v>
      </c>
      <c r="Q330" s="610" t="e">
        <f t="shared" ref="Q330:Q331" si="514">SUM(P330-C330)/C330</f>
        <v>#DIV/0!</v>
      </c>
    </row>
    <row r="331" spans="1:17" ht="25.5" customHeight="1" thickBot="1">
      <c r="A331" s="616" t="s">
        <v>105</v>
      </c>
      <c r="B331" s="617"/>
      <c r="C331" s="618"/>
      <c r="D331" s="688">
        <f>D19</f>
        <v>0</v>
      </c>
      <c r="E331" s="688">
        <f t="shared" ref="E331:O331" si="515">E19</f>
        <v>0</v>
      </c>
      <c r="F331" s="688">
        <f t="shared" si="515"/>
        <v>0</v>
      </c>
      <c r="G331" s="688">
        <f t="shared" si="515"/>
        <v>0</v>
      </c>
      <c r="H331" s="688">
        <f t="shared" si="515"/>
        <v>0</v>
      </c>
      <c r="I331" s="688">
        <f t="shared" si="515"/>
        <v>0</v>
      </c>
      <c r="J331" s="688">
        <f t="shared" si="515"/>
        <v>0</v>
      </c>
      <c r="K331" s="688">
        <f t="shared" si="515"/>
        <v>0</v>
      </c>
      <c r="L331" s="688">
        <f t="shared" si="515"/>
        <v>0</v>
      </c>
      <c r="M331" s="688">
        <f t="shared" si="515"/>
        <v>0</v>
      </c>
      <c r="N331" s="688">
        <f t="shared" si="515"/>
        <v>0</v>
      </c>
      <c r="O331" s="688">
        <f t="shared" si="515"/>
        <v>0</v>
      </c>
      <c r="P331" s="619">
        <f t="shared" si="490"/>
        <v>0</v>
      </c>
      <c r="Q331" s="620" t="e">
        <f t="shared" si="514"/>
        <v>#DIV/0!</v>
      </c>
    </row>
    <row r="332" spans="1:17" ht="25.5" customHeight="1" thickBot="1">
      <c r="B332" s="601"/>
      <c r="C332" s="621"/>
      <c r="D332" s="689"/>
      <c r="E332" s="689"/>
      <c r="F332" s="689"/>
      <c r="G332" s="689"/>
      <c r="H332" s="689"/>
      <c r="I332" s="689"/>
      <c r="J332" s="689"/>
      <c r="K332" s="689"/>
      <c r="L332" s="689"/>
      <c r="M332" s="689"/>
      <c r="N332" s="689"/>
      <c r="O332" s="689"/>
      <c r="P332" s="622"/>
      <c r="Q332" s="623"/>
    </row>
    <row r="333" spans="1:17" ht="25.5" customHeight="1" thickBot="1">
      <c r="A333" s="693" t="s">
        <v>86</v>
      </c>
      <c r="B333" s="694"/>
      <c r="C333" s="695"/>
      <c r="D333" s="697">
        <v>13.829000000000001</v>
      </c>
      <c r="E333" s="697">
        <v>13.829000000000001</v>
      </c>
      <c r="F333" s="697">
        <v>13.829000000000001</v>
      </c>
      <c r="G333" s="697">
        <f>$F$21*$R$2</f>
        <v>15.76506</v>
      </c>
      <c r="H333" s="697">
        <f t="shared" ref="H333:I333" si="516">$F$21*$R$2</f>
        <v>15.76506</v>
      </c>
      <c r="I333" s="697">
        <f t="shared" si="516"/>
        <v>15.76506</v>
      </c>
      <c r="J333" s="697">
        <f>$I$21*$S$2</f>
        <v>18.129818999999998</v>
      </c>
      <c r="K333" s="697">
        <f t="shared" ref="K333:L333" si="517">$I$21*$S$2</f>
        <v>18.129818999999998</v>
      </c>
      <c r="L333" s="697">
        <f t="shared" si="517"/>
        <v>18.129818999999998</v>
      </c>
      <c r="M333" s="697">
        <f>$L$21*$T$2</f>
        <v>21.030590039999996</v>
      </c>
      <c r="N333" s="697">
        <f t="shared" ref="N333:O333" si="518">$L$21*$T$2</f>
        <v>21.030590039999996</v>
      </c>
      <c r="O333" s="697">
        <f t="shared" si="518"/>
        <v>21.030590039999996</v>
      </c>
      <c r="P333" s="2269">
        <f t="shared" si="490"/>
        <v>17.188617259999997</v>
      </c>
      <c r="Q333" s="699" t="e">
        <f t="shared" ref="Q333" si="519">SUM(P333-C333)/C333</f>
        <v>#DIV/0!</v>
      </c>
    </row>
    <row r="334" spans="1:17" ht="25.5" customHeight="1" thickBot="1">
      <c r="A334" s="624"/>
      <c r="B334" s="625"/>
      <c r="C334" s="626"/>
      <c r="D334" s="690"/>
      <c r="E334" s="690"/>
      <c r="F334" s="690"/>
      <c r="G334" s="690"/>
      <c r="H334" s="690"/>
      <c r="I334" s="690"/>
      <c r="J334" s="690"/>
      <c r="K334" s="690"/>
      <c r="L334" s="690"/>
      <c r="M334" s="690"/>
      <c r="N334" s="690"/>
      <c r="O334" s="690"/>
      <c r="P334" s="626"/>
      <c r="Q334" s="627"/>
    </row>
    <row r="335" spans="1:17" ht="25.5" customHeight="1" thickBot="1">
      <c r="A335" s="693" t="s">
        <v>31</v>
      </c>
      <c r="B335" s="694"/>
      <c r="C335" s="695"/>
      <c r="D335" s="696"/>
      <c r="E335" s="697"/>
      <c r="F335" s="697"/>
      <c r="G335" s="697"/>
      <c r="H335" s="697"/>
      <c r="I335" s="697"/>
      <c r="J335" s="697"/>
      <c r="K335" s="697"/>
      <c r="L335" s="697"/>
      <c r="M335" s="697"/>
      <c r="N335" s="697"/>
      <c r="O335" s="698"/>
      <c r="P335" s="695"/>
      <c r="Q335" s="699"/>
    </row>
    <row r="336" spans="1:17" ht="16.2" thickBot="1">
      <c r="B336" s="601"/>
      <c r="C336" s="601"/>
      <c r="D336" s="601"/>
      <c r="E336" s="601"/>
      <c r="F336" s="601"/>
      <c r="G336" s="601"/>
      <c r="H336" s="601"/>
      <c r="I336" s="601"/>
      <c r="J336" s="601"/>
      <c r="K336" s="601"/>
      <c r="L336" s="601"/>
      <c r="M336" s="601"/>
      <c r="N336" s="601"/>
      <c r="O336" s="601"/>
      <c r="P336" s="601"/>
    </row>
    <row r="337" spans="1:20" ht="32.1" customHeight="1" thickBot="1">
      <c r="A337" s="649"/>
      <c r="B337" s="2390"/>
      <c r="C337" s="2392" t="s">
        <v>695</v>
      </c>
      <c r="D337" s="2394" t="s">
        <v>514</v>
      </c>
      <c r="E337" s="2395"/>
      <c r="F337" s="2395"/>
      <c r="G337" s="2395"/>
      <c r="H337" s="2395"/>
      <c r="I337" s="2395"/>
      <c r="J337" s="2395"/>
      <c r="K337" s="2395"/>
      <c r="L337" s="2395"/>
      <c r="M337" s="2395"/>
      <c r="N337" s="2395"/>
      <c r="O337" s="2395"/>
      <c r="P337" s="2396"/>
      <c r="Q337" s="937" t="s">
        <v>605</v>
      </c>
    </row>
    <row r="338" spans="1:20" ht="32.1" customHeight="1" thickBot="1">
      <c r="A338" s="650"/>
      <c r="B338" s="2391"/>
      <c r="C338" s="2393"/>
      <c r="D338" s="678" t="s">
        <v>1</v>
      </c>
      <c r="E338" s="679" t="s">
        <v>2</v>
      </c>
      <c r="F338" s="679" t="s">
        <v>3</v>
      </c>
      <c r="G338" s="679" t="s">
        <v>4</v>
      </c>
      <c r="H338" s="679" t="s">
        <v>5</v>
      </c>
      <c r="I338" s="679" t="s">
        <v>6</v>
      </c>
      <c r="J338" s="679" t="s">
        <v>7</v>
      </c>
      <c r="K338" s="679" t="s">
        <v>8</v>
      </c>
      <c r="L338" s="679" t="s">
        <v>9</v>
      </c>
      <c r="M338" s="679" t="s">
        <v>10</v>
      </c>
      <c r="N338" s="679" t="s">
        <v>11</v>
      </c>
      <c r="O338" s="680" t="s">
        <v>12</v>
      </c>
      <c r="P338" s="651" t="s">
        <v>281</v>
      </c>
      <c r="Q338" s="941" t="s">
        <v>693</v>
      </c>
      <c r="R338" s="913" t="s">
        <v>509</v>
      </c>
      <c r="S338" s="913" t="s">
        <v>150</v>
      </c>
      <c r="T338" s="913" t="s">
        <v>151</v>
      </c>
    </row>
    <row r="339" spans="1:20" ht="25.5" customHeight="1" thickBot="1">
      <c r="A339" s="693" t="s">
        <v>28</v>
      </c>
      <c r="B339" s="694"/>
      <c r="C339" s="695"/>
      <c r="D339" s="696"/>
      <c r="E339" s="697"/>
      <c r="F339" s="697"/>
      <c r="G339" s="697"/>
      <c r="H339" s="697"/>
      <c r="I339" s="697"/>
      <c r="J339" s="697"/>
      <c r="K339" s="697"/>
      <c r="L339" s="697"/>
      <c r="M339" s="697"/>
      <c r="N339" s="697"/>
      <c r="O339" s="698"/>
      <c r="P339" s="695"/>
      <c r="Q339" s="699"/>
      <c r="R339" s="1795" t="s">
        <v>159</v>
      </c>
      <c r="S339" s="914"/>
      <c r="T339" s="914" t="s">
        <v>320</v>
      </c>
    </row>
    <row r="340" spans="1:20" ht="25.5" customHeight="1">
      <c r="A340" s="654" t="s">
        <v>15</v>
      </c>
      <c r="B340" s="655"/>
      <c r="C340" s="656"/>
      <c r="D340" s="657"/>
      <c r="E340" s="657"/>
      <c r="F340" s="657"/>
      <c r="G340" s="657">
        <f>+F340*$R$2</f>
        <v>0</v>
      </c>
      <c r="H340" s="657">
        <f t="shared" ref="H340:H341" si="520">+F340*$R$2</f>
        <v>0</v>
      </c>
      <c r="I340" s="657">
        <f t="shared" ref="I340:I341" si="521">+F340*$R$2</f>
        <v>0</v>
      </c>
      <c r="J340" s="657">
        <f t="shared" ref="J340:J347" si="522">+I340*$S$2</f>
        <v>0</v>
      </c>
      <c r="K340" s="657">
        <f t="shared" ref="K340:K341" si="523">+I340*$S$2</f>
        <v>0</v>
      </c>
      <c r="L340" s="657">
        <f t="shared" ref="L340:L341" si="524">+I340*$S$2</f>
        <v>0</v>
      </c>
      <c r="M340" s="657">
        <f>+L340*$T$2</f>
        <v>0</v>
      </c>
      <c r="N340" s="657">
        <f t="shared" ref="N340:N341" si="525">+L340*$T$2</f>
        <v>0</v>
      </c>
      <c r="O340" s="657">
        <f>+L340*$T$2</f>
        <v>0</v>
      </c>
      <c r="P340" s="658">
        <f t="shared" ref="P340:P341" si="526">AVERAGE(D340:O340)</f>
        <v>0</v>
      </c>
      <c r="Q340" s="659" t="e">
        <f t="shared" ref="Q340:Q341" si="527">SUM(P340-C340)/C340</f>
        <v>#DIV/0!</v>
      </c>
    </row>
    <row r="341" spans="1:20" ht="25.5" customHeight="1">
      <c r="A341" s="660" t="s">
        <v>16</v>
      </c>
      <c r="B341" s="661"/>
      <c r="C341" s="662"/>
      <c r="D341" s="663"/>
      <c r="E341" s="663"/>
      <c r="F341" s="663"/>
      <c r="G341" s="663">
        <f>+F341*$R$2</f>
        <v>0</v>
      </c>
      <c r="H341" s="663">
        <f t="shared" si="520"/>
        <v>0</v>
      </c>
      <c r="I341" s="663">
        <f t="shared" si="521"/>
        <v>0</v>
      </c>
      <c r="J341" s="663">
        <f t="shared" si="522"/>
        <v>0</v>
      </c>
      <c r="K341" s="663">
        <f t="shared" si="523"/>
        <v>0</v>
      </c>
      <c r="L341" s="663">
        <f t="shared" si="524"/>
        <v>0</v>
      </c>
      <c r="M341" s="663">
        <f t="shared" ref="M341:M347" si="528">+L341*$T$2</f>
        <v>0</v>
      </c>
      <c r="N341" s="663">
        <f t="shared" si="525"/>
        <v>0</v>
      </c>
      <c r="O341" s="663">
        <f t="shared" ref="O341" si="529">+L341*$T$2</f>
        <v>0</v>
      </c>
      <c r="P341" s="604">
        <f t="shared" si="526"/>
        <v>0</v>
      </c>
      <c r="Q341" s="600" t="e">
        <f t="shared" si="527"/>
        <v>#DIV/0!</v>
      </c>
    </row>
    <row r="342" spans="1:20" ht="25.5" customHeight="1">
      <c r="A342" s="701" t="s">
        <v>27</v>
      </c>
      <c r="B342" s="702"/>
      <c r="C342" s="703"/>
      <c r="D342" s="704"/>
      <c r="E342" s="705"/>
      <c r="F342" s="705"/>
      <c r="G342" s="704"/>
      <c r="H342" s="704"/>
      <c r="I342" s="704"/>
      <c r="J342" s="704"/>
      <c r="K342" s="704"/>
      <c r="L342" s="704"/>
      <c r="M342" s="704"/>
      <c r="N342" s="704"/>
      <c r="O342" s="704"/>
      <c r="P342" s="707"/>
      <c r="Q342" s="708"/>
    </row>
    <row r="343" spans="1:20" ht="25.5" customHeight="1">
      <c r="A343" s="710" t="s">
        <v>17</v>
      </c>
      <c r="B343" s="711"/>
      <c r="C343" s="712"/>
      <c r="D343" s="663"/>
      <c r="E343" s="663"/>
      <c r="F343" s="663"/>
      <c r="G343" s="713">
        <f t="shared" ref="G343:G347" si="530">+F343*$R$2</f>
        <v>0</v>
      </c>
      <c r="H343" s="713">
        <f t="shared" ref="H343:H347" si="531">+F343*$R$2</f>
        <v>0</v>
      </c>
      <c r="I343" s="713">
        <f t="shared" ref="I343:I347" si="532">+F343*$R$2</f>
        <v>0</v>
      </c>
      <c r="J343" s="713">
        <f t="shared" si="522"/>
        <v>0</v>
      </c>
      <c r="K343" s="713">
        <f t="shared" ref="K343:K347" si="533">+I343*$S$2</f>
        <v>0</v>
      </c>
      <c r="L343" s="713">
        <f t="shared" ref="L343:L347" si="534">+I343*$S$2</f>
        <v>0</v>
      </c>
      <c r="M343" s="713">
        <f t="shared" si="528"/>
        <v>0</v>
      </c>
      <c r="N343" s="713">
        <f t="shared" ref="N343:N347" si="535">+L343*$T$2</f>
        <v>0</v>
      </c>
      <c r="O343" s="713">
        <f>+L343*$T$2</f>
        <v>0</v>
      </c>
      <c r="P343" s="716"/>
      <c r="Q343" s="717"/>
    </row>
    <row r="344" spans="1:20" ht="25.5" customHeight="1">
      <c r="A344" s="670" t="s">
        <v>81</v>
      </c>
      <c r="B344" s="602"/>
      <c r="C344" s="656"/>
      <c r="D344" s="657"/>
      <c r="E344" s="657"/>
      <c r="F344" s="657"/>
      <c r="G344" s="657">
        <v>20.484193078018745</v>
      </c>
      <c r="H344" s="657">
        <v>20.859365293877371</v>
      </c>
      <c r="I344" s="657">
        <v>21.717449379567885</v>
      </c>
      <c r="J344" s="657">
        <v>22.677904810291913</v>
      </c>
      <c r="K344" s="657">
        <v>23.205150194018518</v>
      </c>
      <c r="L344" s="657">
        <v>23.027045912009168</v>
      </c>
      <c r="M344" s="657">
        <v>23.692937343234373</v>
      </c>
      <c r="N344" s="657">
        <v>22.99839729760826</v>
      </c>
      <c r="O344" s="657">
        <v>23.491706166247948</v>
      </c>
      <c r="P344" s="605">
        <f t="shared" ref="P344" si="536">AVERAGE(D344:O344)</f>
        <v>22.461572163874909</v>
      </c>
      <c r="Q344" s="606" t="e">
        <f t="shared" ref="Q344" si="537">SUM(P344-C344)/C344</f>
        <v>#DIV/0!</v>
      </c>
    </row>
    <row r="345" spans="1:20" ht="25.5" customHeight="1">
      <c r="A345" s="672" t="s">
        <v>82</v>
      </c>
      <c r="B345" s="603"/>
      <c r="C345" s="662"/>
      <c r="D345" s="667"/>
      <c r="E345" s="667"/>
      <c r="F345" s="667"/>
      <c r="G345" s="667">
        <f t="shared" si="530"/>
        <v>0</v>
      </c>
      <c r="H345" s="667">
        <f t="shared" si="531"/>
        <v>0</v>
      </c>
      <c r="I345" s="667">
        <f t="shared" si="532"/>
        <v>0</v>
      </c>
      <c r="J345" s="667">
        <f t="shared" si="522"/>
        <v>0</v>
      </c>
      <c r="K345" s="667">
        <f t="shared" si="533"/>
        <v>0</v>
      </c>
      <c r="L345" s="667">
        <f t="shared" si="534"/>
        <v>0</v>
      </c>
      <c r="M345" s="667">
        <f t="shared" si="528"/>
        <v>0</v>
      </c>
      <c r="N345" s="667">
        <f t="shared" si="535"/>
        <v>0</v>
      </c>
      <c r="O345" s="667">
        <f t="shared" ref="O345:O346" si="538">+L345*$T$2</f>
        <v>0</v>
      </c>
      <c r="P345" s="604"/>
      <c r="Q345" s="600"/>
    </row>
    <row r="346" spans="1:20" ht="25.5" customHeight="1">
      <c r="A346" s="670" t="s">
        <v>83</v>
      </c>
      <c r="B346" s="673"/>
      <c r="C346" s="656"/>
      <c r="D346" s="674">
        <f>+D344</f>
        <v>0</v>
      </c>
      <c r="E346" s="674">
        <f t="shared" ref="E346:F346" si="539">+E344</f>
        <v>0</v>
      </c>
      <c r="F346" s="674">
        <f t="shared" si="539"/>
        <v>0</v>
      </c>
      <c r="G346" s="674">
        <f t="shared" si="530"/>
        <v>0</v>
      </c>
      <c r="H346" s="674">
        <f t="shared" si="531"/>
        <v>0</v>
      </c>
      <c r="I346" s="674">
        <f t="shared" si="532"/>
        <v>0</v>
      </c>
      <c r="J346" s="674">
        <f t="shared" si="522"/>
        <v>0</v>
      </c>
      <c r="K346" s="674">
        <f t="shared" si="533"/>
        <v>0</v>
      </c>
      <c r="L346" s="674">
        <f t="shared" si="534"/>
        <v>0</v>
      </c>
      <c r="M346" s="674">
        <f t="shared" si="528"/>
        <v>0</v>
      </c>
      <c r="N346" s="674">
        <f t="shared" si="535"/>
        <v>0</v>
      </c>
      <c r="O346" s="674">
        <f t="shared" si="538"/>
        <v>0</v>
      </c>
      <c r="P346" s="605">
        <f t="shared" ref="P346" si="540">AVERAGE(D346:O346)</f>
        <v>0</v>
      </c>
      <c r="Q346" s="606" t="e">
        <f t="shared" ref="Q346" si="541">SUM(P346-C346)/C346</f>
        <v>#DIV/0!</v>
      </c>
    </row>
    <row r="347" spans="1:20" ht="25.5" customHeight="1">
      <c r="A347" s="672" t="s">
        <v>84</v>
      </c>
      <c r="B347" s="661"/>
      <c r="C347" s="675"/>
      <c r="D347" s="676"/>
      <c r="E347" s="665"/>
      <c r="F347" s="665"/>
      <c r="G347" s="665">
        <f t="shared" si="530"/>
        <v>0</v>
      </c>
      <c r="H347" s="665">
        <f t="shared" si="531"/>
        <v>0</v>
      </c>
      <c r="I347" s="677">
        <f t="shared" si="532"/>
        <v>0</v>
      </c>
      <c r="J347" s="677">
        <f t="shared" si="522"/>
        <v>0</v>
      </c>
      <c r="K347" s="665">
        <f t="shared" si="533"/>
        <v>0</v>
      </c>
      <c r="L347" s="665">
        <f t="shared" si="534"/>
        <v>0</v>
      </c>
      <c r="M347" s="665">
        <f t="shared" si="528"/>
        <v>0</v>
      </c>
      <c r="N347" s="665">
        <f t="shared" si="535"/>
        <v>0</v>
      </c>
      <c r="O347" s="666">
        <f>+L347*$T$2</f>
        <v>0</v>
      </c>
      <c r="P347" s="604"/>
      <c r="Q347" s="600"/>
    </row>
    <row r="348" spans="1:20" ht="25.5" customHeight="1" thickBot="1">
      <c r="A348" s="718" t="s">
        <v>18</v>
      </c>
      <c r="B348" s="719"/>
      <c r="C348" s="720"/>
      <c r="D348" s="721"/>
      <c r="E348" s="722"/>
      <c r="F348" s="722"/>
      <c r="G348" s="722"/>
      <c r="H348" s="722"/>
      <c r="I348" s="722"/>
      <c r="J348" s="722"/>
      <c r="K348" s="722"/>
      <c r="L348" s="722"/>
      <c r="M348" s="722"/>
      <c r="N348" s="722"/>
      <c r="O348" s="723"/>
      <c r="P348" s="720"/>
      <c r="Q348" s="724"/>
    </row>
    <row r="349" spans="1:20" ht="25.5" customHeight="1" thickBot="1">
      <c r="A349" s="693" t="s">
        <v>29</v>
      </c>
      <c r="B349" s="725"/>
      <c r="C349" s="726"/>
      <c r="D349" s="727"/>
      <c r="E349" s="728"/>
      <c r="F349" s="728"/>
      <c r="G349" s="728"/>
      <c r="H349" s="728"/>
      <c r="I349" s="728"/>
      <c r="J349" s="728"/>
      <c r="K349" s="728"/>
      <c r="L349" s="728"/>
      <c r="M349" s="728"/>
      <c r="N349" s="728"/>
      <c r="O349" s="729"/>
      <c r="P349" s="726"/>
      <c r="Q349" s="730"/>
    </row>
    <row r="350" spans="1:20" ht="25.5" customHeight="1">
      <c r="A350" s="615" t="s">
        <v>19</v>
      </c>
      <c r="B350" s="607"/>
      <c r="C350" s="608"/>
      <c r="D350" s="681"/>
      <c r="E350" s="681"/>
      <c r="F350" s="681"/>
      <c r="G350" s="683">
        <f>+F350*$R$2</f>
        <v>0</v>
      </c>
      <c r="H350" s="683">
        <f t="shared" ref="H350:H351" si="542">+F350*$R$2</f>
        <v>0</v>
      </c>
      <c r="I350" s="683">
        <f t="shared" ref="I350:I351" si="543">+F350*$R$2</f>
        <v>0</v>
      </c>
      <c r="J350" s="683">
        <f t="shared" ref="J350:J351" si="544">+I350*$S$2</f>
        <v>0</v>
      </c>
      <c r="K350" s="683">
        <f t="shared" ref="K350:K351" si="545">+I350*$S$2</f>
        <v>0</v>
      </c>
      <c r="L350" s="683">
        <f t="shared" ref="L350:L351" si="546">+I350*$S$2</f>
        <v>0</v>
      </c>
      <c r="M350" s="683">
        <f t="shared" ref="M350:M351" si="547">+L350*$T$2</f>
        <v>0</v>
      </c>
      <c r="N350" s="683">
        <f t="shared" ref="N350:N351" si="548">+L350*$T$2</f>
        <v>0</v>
      </c>
      <c r="O350" s="684">
        <f t="shared" ref="O350:O351" si="549">+L350*$T$2</f>
        <v>0</v>
      </c>
      <c r="P350" s="609">
        <f t="shared" ref="P350:P351" si="550">AVERAGE(D350:O350)</f>
        <v>0</v>
      </c>
      <c r="Q350" s="610" t="e">
        <f t="shared" ref="Q350:Q351" si="551">SUM(P350-C350)/C350</f>
        <v>#DIV/0!</v>
      </c>
    </row>
    <row r="351" spans="1:20" ht="25.5" customHeight="1" thickBot="1">
      <c r="A351" s="616" t="s">
        <v>20</v>
      </c>
      <c r="B351" s="611"/>
      <c r="C351" s="612"/>
      <c r="D351" s="685"/>
      <c r="E351" s="685"/>
      <c r="F351" s="685"/>
      <c r="G351" s="686">
        <f t="shared" ref="G351" si="552">+F351*$R$2</f>
        <v>0</v>
      </c>
      <c r="H351" s="686">
        <f t="shared" si="542"/>
        <v>0</v>
      </c>
      <c r="I351" s="686">
        <f t="shared" si="543"/>
        <v>0</v>
      </c>
      <c r="J351" s="686">
        <f t="shared" si="544"/>
        <v>0</v>
      </c>
      <c r="K351" s="686">
        <f t="shared" si="545"/>
        <v>0</v>
      </c>
      <c r="L351" s="686">
        <f t="shared" si="546"/>
        <v>0</v>
      </c>
      <c r="M351" s="686">
        <f t="shared" si="547"/>
        <v>0</v>
      </c>
      <c r="N351" s="686">
        <f t="shared" si="548"/>
        <v>0</v>
      </c>
      <c r="O351" s="686">
        <f t="shared" si="549"/>
        <v>0</v>
      </c>
      <c r="P351" s="613">
        <f t="shared" si="550"/>
        <v>0</v>
      </c>
      <c r="Q351" s="614" t="e">
        <f t="shared" si="551"/>
        <v>#DIV/0!</v>
      </c>
    </row>
    <row r="352" spans="1:20" ht="25.5" customHeight="1" thickBot="1">
      <c r="A352" s="693" t="s">
        <v>30</v>
      </c>
      <c r="B352" s="694"/>
      <c r="C352" s="726"/>
      <c r="D352" s="727"/>
      <c r="E352" s="728"/>
      <c r="F352" s="728"/>
      <c r="G352" s="728"/>
      <c r="H352" s="728"/>
      <c r="I352" s="728"/>
      <c r="J352" s="728"/>
      <c r="K352" s="728"/>
      <c r="L352" s="728"/>
      <c r="M352" s="728"/>
      <c r="N352" s="728"/>
      <c r="O352" s="729"/>
      <c r="P352" s="726"/>
      <c r="Q352" s="730"/>
    </row>
    <row r="353" spans="1:19" ht="25.5" customHeight="1">
      <c r="A353" s="615" t="s">
        <v>106</v>
      </c>
      <c r="B353" s="607"/>
      <c r="C353" s="608"/>
      <c r="D353" s="687">
        <f>D18</f>
        <v>0</v>
      </c>
      <c r="E353" s="687">
        <f t="shared" ref="E353:O353" si="553">E18</f>
        <v>0</v>
      </c>
      <c r="F353" s="687">
        <f t="shared" si="553"/>
        <v>0</v>
      </c>
      <c r="G353" s="687">
        <f t="shared" si="553"/>
        <v>0</v>
      </c>
      <c r="H353" s="687">
        <f t="shared" si="553"/>
        <v>0</v>
      </c>
      <c r="I353" s="687">
        <f t="shared" si="553"/>
        <v>0</v>
      </c>
      <c r="J353" s="687">
        <f t="shared" si="553"/>
        <v>0</v>
      </c>
      <c r="K353" s="687">
        <f t="shared" si="553"/>
        <v>0</v>
      </c>
      <c r="L353" s="687">
        <f t="shared" si="553"/>
        <v>0</v>
      </c>
      <c r="M353" s="687">
        <f t="shared" si="553"/>
        <v>0</v>
      </c>
      <c r="N353" s="687">
        <f t="shared" si="553"/>
        <v>0</v>
      </c>
      <c r="O353" s="687">
        <f t="shared" si="553"/>
        <v>0</v>
      </c>
      <c r="P353" s="609">
        <f t="shared" ref="P353:P354" si="554">AVERAGE(D353:O353)</f>
        <v>0</v>
      </c>
      <c r="Q353" s="610" t="e">
        <f t="shared" ref="Q353:Q354" si="555">SUM(P353-C353)/C353</f>
        <v>#DIV/0!</v>
      </c>
    </row>
    <row r="354" spans="1:19" ht="25.5" customHeight="1" thickBot="1">
      <c r="A354" s="616" t="s">
        <v>105</v>
      </c>
      <c r="B354" s="617"/>
      <c r="C354" s="618"/>
      <c r="D354" s="688">
        <f>D19</f>
        <v>0</v>
      </c>
      <c r="E354" s="688">
        <f t="shared" ref="E354:O354" si="556">E19</f>
        <v>0</v>
      </c>
      <c r="F354" s="688">
        <f t="shared" si="556"/>
        <v>0</v>
      </c>
      <c r="G354" s="688">
        <f t="shared" si="556"/>
        <v>0</v>
      </c>
      <c r="H354" s="688">
        <f t="shared" si="556"/>
        <v>0</v>
      </c>
      <c r="I354" s="688">
        <f t="shared" si="556"/>
        <v>0</v>
      </c>
      <c r="J354" s="688">
        <f t="shared" si="556"/>
        <v>0</v>
      </c>
      <c r="K354" s="688">
        <f t="shared" si="556"/>
        <v>0</v>
      </c>
      <c r="L354" s="688">
        <f t="shared" si="556"/>
        <v>0</v>
      </c>
      <c r="M354" s="688">
        <f t="shared" si="556"/>
        <v>0</v>
      </c>
      <c r="N354" s="688">
        <f t="shared" si="556"/>
        <v>0</v>
      </c>
      <c r="O354" s="688">
        <f t="shared" si="556"/>
        <v>0</v>
      </c>
      <c r="P354" s="619">
        <f t="shared" si="554"/>
        <v>0</v>
      </c>
      <c r="Q354" s="620" t="e">
        <f t="shared" si="555"/>
        <v>#DIV/0!</v>
      </c>
    </row>
    <row r="355" spans="1:19" ht="25.5" customHeight="1" thickBot="1">
      <c r="B355" s="601"/>
      <c r="C355" s="621"/>
      <c r="D355" s="689"/>
      <c r="E355" s="689"/>
      <c r="F355" s="689"/>
      <c r="G355" s="689"/>
      <c r="H355" s="689"/>
      <c r="I355" s="689"/>
      <c r="J355" s="689"/>
      <c r="K355" s="689"/>
      <c r="L355" s="689"/>
      <c r="M355" s="689"/>
      <c r="N355" s="689"/>
      <c r="O355" s="689"/>
      <c r="P355" s="622"/>
      <c r="Q355" s="623"/>
    </row>
    <row r="356" spans="1:19" ht="25.5" customHeight="1" thickBot="1">
      <c r="A356" s="693" t="s">
        <v>86</v>
      </c>
      <c r="B356" s="694"/>
      <c r="C356" s="695"/>
      <c r="D356" s="696"/>
      <c r="E356" s="697"/>
      <c r="F356" s="697"/>
      <c r="G356" s="697"/>
      <c r="H356" s="697"/>
      <c r="I356" s="697"/>
      <c r="J356" s="697"/>
      <c r="K356" s="697"/>
      <c r="L356" s="697"/>
      <c r="M356" s="697"/>
      <c r="N356" s="697"/>
      <c r="O356" s="698"/>
      <c r="P356" s="695" t="e">
        <f t="shared" ref="P356" si="557">AVERAGE(D356:O356)</f>
        <v>#DIV/0!</v>
      </c>
      <c r="Q356" s="699" t="e">
        <f t="shared" ref="Q356" si="558">SUM(P356-C356)/C356</f>
        <v>#DIV/0!</v>
      </c>
    </row>
    <row r="357" spans="1:19" ht="25.5" customHeight="1" thickBot="1">
      <c r="A357" s="624"/>
      <c r="B357" s="625"/>
      <c r="C357" s="626"/>
      <c r="D357" s="690"/>
      <c r="E357" s="690"/>
      <c r="F357" s="690"/>
      <c r="G357" s="690"/>
      <c r="H357" s="690"/>
      <c r="I357" s="690"/>
      <c r="J357" s="690"/>
      <c r="K357" s="690"/>
      <c r="L357" s="690"/>
      <c r="M357" s="690"/>
      <c r="N357" s="690"/>
      <c r="O357" s="690"/>
      <c r="P357" s="626"/>
      <c r="Q357" s="627"/>
    </row>
    <row r="358" spans="1:19" ht="25.5" customHeight="1" thickBot="1">
      <c r="A358" s="693" t="s">
        <v>31</v>
      </c>
      <c r="B358" s="694"/>
      <c r="C358" s="695"/>
      <c r="D358" s="696"/>
      <c r="E358" s="697"/>
      <c r="F358" s="697"/>
      <c r="G358" s="697"/>
      <c r="H358" s="697"/>
      <c r="I358" s="697"/>
      <c r="J358" s="697"/>
      <c r="K358" s="697"/>
      <c r="L358" s="697"/>
      <c r="M358" s="697"/>
      <c r="N358" s="697"/>
      <c r="O358" s="698"/>
      <c r="P358" s="695"/>
      <c r="Q358" s="699"/>
    </row>
    <row r="359" spans="1:19" ht="16.2" thickBot="1"/>
    <row r="360" spans="1:19" ht="19.5" customHeight="1" thickBot="1">
      <c r="B360" s="2392"/>
      <c r="C360" s="2392" t="s">
        <v>695</v>
      </c>
      <c r="D360" s="2397" t="s">
        <v>694</v>
      </c>
      <c r="E360" s="2398"/>
      <c r="F360" s="2398"/>
      <c r="G360" s="2398"/>
      <c r="H360" s="2398"/>
      <c r="I360" s="2398"/>
      <c r="J360" s="2398"/>
      <c r="K360" s="2398"/>
      <c r="L360" s="2398"/>
      <c r="M360" s="2398"/>
      <c r="N360" s="2398"/>
      <c r="O360" s="2398"/>
      <c r="P360" s="2399"/>
    </row>
    <row r="361" spans="1:19" ht="29.4" customHeight="1" thickBot="1">
      <c r="B361" s="2393"/>
      <c r="C361" s="2393"/>
      <c r="D361" s="1707" t="s">
        <v>1</v>
      </c>
      <c r="E361" s="1708" t="s">
        <v>2</v>
      </c>
      <c r="F361" s="1708" t="s">
        <v>3</v>
      </c>
      <c r="G361" s="1708" t="s">
        <v>4</v>
      </c>
      <c r="H361" s="1708" t="s">
        <v>5</v>
      </c>
      <c r="I361" s="1708" t="s">
        <v>6</v>
      </c>
      <c r="J361" s="1708" t="s">
        <v>7</v>
      </c>
      <c r="K361" s="1708" t="s">
        <v>8</v>
      </c>
      <c r="L361" s="1708" t="s">
        <v>9</v>
      </c>
      <c r="M361" s="1708" t="s">
        <v>10</v>
      </c>
      <c r="N361" s="1708" t="s">
        <v>11</v>
      </c>
      <c r="O361" s="1709" t="s">
        <v>12</v>
      </c>
      <c r="P361" s="1710" t="s">
        <v>281</v>
      </c>
    </row>
    <row r="362" spans="1:19" ht="16.2" thickBot="1">
      <c r="A362" s="693" t="s">
        <v>28</v>
      </c>
      <c r="B362" s="694"/>
      <c r="C362" s="695"/>
      <c r="D362" s="1612"/>
      <c r="E362" s="1613"/>
      <c r="F362" s="1613"/>
      <c r="G362" s="1613"/>
      <c r="H362" s="1613"/>
      <c r="I362" s="1613"/>
      <c r="J362" s="1613"/>
      <c r="K362" s="1613"/>
      <c r="L362" s="1613"/>
      <c r="M362" s="1613"/>
      <c r="N362" s="1613"/>
      <c r="O362" s="1614"/>
      <c r="P362" s="1615"/>
    </row>
    <row r="363" spans="1:19">
      <c r="A363" s="654" t="s">
        <v>15</v>
      </c>
      <c r="B363" s="655"/>
      <c r="C363" s="656"/>
      <c r="D363" s="1687" t="e">
        <f>+AVERAGE(D5,D29,D53,D77,D101,D125,D149,D173,D197,D221,D245,D269,D293,D317,D340)</f>
        <v>#DIV/0!</v>
      </c>
      <c r="E363" s="1687" t="e">
        <f t="shared" ref="E363:O364" si="559">+AVERAGE(E5,E29,E53,E77,E101,E125,E149,E173,E197,E221,E245,E269,E293,E317,E340)</f>
        <v>#DIV/0!</v>
      </c>
      <c r="F363" s="1687" t="e">
        <f t="shared" si="559"/>
        <v>#DIV/0!</v>
      </c>
      <c r="G363" s="1687">
        <f>+AVERAGE(G5,G29,G53,G77,G101,G125,G149,G173,G197,G221,G245,G269,G293,G317,G340)</f>
        <v>0</v>
      </c>
      <c r="H363" s="1687">
        <f t="shared" si="559"/>
        <v>0</v>
      </c>
      <c r="I363" s="1687">
        <f t="shared" si="559"/>
        <v>0</v>
      </c>
      <c r="J363" s="1687">
        <f t="shared" si="559"/>
        <v>0</v>
      </c>
      <c r="K363" s="1687">
        <f t="shared" si="559"/>
        <v>0</v>
      </c>
      <c r="L363" s="1687">
        <f t="shared" si="559"/>
        <v>0</v>
      </c>
      <c r="M363" s="1687">
        <f t="shared" si="559"/>
        <v>0</v>
      </c>
      <c r="N363" s="1687">
        <f t="shared" si="559"/>
        <v>0</v>
      </c>
      <c r="O363" s="1687">
        <f t="shared" si="559"/>
        <v>0</v>
      </c>
      <c r="P363" s="1688" t="e">
        <f>AVERAGE(D363:O363)</f>
        <v>#DIV/0!</v>
      </c>
      <c r="Q363" s="674" t="e">
        <f>+P363-'Satış Fiyat'!P363</f>
        <v>#DIV/0!</v>
      </c>
      <c r="S363" s="1919" t="e">
        <f>+Q363-R363</f>
        <v>#DIV/0!</v>
      </c>
    </row>
    <row r="364" spans="1:19" ht="16.2" thickBot="1">
      <c r="A364" s="1700" t="s">
        <v>16</v>
      </c>
      <c r="B364" s="1970"/>
      <c r="C364" s="1971"/>
      <c r="D364" s="1701"/>
      <c r="E364" s="1701"/>
      <c r="F364" s="1701"/>
      <c r="G364" s="1701">
        <f>+AVERAGE(G6,G30,G54,G78,G102,G126,G150,G174,G198,G222,G246,G270,G294,G318,G341)</f>
        <v>0</v>
      </c>
      <c r="H364" s="1701">
        <f t="shared" si="559"/>
        <v>0</v>
      </c>
      <c r="I364" s="1701">
        <f t="shared" si="559"/>
        <v>0</v>
      </c>
      <c r="J364" s="1701">
        <f t="shared" si="559"/>
        <v>0</v>
      </c>
      <c r="K364" s="1701">
        <f t="shared" si="559"/>
        <v>0</v>
      </c>
      <c r="L364" s="1701">
        <f t="shared" si="559"/>
        <v>0</v>
      </c>
      <c r="M364" s="1701">
        <f t="shared" si="559"/>
        <v>0</v>
      </c>
      <c r="N364" s="1701">
        <f t="shared" si="559"/>
        <v>0</v>
      </c>
      <c r="O364" s="1701">
        <f t="shared" si="559"/>
        <v>0</v>
      </c>
      <c r="P364" s="1696">
        <f>AVERAGE(D364:O364)</f>
        <v>0</v>
      </c>
      <c r="Q364" s="674"/>
    </row>
    <row r="365" spans="1:19" ht="16.2" thickBot="1">
      <c r="A365" s="1697" t="s">
        <v>27</v>
      </c>
      <c r="B365" s="1698"/>
      <c r="C365" s="1973"/>
      <c r="D365" s="1990"/>
      <c r="E365" s="1990"/>
      <c r="F365" s="1990"/>
      <c r="G365" s="1990"/>
      <c r="H365" s="1990"/>
      <c r="I365" s="1990"/>
      <c r="J365" s="1990"/>
      <c r="K365" s="1990"/>
      <c r="L365" s="1990"/>
      <c r="M365" s="1990"/>
      <c r="N365" s="1990"/>
      <c r="O365" s="1990"/>
      <c r="P365" s="1991"/>
      <c r="Q365" s="674"/>
    </row>
    <row r="366" spans="1:19" s="118" customFormat="1">
      <c r="A366" s="1702" t="s">
        <v>17</v>
      </c>
      <c r="B366" s="1972"/>
      <c r="C366" s="1992"/>
      <c r="D366" s="1703" t="e">
        <f>+AVERAGE(D8,D32,D56,D80,D104,D128,D152,D176,D200,D224,D248,D272,D296,D320,D343)</f>
        <v>#DIV/0!</v>
      </c>
      <c r="E366" s="1703" t="e">
        <f t="shared" ref="E366:O366" si="560">+AVERAGE(E8,E32,E56,E80,E104,E128,E152,E176,E200,E224,E248,E272,E296,E320,E343)</f>
        <v>#DIV/0!</v>
      </c>
      <c r="F366" s="1703" t="e">
        <f t="shared" si="560"/>
        <v>#DIV/0!</v>
      </c>
      <c r="G366" s="1703">
        <f t="shared" si="560"/>
        <v>0</v>
      </c>
      <c r="H366" s="1703">
        <f t="shared" si="560"/>
        <v>0</v>
      </c>
      <c r="I366" s="1703">
        <f t="shared" si="560"/>
        <v>0</v>
      </c>
      <c r="J366" s="1703">
        <f t="shared" si="560"/>
        <v>0</v>
      </c>
      <c r="K366" s="1703">
        <f t="shared" si="560"/>
        <v>0</v>
      </c>
      <c r="L366" s="1703">
        <f t="shared" si="560"/>
        <v>0</v>
      </c>
      <c r="M366" s="1703">
        <f t="shared" si="560"/>
        <v>0</v>
      </c>
      <c r="N366" s="1703">
        <f t="shared" si="560"/>
        <v>0</v>
      </c>
      <c r="O366" s="1703">
        <f t="shared" si="560"/>
        <v>0</v>
      </c>
      <c r="P366" s="1993" t="e">
        <f>AVERAGE(D366:O366)</f>
        <v>#DIV/0!</v>
      </c>
      <c r="Q366" s="1994"/>
    </row>
    <row r="367" spans="1:19">
      <c r="A367" s="670" t="s">
        <v>81</v>
      </c>
      <c r="B367" s="602"/>
      <c r="C367" s="656"/>
      <c r="D367" s="1690" t="e">
        <f t="shared" ref="D367:O370" si="561">+AVERAGE(D9,D33,D57,D81,D105,D129,D153,D177,D201,D225,D249,D273,D297,D321,D344)</f>
        <v>#DIV/0!</v>
      </c>
      <c r="E367" s="1690" t="e">
        <f t="shared" si="561"/>
        <v>#DIV/0!</v>
      </c>
      <c r="F367" s="1690" t="e">
        <f t="shared" si="561"/>
        <v>#DIV/0!</v>
      </c>
      <c r="G367" s="1690">
        <f t="shared" si="561"/>
        <v>20.484193078018741</v>
      </c>
      <c r="H367" s="1690">
        <f t="shared" si="561"/>
        <v>20.859365293877371</v>
      </c>
      <c r="I367" s="1690">
        <f t="shared" si="561"/>
        <v>21.717449379567885</v>
      </c>
      <c r="J367" s="1690">
        <f t="shared" si="561"/>
        <v>22.677904810291917</v>
      </c>
      <c r="K367" s="1690">
        <f t="shared" si="561"/>
        <v>23.205150194018525</v>
      </c>
      <c r="L367" s="1690">
        <f t="shared" si="561"/>
        <v>23.027045912009161</v>
      </c>
      <c r="M367" s="1690">
        <f t="shared" si="561"/>
        <v>23.692937343234366</v>
      </c>
      <c r="N367" s="1690">
        <f t="shared" si="561"/>
        <v>22.99839729760826</v>
      </c>
      <c r="O367" s="1690">
        <f t="shared" si="561"/>
        <v>23.491706166247941</v>
      </c>
      <c r="P367" s="1691" t="e">
        <f t="shared" ref="P367" si="562">AVERAGE(D367:O367)</f>
        <v>#DIV/0!</v>
      </c>
      <c r="Q367" s="674"/>
      <c r="S367" s="1919">
        <f>+Q367-R367</f>
        <v>0</v>
      </c>
    </row>
    <row r="368" spans="1:19">
      <c r="A368" s="672" t="s">
        <v>82</v>
      </c>
      <c r="B368" s="603"/>
      <c r="C368" s="662"/>
      <c r="D368" s="1692"/>
      <c r="E368" s="1692"/>
      <c r="F368" s="1692"/>
      <c r="G368" s="1692"/>
      <c r="H368" s="1692"/>
      <c r="I368" s="1692"/>
      <c r="J368" s="1692"/>
      <c r="K368" s="1692"/>
      <c r="L368" s="1692"/>
      <c r="M368" s="1692"/>
      <c r="N368" s="1692"/>
      <c r="O368" s="1692"/>
      <c r="P368" s="1689"/>
      <c r="Q368" s="674"/>
      <c r="S368" s="1919"/>
    </row>
    <row r="369" spans="1:21">
      <c r="A369" s="670" t="s">
        <v>83</v>
      </c>
      <c r="B369" s="673"/>
      <c r="C369" s="656"/>
      <c r="D369" s="1693">
        <f t="shared" si="561"/>
        <v>0</v>
      </c>
      <c r="E369" s="1693">
        <f t="shared" si="561"/>
        <v>0</v>
      </c>
      <c r="F369" s="1693">
        <f t="shared" si="561"/>
        <v>0</v>
      </c>
      <c r="G369" s="1693">
        <f t="shared" si="561"/>
        <v>0</v>
      </c>
      <c r="H369" s="1693">
        <f t="shared" si="561"/>
        <v>0</v>
      </c>
      <c r="I369" s="1693">
        <f t="shared" si="561"/>
        <v>0</v>
      </c>
      <c r="J369" s="1693">
        <f t="shared" si="561"/>
        <v>0</v>
      </c>
      <c r="K369" s="1693">
        <f t="shared" si="561"/>
        <v>0</v>
      </c>
      <c r="L369" s="1693">
        <f t="shared" si="561"/>
        <v>0</v>
      </c>
      <c r="M369" s="1693">
        <f t="shared" si="561"/>
        <v>0</v>
      </c>
      <c r="N369" s="1693">
        <f t="shared" si="561"/>
        <v>0</v>
      </c>
      <c r="O369" s="1693">
        <f t="shared" si="561"/>
        <v>0</v>
      </c>
      <c r="P369" s="1691">
        <f t="shared" ref="P369:P377" si="563">AVERAGE(D369:O369)</f>
        <v>0</v>
      </c>
      <c r="Q369" s="674"/>
      <c r="S369" s="1919">
        <f t="shared" ref="S369" si="564">+Q369-R369</f>
        <v>0</v>
      </c>
    </row>
    <row r="370" spans="1:21" ht="16.2" thickBot="1">
      <c r="A370" s="1694" t="s">
        <v>84</v>
      </c>
      <c r="B370" s="1970"/>
      <c r="C370" s="1989"/>
      <c r="D370" s="1695"/>
      <c r="E370" s="1695"/>
      <c r="F370" s="1695"/>
      <c r="G370" s="1695"/>
      <c r="H370" s="1695">
        <f t="shared" si="561"/>
        <v>0</v>
      </c>
      <c r="I370" s="1695">
        <f t="shared" si="561"/>
        <v>0</v>
      </c>
      <c r="J370" s="1695">
        <f t="shared" si="561"/>
        <v>0</v>
      </c>
      <c r="K370" s="1695">
        <f t="shared" si="561"/>
        <v>0</v>
      </c>
      <c r="L370" s="1695">
        <f t="shared" si="561"/>
        <v>0</v>
      </c>
      <c r="M370" s="1695">
        <f t="shared" si="561"/>
        <v>0</v>
      </c>
      <c r="N370" s="1695">
        <f t="shared" si="561"/>
        <v>0</v>
      </c>
      <c r="O370" s="1695">
        <f t="shared" si="561"/>
        <v>0</v>
      </c>
      <c r="P370" s="1696">
        <f t="shared" si="563"/>
        <v>0</v>
      </c>
      <c r="Q370" s="674"/>
    </row>
    <row r="371" spans="1:21" ht="16.2" thickBot="1">
      <c r="A371" s="1697" t="s">
        <v>18</v>
      </c>
      <c r="B371" s="1698"/>
      <c r="C371" s="1699"/>
      <c r="D371" s="1990"/>
      <c r="E371" s="1990"/>
      <c r="F371" s="1990"/>
      <c r="G371" s="1990"/>
      <c r="H371" s="1990"/>
      <c r="I371" s="1990"/>
      <c r="J371" s="1990"/>
      <c r="K371" s="1990"/>
      <c r="L371" s="1990"/>
      <c r="M371" s="1990"/>
      <c r="N371" s="1990"/>
      <c r="O371" s="1990"/>
      <c r="P371" s="1991"/>
      <c r="Q371" s="674"/>
      <c r="U371" s="902"/>
    </row>
    <row r="372" spans="1:21" ht="16.2" thickBot="1">
      <c r="A372" s="693" t="s">
        <v>29</v>
      </c>
      <c r="B372" s="725"/>
      <c r="C372" s="726"/>
      <c r="D372" s="1975"/>
      <c r="E372" s="1976"/>
      <c r="F372" s="1976"/>
      <c r="G372" s="1976"/>
      <c r="H372" s="1976"/>
      <c r="I372" s="1976"/>
      <c r="J372" s="1976"/>
      <c r="K372" s="1976"/>
      <c r="L372" s="1976"/>
      <c r="M372" s="1976"/>
      <c r="N372" s="1976"/>
      <c r="O372" s="1977"/>
      <c r="P372" s="1978"/>
      <c r="Q372" s="674"/>
      <c r="U372" s="902"/>
    </row>
    <row r="373" spans="1:21">
      <c r="A373" s="615" t="s">
        <v>19</v>
      </c>
      <c r="B373" s="607"/>
      <c r="C373" s="608"/>
      <c r="D373" s="1979" t="e">
        <f t="shared" ref="D373:O374" si="565">+AVERAGE(D15,D39,D63,D87,D111,D135,D159,D183,D207,D231,D255,D279,D303,D327,D350)</f>
        <v>#DIV/0!</v>
      </c>
      <c r="E373" s="1980" t="e">
        <f t="shared" si="565"/>
        <v>#DIV/0!</v>
      </c>
      <c r="F373" s="1981" t="e">
        <f t="shared" si="565"/>
        <v>#DIV/0!</v>
      </c>
      <c r="G373" s="1981">
        <f t="shared" si="565"/>
        <v>0</v>
      </c>
      <c r="H373" s="1981">
        <f t="shared" si="565"/>
        <v>0</v>
      </c>
      <c r="I373" s="1981">
        <f t="shared" si="565"/>
        <v>0</v>
      </c>
      <c r="J373" s="1981">
        <f t="shared" si="565"/>
        <v>0</v>
      </c>
      <c r="K373" s="1981">
        <f t="shared" si="565"/>
        <v>0</v>
      </c>
      <c r="L373" s="1981">
        <f t="shared" si="565"/>
        <v>0</v>
      </c>
      <c r="M373" s="1981">
        <f t="shared" si="565"/>
        <v>0</v>
      </c>
      <c r="N373" s="1981">
        <f t="shared" si="565"/>
        <v>0</v>
      </c>
      <c r="O373" s="1982">
        <f t="shared" si="565"/>
        <v>0</v>
      </c>
      <c r="P373" s="1983" t="e">
        <f t="shared" si="563"/>
        <v>#DIV/0!</v>
      </c>
      <c r="Q373" s="674"/>
      <c r="U373" s="902"/>
    </row>
    <row r="374" spans="1:21" ht="16.2" thickBot="1">
      <c r="A374" s="616" t="s">
        <v>20</v>
      </c>
      <c r="B374" s="611"/>
      <c r="C374" s="612"/>
      <c r="D374" s="1984" t="e">
        <f t="shared" si="565"/>
        <v>#DIV/0!</v>
      </c>
      <c r="E374" s="1984" t="e">
        <f t="shared" si="565"/>
        <v>#DIV/0!</v>
      </c>
      <c r="F374" s="1984" t="e">
        <f t="shared" si="565"/>
        <v>#DIV/0!</v>
      </c>
      <c r="G374" s="1984">
        <f t="shared" si="565"/>
        <v>0</v>
      </c>
      <c r="H374" s="1984">
        <f t="shared" si="565"/>
        <v>0</v>
      </c>
      <c r="I374" s="1984">
        <f t="shared" si="565"/>
        <v>0</v>
      </c>
      <c r="J374" s="1984">
        <f t="shared" si="565"/>
        <v>0</v>
      </c>
      <c r="K374" s="1984">
        <f t="shared" si="565"/>
        <v>0</v>
      </c>
      <c r="L374" s="1984">
        <f t="shared" si="565"/>
        <v>0</v>
      </c>
      <c r="M374" s="1984">
        <f t="shared" si="565"/>
        <v>0</v>
      </c>
      <c r="N374" s="1984">
        <f t="shared" si="565"/>
        <v>0</v>
      </c>
      <c r="O374" s="1984">
        <f t="shared" si="565"/>
        <v>0</v>
      </c>
      <c r="P374" s="1985" t="e">
        <f t="shared" si="563"/>
        <v>#DIV/0!</v>
      </c>
      <c r="Q374" s="674"/>
      <c r="U374" s="902"/>
    </row>
    <row r="375" spans="1:21" ht="16.2" thickBot="1">
      <c r="A375" s="693" t="s">
        <v>30</v>
      </c>
      <c r="B375" s="694"/>
      <c r="C375" s="726"/>
      <c r="D375" s="1975"/>
      <c r="E375" s="1976"/>
      <c r="F375" s="1976"/>
      <c r="G375" s="1976"/>
      <c r="H375" s="1976"/>
      <c r="I375" s="1976"/>
      <c r="J375" s="1976"/>
      <c r="K375" s="1976"/>
      <c r="L375" s="1976"/>
      <c r="M375" s="1976"/>
      <c r="N375" s="1976"/>
      <c r="O375" s="1977"/>
      <c r="P375" s="1978"/>
      <c r="Q375" s="674"/>
      <c r="U375" s="902"/>
    </row>
    <row r="376" spans="1:21">
      <c r="A376" s="615" t="s">
        <v>106</v>
      </c>
      <c r="B376" s="607"/>
      <c r="C376" s="608"/>
      <c r="D376" s="1986">
        <f t="shared" ref="D376:O377" si="566">+AVERAGE(D18,D42,D66,D90,D114,D138,D162,D186,D210,D234,D258,D282,D306,D330,D353)</f>
        <v>0</v>
      </c>
      <c r="E376" s="1986">
        <f t="shared" si="566"/>
        <v>0</v>
      </c>
      <c r="F376" s="1986">
        <f t="shared" si="566"/>
        <v>0</v>
      </c>
      <c r="G376" s="1986">
        <f t="shared" si="566"/>
        <v>0</v>
      </c>
      <c r="H376" s="1986">
        <f t="shared" si="566"/>
        <v>0</v>
      </c>
      <c r="I376" s="1986">
        <f t="shared" si="566"/>
        <v>0</v>
      </c>
      <c r="J376" s="1986">
        <f t="shared" si="566"/>
        <v>0</v>
      </c>
      <c r="K376" s="1986">
        <f t="shared" si="566"/>
        <v>0</v>
      </c>
      <c r="L376" s="1986">
        <f t="shared" si="566"/>
        <v>0</v>
      </c>
      <c r="M376" s="1986">
        <f t="shared" si="566"/>
        <v>0</v>
      </c>
      <c r="N376" s="1986">
        <f t="shared" si="566"/>
        <v>0</v>
      </c>
      <c r="O376" s="1986">
        <f t="shared" si="566"/>
        <v>0</v>
      </c>
      <c r="P376" s="1983">
        <f t="shared" si="563"/>
        <v>0</v>
      </c>
      <c r="Q376" s="674"/>
      <c r="U376" s="902"/>
    </row>
    <row r="377" spans="1:21" ht="16.2" thickBot="1">
      <c r="A377" s="616" t="s">
        <v>105</v>
      </c>
      <c r="B377" s="617"/>
      <c r="C377" s="618"/>
      <c r="D377" s="1987">
        <f t="shared" si="566"/>
        <v>0</v>
      </c>
      <c r="E377" s="1987">
        <f t="shared" si="566"/>
        <v>0</v>
      </c>
      <c r="F377" s="1987">
        <f t="shared" si="566"/>
        <v>0</v>
      </c>
      <c r="G377" s="1987">
        <f t="shared" si="566"/>
        <v>0</v>
      </c>
      <c r="H377" s="1987">
        <f t="shared" si="566"/>
        <v>0</v>
      </c>
      <c r="I377" s="1987">
        <f t="shared" si="566"/>
        <v>0</v>
      </c>
      <c r="J377" s="1987">
        <f t="shared" si="566"/>
        <v>0</v>
      </c>
      <c r="K377" s="1987">
        <f t="shared" si="566"/>
        <v>0</v>
      </c>
      <c r="L377" s="1987">
        <f t="shared" si="566"/>
        <v>0</v>
      </c>
      <c r="M377" s="1987">
        <f t="shared" si="566"/>
        <v>0</v>
      </c>
      <c r="N377" s="1987">
        <f t="shared" si="566"/>
        <v>0</v>
      </c>
      <c r="O377" s="1987">
        <f t="shared" si="566"/>
        <v>0</v>
      </c>
      <c r="P377" s="1988">
        <f t="shared" si="563"/>
        <v>0</v>
      </c>
      <c r="Q377" s="674"/>
      <c r="U377" s="902"/>
    </row>
  </sheetData>
  <mergeCells count="48">
    <mergeCell ref="D74:P74"/>
    <mergeCell ref="D98:P98"/>
    <mergeCell ref="C74:C75"/>
    <mergeCell ref="C98:C99"/>
    <mergeCell ref="D2:P2"/>
    <mergeCell ref="D26:P26"/>
    <mergeCell ref="D50:P50"/>
    <mergeCell ref="C2:C3"/>
    <mergeCell ref="C26:C27"/>
    <mergeCell ref="C50:C51"/>
    <mergeCell ref="C146:C147"/>
    <mergeCell ref="C170:C171"/>
    <mergeCell ref="D194:P194"/>
    <mergeCell ref="D122:P122"/>
    <mergeCell ref="D146:P146"/>
    <mergeCell ref="D218:P218"/>
    <mergeCell ref="D242:P242"/>
    <mergeCell ref="B2:B3"/>
    <mergeCell ref="B26:B27"/>
    <mergeCell ref="B50:B51"/>
    <mergeCell ref="B74:B75"/>
    <mergeCell ref="C194:C195"/>
    <mergeCell ref="C218:C219"/>
    <mergeCell ref="C242:C243"/>
    <mergeCell ref="B98:B99"/>
    <mergeCell ref="B122:B123"/>
    <mergeCell ref="B146:B147"/>
    <mergeCell ref="B170:B171"/>
    <mergeCell ref="B194:B195"/>
    <mergeCell ref="D170:P170"/>
    <mergeCell ref="C122:C123"/>
    <mergeCell ref="D314:P314"/>
    <mergeCell ref="D266:P266"/>
    <mergeCell ref="D290:P290"/>
    <mergeCell ref="C266:C267"/>
    <mergeCell ref="C290:C291"/>
    <mergeCell ref="C314:C315"/>
    <mergeCell ref="B314:B315"/>
    <mergeCell ref="B218:B219"/>
    <mergeCell ref="B242:B243"/>
    <mergeCell ref="B266:B267"/>
    <mergeCell ref="B290:B291"/>
    <mergeCell ref="B337:B338"/>
    <mergeCell ref="C337:C338"/>
    <mergeCell ref="D337:P337"/>
    <mergeCell ref="B360:B361"/>
    <mergeCell ref="C360:C361"/>
    <mergeCell ref="D360:P360"/>
  </mergeCells>
  <pageMargins left="0.23622047244094491" right="0.23622047244094491" top="0.74803149606299213" bottom="0.74803149606299213" header="0.31496062992125984" footer="0.31496062992125984"/>
  <pageSetup paperSize="9" scale="63" fitToHeight="0" orientation="landscape" r:id="rId1"/>
  <headerFooter alignWithMargins="0"/>
  <rowBreaks count="14" manualBreakCount="14">
    <brk id="25" max="16" man="1"/>
    <brk id="47" max="16" man="1"/>
    <brk id="71" max="16" man="1"/>
    <brk id="95" max="16" man="1"/>
    <brk id="119" max="16" man="1"/>
    <brk id="143" max="16" man="1"/>
    <brk id="167" max="16" man="1"/>
    <brk id="191" max="16" man="1"/>
    <brk id="215" max="16" man="1"/>
    <brk id="239" max="16" man="1"/>
    <brk id="263" max="16" man="1"/>
    <brk id="287" max="16" man="1"/>
    <brk id="311" max="16" man="1"/>
    <brk id="336" max="16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66"/>
  </sheetPr>
  <dimension ref="A1:W379"/>
  <sheetViews>
    <sheetView zoomScale="80" zoomScaleNormal="80" workbookViewId="0">
      <selection activeCell="D7" sqref="D7"/>
    </sheetView>
  </sheetViews>
  <sheetFormatPr defaultColWidth="9.109375" defaultRowHeight="15.6"/>
  <cols>
    <col min="1" max="1" width="28.5546875" style="550" customWidth="1"/>
    <col min="2" max="2" width="11.33203125" style="550" customWidth="1"/>
    <col min="3" max="3" width="13.44140625" style="691" customWidth="1"/>
    <col min="4" max="4" width="17.44140625" style="674" bestFit="1" customWidth="1"/>
    <col min="5" max="5" width="13.6640625" style="674" bestFit="1" customWidth="1"/>
    <col min="6" max="6" width="13.6640625" style="692" bestFit="1" customWidth="1"/>
    <col min="7" max="7" width="17.5546875" style="674" bestFit="1" customWidth="1"/>
    <col min="8" max="15" width="16" style="674" bestFit="1" customWidth="1"/>
    <col min="16" max="16" width="12.33203125" style="550" bestFit="1" customWidth="1"/>
    <col min="17" max="17" width="11.109375" style="550" customWidth="1"/>
    <col min="18" max="18" width="21.5546875" style="550" customWidth="1"/>
    <col min="19" max="19" width="13.88671875" style="550" customWidth="1"/>
    <col min="20" max="20" width="14.109375" style="550" customWidth="1"/>
    <col min="21" max="21" width="14.5546875" style="902" customWidth="1"/>
    <col min="22" max="22" width="9.109375" style="550"/>
    <col min="23" max="23" width="11.33203125" style="550" bestFit="1" customWidth="1"/>
    <col min="24" max="16384" width="9.109375" style="550"/>
  </cols>
  <sheetData>
    <row r="1" spans="1:23" ht="16.2" thickBot="1">
      <c r="C1" s="550"/>
      <c r="F1" s="674"/>
      <c r="R1" s="1460" t="s">
        <v>433</v>
      </c>
      <c r="S1" s="1460" t="s">
        <v>434</v>
      </c>
      <c r="T1" s="1460" t="s">
        <v>435</v>
      </c>
      <c r="U1" s="1464"/>
    </row>
    <row r="2" spans="1:23" ht="32.1" customHeight="1" thickBot="1">
      <c r="A2" s="649"/>
      <c r="B2" s="2390"/>
      <c r="C2" s="2392" t="s">
        <v>695</v>
      </c>
      <c r="D2" s="2394" t="s">
        <v>159</v>
      </c>
      <c r="E2" s="2395"/>
      <c r="F2" s="2395"/>
      <c r="G2" s="2395"/>
      <c r="H2" s="2395"/>
      <c r="I2" s="2395"/>
      <c r="J2" s="2395"/>
      <c r="K2" s="2395"/>
      <c r="L2" s="2395"/>
      <c r="M2" s="2395"/>
      <c r="N2" s="2395"/>
      <c r="O2" s="2395"/>
      <c r="P2" s="2396"/>
      <c r="Q2" s="937" t="s">
        <v>605</v>
      </c>
      <c r="R2" s="550">
        <v>1.1399999999999999</v>
      </c>
      <c r="S2" s="550">
        <v>1.1499999999999999</v>
      </c>
      <c r="T2" s="550">
        <v>1.1599999999999999</v>
      </c>
    </row>
    <row r="3" spans="1:23" ht="32.1" customHeight="1" thickBot="1">
      <c r="A3" s="650"/>
      <c r="B3" s="2391"/>
      <c r="C3" s="2393"/>
      <c r="D3" s="678" t="s">
        <v>1</v>
      </c>
      <c r="E3" s="679" t="s">
        <v>2</v>
      </c>
      <c r="F3" s="679" t="s">
        <v>3</v>
      </c>
      <c r="G3" s="679" t="s">
        <v>4</v>
      </c>
      <c r="H3" s="679" t="s">
        <v>5</v>
      </c>
      <c r="I3" s="679" t="s">
        <v>6</v>
      </c>
      <c r="J3" s="679" t="s">
        <v>7</v>
      </c>
      <c r="K3" s="679" t="s">
        <v>8</v>
      </c>
      <c r="L3" s="679" t="s">
        <v>9</v>
      </c>
      <c r="M3" s="679" t="s">
        <v>10</v>
      </c>
      <c r="N3" s="679" t="s">
        <v>11</v>
      </c>
      <c r="O3" s="680" t="s">
        <v>12</v>
      </c>
      <c r="P3" s="651" t="s">
        <v>281</v>
      </c>
      <c r="Q3" s="941" t="s">
        <v>693</v>
      </c>
      <c r="R3" s="913" t="s">
        <v>509</v>
      </c>
      <c r="S3" s="913" t="s">
        <v>150</v>
      </c>
      <c r="T3" s="913" t="s">
        <v>151</v>
      </c>
    </row>
    <row r="4" spans="1:23" s="700" customFormat="1" ht="25.5" customHeight="1" thickBot="1">
      <c r="A4" s="693" t="s">
        <v>28</v>
      </c>
      <c r="B4" s="694"/>
      <c r="C4" s="695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8"/>
      <c r="P4" s="695"/>
      <c r="Q4" s="699"/>
      <c r="R4" s="1795" t="s">
        <v>159</v>
      </c>
      <c r="S4" s="914"/>
      <c r="T4" s="914" t="s">
        <v>320</v>
      </c>
      <c r="U4" s="914" t="s">
        <v>495</v>
      </c>
    </row>
    <row r="5" spans="1:23" ht="25.5" customHeight="1">
      <c r="A5" s="654" t="s">
        <v>15</v>
      </c>
      <c r="B5" s="655"/>
      <c r="C5" s="656"/>
      <c r="D5" s="657">
        <f>'Alış Fiyat'!D5*1.026</f>
        <v>0</v>
      </c>
      <c r="E5" s="657">
        <f>'Alış Fiyat'!E5*1.026</f>
        <v>0</v>
      </c>
      <c r="F5" s="657">
        <f>'Alış Fiyat'!F5*1.026</f>
        <v>0</v>
      </c>
      <c r="G5" s="657">
        <f>+F5*$R$2</f>
        <v>0</v>
      </c>
      <c r="H5" s="657">
        <f t="shared" ref="H5:H6" si="0">+F5*$R$2</f>
        <v>0</v>
      </c>
      <c r="I5" s="657">
        <f t="shared" ref="I5:I6" si="1">+F5*$R$2</f>
        <v>0</v>
      </c>
      <c r="J5" s="657">
        <f t="shared" ref="J5:J12" si="2">+I5*$S$2</f>
        <v>0</v>
      </c>
      <c r="K5" s="657">
        <f t="shared" ref="K5:K6" si="3">+I5*$S$2</f>
        <v>0</v>
      </c>
      <c r="L5" s="657">
        <f t="shared" ref="L5:L6" si="4">+I5*$S$2</f>
        <v>0</v>
      </c>
      <c r="M5" s="657">
        <f t="shared" ref="M5:M12" si="5">+L5*$T$2</f>
        <v>0</v>
      </c>
      <c r="N5" s="657">
        <f t="shared" ref="N5:N6" si="6">+L5*$T$2</f>
        <v>0</v>
      </c>
      <c r="O5" s="657">
        <f t="shared" ref="O5:O6" si="7">+L5*$T$2</f>
        <v>0</v>
      </c>
      <c r="P5" s="658">
        <f>AVERAGE(D5:O5)</f>
        <v>0</v>
      </c>
      <c r="Q5" s="659" t="e">
        <f>SUM(P5-C5)/C5</f>
        <v>#DIV/0!</v>
      </c>
      <c r="U5" s="915"/>
    </row>
    <row r="6" spans="1:23" ht="25.5" hidden="1" customHeight="1">
      <c r="A6" s="660" t="s">
        <v>16</v>
      </c>
      <c r="B6" s="661"/>
      <c r="C6" s="662"/>
      <c r="D6" s="663"/>
      <c r="E6" s="663"/>
      <c r="F6" s="663"/>
      <c r="G6" s="663">
        <f>+F6*$R$2</f>
        <v>0</v>
      </c>
      <c r="H6" s="663">
        <f t="shared" si="0"/>
        <v>0</v>
      </c>
      <c r="I6" s="663">
        <f t="shared" si="1"/>
        <v>0</v>
      </c>
      <c r="J6" s="663">
        <f t="shared" si="2"/>
        <v>0</v>
      </c>
      <c r="K6" s="663">
        <f t="shared" si="3"/>
        <v>0</v>
      </c>
      <c r="L6" s="663">
        <f t="shared" si="4"/>
        <v>0</v>
      </c>
      <c r="M6" s="663">
        <f t="shared" si="5"/>
        <v>0</v>
      </c>
      <c r="N6" s="663">
        <f t="shared" si="6"/>
        <v>0</v>
      </c>
      <c r="O6" s="663">
        <f t="shared" si="7"/>
        <v>0</v>
      </c>
      <c r="P6" s="604"/>
      <c r="Q6" s="600"/>
      <c r="R6" s="601"/>
      <c r="U6" s="916"/>
    </row>
    <row r="7" spans="1:23" s="709" customFormat="1" ht="25.5" customHeight="1">
      <c r="A7" s="701" t="s">
        <v>27</v>
      </c>
      <c r="B7" s="702"/>
      <c r="C7" s="703"/>
      <c r="D7" s="704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7"/>
      <c r="Q7" s="708"/>
      <c r="R7" s="550"/>
      <c r="S7" s="550"/>
      <c r="T7" s="550"/>
      <c r="U7" s="917"/>
    </row>
    <row r="8" spans="1:23" s="709" customFormat="1" ht="25.5" customHeight="1">
      <c r="A8" s="710" t="s">
        <v>17</v>
      </c>
      <c r="B8" s="711"/>
      <c r="C8" s="712"/>
      <c r="D8" s="713"/>
      <c r="E8" s="713"/>
      <c r="F8" s="713"/>
      <c r="G8" s="713">
        <f>+F8*$R$2</f>
        <v>0</v>
      </c>
      <c r="H8" s="713">
        <f>+F8*$R$2</f>
        <v>0</v>
      </c>
      <c r="I8" s="713">
        <f>+F8*$R$2</f>
        <v>0</v>
      </c>
      <c r="J8" s="713">
        <f>+I8*$S$2</f>
        <v>0</v>
      </c>
      <c r="K8" s="713">
        <f>+I8*$S$2</f>
        <v>0</v>
      </c>
      <c r="L8" s="713">
        <f>+I8*$S$2</f>
        <v>0</v>
      </c>
      <c r="M8" s="713">
        <f>+L8*$T$2</f>
        <v>0</v>
      </c>
      <c r="N8" s="713">
        <f>+L8*$T$2</f>
        <v>0</v>
      </c>
      <c r="O8" s="713">
        <f>+L8*$T$2</f>
        <v>0</v>
      </c>
      <c r="P8" s="716">
        <f>AVERAGE(D8:O8)</f>
        <v>0</v>
      </c>
      <c r="Q8" s="717"/>
      <c r="R8" s="550"/>
      <c r="S8" s="550"/>
      <c r="T8" s="550"/>
      <c r="U8" s="918"/>
    </row>
    <row r="9" spans="1:23" ht="25.5" customHeight="1">
      <c r="A9" s="670" t="s">
        <v>81</v>
      </c>
      <c r="B9" s="602"/>
      <c r="C9" s="656"/>
      <c r="D9" s="657">
        <f>'Alış Fiyat'!D9*1.026</f>
        <v>0</v>
      </c>
      <c r="E9" s="657">
        <f>'Alış Fiyat'!E9*1.026</f>
        <v>0</v>
      </c>
      <c r="F9" s="657">
        <f>'Alış Fiyat'!F9*1.026</f>
        <v>0</v>
      </c>
      <c r="G9" s="671">
        <f>'Alış Fiyat'!G9*1.026</f>
        <v>21.016782098047234</v>
      </c>
      <c r="H9" s="657">
        <f>'Alış Fiyat'!H9*1.026</f>
        <v>21.401708791518182</v>
      </c>
      <c r="I9" s="657">
        <f>'Alış Fiyat'!I9*1.026</f>
        <v>22.282103063436651</v>
      </c>
      <c r="J9" s="657">
        <f>'Alış Fiyat'!J9*1.026</f>
        <v>23.267530335359503</v>
      </c>
      <c r="K9" s="657">
        <f>'Alış Fiyat'!K9*1.026</f>
        <v>23.808484099063001</v>
      </c>
      <c r="L9" s="657">
        <f>'Alış Fiyat'!L9*1.026</f>
        <v>23.625749105721408</v>
      </c>
      <c r="M9" s="657">
        <f>'Alış Fiyat'!M9*1.026</f>
        <v>24.308953714158466</v>
      </c>
      <c r="N9" s="657">
        <f>'Alış Fiyat'!N9*1.026</f>
        <v>23.596355627346075</v>
      </c>
      <c r="O9" s="657">
        <f>'Alış Fiyat'!O9*1.026</f>
        <v>24.102490526570396</v>
      </c>
      <c r="P9" s="605">
        <f>AVERAGE(D9:O9)</f>
        <v>17.284179780101741</v>
      </c>
      <c r="Q9" s="606" t="e">
        <f>SUM(P9-C9)/C9</f>
        <v>#DIV/0!</v>
      </c>
      <c r="R9" s="1591"/>
      <c r="U9" s="919"/>
      <c r="W9" s="1463"/>
    </row>
    <row r="10" spans="1:23" ht="25.5" hidden="1" customHeight="1">
      <c r="A10" s="672" t="s">
        <v>82</v>
      </c>
      <c r="B10" s="603"/>
      <c r="C10" s="662"/>
      <c r="D10" s="671"/>
      <c r="E10" s="671"/>
      <c r="F10" s="671"/>
      <c r="G10" s="671">
        <f>+F10*$R$2</f>
        <v>0</v>
      </c>
      <c r="H10" s="671">
        <f t="shared" ref="H10:H12" si="8">+F10*$R$2</f>
        <v>0</v>
      </c>
      <c r="I10" s="671">
        <f t="shared" ref="I10:I12" si="9">+F10*$R$2</f>
        <v>0</v>
      </c>
      <c r="J10" s="671">
        <f t="shared" si="2"/>
        <v>0</v>
      </c>
      <c r="K10" s="671">
        <f t="shared" ref="K10:K12" si="10">+I10*$S$2</f>
        <v>0</v>
      </c>
      <c r="L10" s="671">
        <f t="shared" ref="L10:L12" si="11">+I10*$S$2</f>
        <v>0</v>
      </c>
      <c r="M10" s="671">
        <f t="shared" si="5"/>
        <v>0</v>
      </c>
      <c r="N10" s="671">
        <f t="shared" ref="N10:N12" si="12">+L10*$T$2</f>
        <v>0</v>
      </c>
      <c r="O10" s="671">
        <f t="shared" ref="O10:O12" si="13">+L10*$T$2</f>
        <v>0</v>
      </c>
      <c r="P10" s="604"/>
      <c r="Q10" s="600"/>
      <c r="U10" s="920"/>
    </row>
    <row r="11" spans="1:23" ht="25.5" customHeight="1">
      <c r="A11" s="670" t="s">
        <v>83</v>
      </c>
      <c r="B11" s="673"/>
      <c r="C11" s="656"/>
      <c r="D11" s="671">
        <f>+D9</f>
        <v>0</v>
      </c>
      <c r="E11" s="671">
        <f t="shared" ref="E11:F11" si="14">+E9</f>
        <v>0</v>
      </c>
      <c r="F11" s="671">
        <f t="shared" si="14"/>
        <v>0</v>
      </c>
      <c r="G11" s="671">
        <f t="shared" ref="G11:G12" si="15">+F11*$R$2</f>
        <v>0</v>
      </c>
      <c r="H11" s="671">
        <f t="shared" si="8"/>
        <v>0</v>
      </c>
      <c r="I11" s="671">
        <f t="shared" si="9"/>
        <v>0</v>
      </c>
      <c r="J11" s="671">
        <f t="shared" si="2"/>
        <v>0</v>
      </c>
      <c r="K11" s="671">
        <f t="shared" si="10"/>
        <v>0</v>
      </c>
      <c r="L11" s="671">
        <f t="shared" si="11"/>
        <v>0</v>
      </c>
      <c r="M11" s="671">
        <f t="shared" si="5"/>
        <v>0</v>
      </c>
      <c r="N11" s="671">
        <f t="shared" si="12"/>
        <v>0</v>
      </c>
      <c r="O11" s="671">
        <f t="shared" si="13"/>
        <v>0</v>
      </c>
      <c r="P11" s="605">
        <f>AVERAGE(D11:O11)</f>
        <v>0</v>
      </c>
      <c r="Q11" s="606" t="e">
        <f>SUM(P11-C11)/C11</f>
        <v>#DIV/0!</v>
      </c>
      <c r="U11" s="920"/>
    </row>
    <row r="12" spans="1:23" ht="25.5" hidden="1" customHeight="1">
      <c r="A12" s="672" t="s">
        <v>84</v>
      </c>
      <c r="B12" s="661"/>
      <c r="C12" s="675"/>
      <c r="D12" s="676"/>
      <c r="E12" s="676"/>
      <c r="F12" s="676"/>
      <c r="G12" s="676">
        <f t="shared" si="15"/>
        <v>0</v>
      </c>
      <c r="H12" s="676">
        <f t="shared" si="8"/>
        <v>0</v>
      </c>
      <c r="I12" s="676">
        <f t="shared" si="9"/>
        <v>0</v>
      </c>
      <c r="J12" s="676">
        <f t="shared" si="2"/>
        <v>0</v>
      </c>
      <c r="K12" s="676">
        <f t="shared" si="10"/>
        <v>0</v>
      </c>
      <c r="L12" s="676">
        <f t="shared" si="11"/>
        <v>0</v>
      </c>
      <c r="M12" s="676">
        <f t="shared" si="5"/>
        <v>0</v>
      </c>
      <c r="N12" s="676">
        <f t="shared" si="12"/>
        <v>0</v>
      </c>
      <c r="O12" s="676">
        <f t="shared" si="13"/>
        <v>0</v>
      </c>
      <c r="P12" s="604"/>
      <c r="Q12" s="600"/>
      <c r="U12" s="920"/>
    </row>
    <row r="13" spans="1:23" s="709" customFormat="1" ht="25.5" customHeight="1" thickBot="1">
      <c r="A13" s="718" t="s">
        <v>18</v>
      </c>
      <c r="B13" s="719"/>
      <c r="C13" s="720"/>
      <c r="D13" s="721"/>
      <c r="E13" s="721"/>
      <c r="F13" s="721"/>
      <c r="G13" s="721"/>
      <c r="H13" s="721"/>
      <c r="I13" s="721"/>
      <c r="J13" s="721"/>
      <c r="K13" s="721"/>
      <c r="L13" s="721"/>
      <c r="M13" s="721"/>
      <c r="N13" s="721"/>
      <c r="O13" s="721"/>
      <c r="P13" s="720"/>
      <c r="Q13" s="724"/>
      <c r="R13" s="550"/>
      <c r="S13" s="550"/>
      <c r="T13" s="550"/>
      <c r="U13" s="921"/>
    </row>
    <row r="14" spans="1:23" s="709" customFormat="1" ht="25.5" customHeight="1" thickBot="1">
      <c r="A14" s="693" t="s">
        <v>29</v>
      </c>
      <c r="B14" s="725"/>
      <c r="C14" s="726"/>
      <c r="D14" s="727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9"/>
      <c r="P14" s="726"/>
      <c r="Q14" s="730"/>
      <c r="R14" s="550"/>
      <c r="S14" s="550"/>
      <c r="T14" s="550"/>
      <c r="U14" s="903"/>
    </row>
    <row r="15" spans="1:23" ht="25.5" customHeight="1">
      <c r="A15" s="615" t="s">
        <v>19</v>
      </c>
      <c r="B15" s="607"/>
      <c r="C15" s="608"/>
      <c r="D15" s="681">
        <f>+'M.Yağ Alış Fiyat'!$G$2</f>
        <v>0</v>
      </c>
      <c r="E15" s="681">
        <f>+'M.Yağ Alış Fiyat'!$G$2</f>
        <v>0</v>
      </c>
      <c r="F15" s="681">
        <f>+'M.Yağ Alış Fiyat'!$G$2</f>
        <v>0</v>
      </c>
      <c r="G15" s="681">
        <f t="shared" ref="G15:G16" si="16">+F15*$R$2</f>
        <v>0</v>
      </c>
      <c r="H15" s="681">
        <f t="shared" ref="H15:H16" si="17">+F15*$R$2</f>
        <v>0</v>
      </c>
      <c r="I15" s="681">
        <f t="shared" ref="I15:I16" si="18">+F15*$R$2</f>
        <v>0</v>
      </c>
      <c r="J15" s="681">
        <f t="shared" ref="J15:J16" si="19">+I15*$S$2</f>
        <v>0</v>
      </c>
      <c r="K15" s="681">
        <f t="shared" ref="K15:K16" si="20">+I15*$S$2</f>
        <v>0</v>
      </c>
      <c r="L15" s="681">
        <f t="shared" ref="L15:L16" si="21">+I15*$S$2</f>
        <v>0</v>
      </c>
      <c r="M15" s="681">
        <f t="shared" ref="M15:M16" si="22">+L15*$T$2</f>
        <v>0</v>
      </c>
      <c r="N15" s="681">
        <f t="shared" ref="N15:N16" si="23">+L15*$T$2</f>
        <v>0</v>
      </c>
      <c r="O15" s="681">
        <f t="shared" ref="O15:O16" si="24">+L15*$T$2</f>
        <v>0</v>
      </c>
      <c r="P15" s="609">
        <f>AVERAGE(D15:O15)</f>
        <v>0</v>
      </c>
      <c r="Q15" s="610" t="e">
        <f t="shared" ref="Q15:Q16" si="25">SUM(P15-C15)/C15</f>
        <v>#DIV/0!</v>
      </c>
      <c r="U15" s="904"/>
    </row>
    <row r="16" spans="1:23" ht="25.5" customHeight="1" thickBot="1">
      <c r="A16" s="616" t="s">
        <v>20</v>
      </c>
      <c r="B16" s="611"/>
      <c r="C16" s="612"/>
      <c r="D16" s="1034">
        <f>+'M.Yağ Alış Fiyat'!$G$3</f>
        <v>0</v>
      </c>
      <c r="E16" s="1034">
        <f>+'M.Yağ Alış Fiyat'!$G$3</f>
        <v>0</v>
      </c>
      <c r="F16" s="1034">
        <f>+'M.Yağ Alış Fiyat'!$G$3</f>
        <v>0</v>
      </c>
      <c r="G16" s="1034">
        <f t="shared" si="16"/>
        <v>0</v>
      </c>
      <c r="H16" s="1034">
        <f t="shared" si="17"/>
        <v>0</v>
      </c>
      <c r="I16" s="1034">
        <f t="shared" si="18"/>
        <v>0</v>
      </c>
      <c r="J16" s="1034">
        <f t="shared" si="19"/>
        <v>0</v>
      </c>
      <c r="K16" s="1034">
        <f t="shared" si="20"/>
        <v>0</v>
      </c>
      <c r="L16" s="1034">
        <f t="shared" si="21"/>
        <v>0</v>
      </c>
      <c r="M16" s="1034">
        <f t="shared" si="22"/>
        <v>0</v>
      </c>
      <c r="N16" s="1034">
        <f t="shared" si="23"/>
        <v>0</v>
      </c>
      <c r="O16" s="1034">
        <f t="shared" si="24"/>
        <v>0</v>
      </c>
      <c r="P16" s="613">
        <f>AVERAGE(D16:O16)</f>
        <v>0</v>
      </c>
      <c r="Q16" s="614" t="e">
        <f t="shared" si="25"/>
        <v>#DIV/0!</v>
      </c>
      <c r="U16" s="905"/>
    </row>
    <row r="17" spans="1:22" s="709" customFormat="1" ht="25.5" customHeight="1" thickBot="1">
      <c r="A17" s="693" t="s">
        <v>30</v>
      </c>
      <c r="B17" s="694"/>
      <c r="C17" s="726"/>
      <c r="D17" s="727"/>
      <c r="E17" s="728"/>
      <c r="F17" s="728"/>
      <c r="G17" s="728"/>
      <c r="H17" s="728"/>
      <c r="I17" s="728"/>
      <c r="J17" s="728"/>
      <c r="K17" s="728"/>
      <c r="L17" s="728"/>
      <c r="M17" s="728"/>
      <c r="N17" s="728"/>
      <c r="O17" s="729"/>
      <c r="P17" s="726"/>
      <c r="Q17" s="730"/>
      <c r="R17" s="550"/>
      <c r="S17" s="550"/>
      <c r="T17" s="550"/>
      <c r="U17" s="903"/>
    </row>
    <row r="18" spans="1:22" ht="25.5" customHeight="1">
      <c r="A18" s="615" t="s">
        <v>106</v>
      </c>
      <c r="B18" s="607"/>
      <c r="C18" s="608"/>
      <c r="D18" s="687">
        <f>+'M.Yağ Alış Fiyat'!$C$2</f>
        <v>0</v>
      </c>
      <c r="E18" s="687">
        <f>'M.Yağ Alış Fiyat'!$C$2</f>
        <v>0</v>
      </c>
      <c r="F18" s="687">
        <f>'M.Yağ Alış Fiyat'!$C$2</f>
        <v>0</v>
      </c>
      <c r="G18" s="687">
        <f>('M.Yağ Alış Fiyat'!$C$2)*1.14</f>
        <v>0</v>
      </c>
      <c r="H18" s="687">
        <f>('M.Yağ Alış Fiyat'!$C$2)*1.14</f>
        <v>0</v>
      </c>
      <c r="I18" s="687">
        <f>('M.Yağ Alış Fiyat'!$C$2)*1.14</f>
        <v>0</v>
      </c>
      <c r="J18" s="687">
        <f>$I$18*1.15</f>
        <v>0</v>
      </c>
      <c r="K18" s="687">
        <f t="shared" ref="K18:L18" si="26">$I$18*1.15</f>
        <v>0</v>
      </c>
      <c r="L18" s="687">
        <f t="shared" si="26"/>
        <v>0</v>
      </c>
      <c r="M18" s="687">
        <f>$K$18*1.16</f>
        <v>0</v>
      </c>
      <c r="N18" s="687">
        <f>$K$18*1.16</f>
        <v>0</v>
      </c>
      <c r="O18" s="687">
        <f>$K$18*1.16</f>
        <v>0</v>
      </c>
      <c r="P18" s="609">
        <f>AVERAGE(D18:O18)</f>
        <v>0</v>
      </c>
      <c r="Q18" s="610" t="e">
        <f t="shared" ref="Q18:Q19" si="27">SUM(P18-C18)/C18</f>
        <v>#DIV/0!</v>
      </c>
      <c r="U18" s="904"/>
    </row>
    <row r="19" spans="1:22" ht="25.5" customHeight="1" thickBot="1">
      <c r="A19" s="616" t="s">
        <v>105</v>
      </c>
      <c r="B19" s="617"/>
      <c r="C19" s="618"/>
      <c r="D19" s="688">
        <f>+'M.Yağ Alış Fiyat'!$C$3</f>
        <v>0</v>
      </c>
      <c r="E19" s="688">
        <f>'M.Yağ Alış Fiyat'!$C$3</f>
        <v>0</v>
      </c>
      <c r="F19" s="688">
        <f>'M.Yağ Alış Fiyat'!$C$3</f>
        <v>0</v>
      </c>
      <c r="G19" s="688">
        <f>('M.Yağ Alış Fiyat'!$C$3)*1.14</f>
        <v>0</v>
      </c>
      <c r="H19" s="688">
        <f>('M.Yağ Alış Fiyat'!$C$3)*1.14</f>
        <v>0</v>
      </c>
      <c r="I19" s="688">
        <f>('M.Yağ Alış Fiyat'!$C$3)*1.14</f>
        <v>0</v>
      </c>
      <c r="J19" s="688">
        <f>$I$19*1.15</f>
        <v>0</v>
      </c>
      <c r="K19" s="688">
        <f t="shared" ref="K19:L19" si="28">$I$19*1.15</f>
        <v>0</v>
      </c>
      <c r="L19" s="688">
        <f t="shared" si="28"/>
        <v>0</v>
      </c>
      <c r="M19" s="688">
        <f>$L$19*1.16</f>
        <v>0</v>
      </c>
      <c r="N19" s="688">
        <f t="shared" ref="N19:O19" si="29">$L$19*1.16</f>
        <v>0</v>
      </c>
      <c r="O19" s="688">
        <f t="shared" si="29"/>
        <v>0</v>
      </c>
      <c r="P19" s="619">
        <f>AVERAGE(D19:O19)</f>
        <v>0</v>
      </c>
      <c r="Q19" s="620" t="e">
        <f t="shared" si="27"/>
        <v>#DIV/0!</v>
      </c>
      <c r="U19" s="906"/>
    </row>
    <row r="20" spans="1:22" ht="25.5" customHeight="1" thickBot="1">
      <c r="B20" s="601"/>
      <c r="C20" s="621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22"/>
      <c r="Q20" s="623"/>
      <c r="U20" s="907"/>
    </row>
    <row r="21" spans="1:22" s="709" customFormat="1" ht="25.5" customHeight="1" thickBot="1">
      <c r="A21" s="693" t="s">
        <v>86</v>
      </c>
      <c r="B21" s="694"/>
      <c r="C21" s="695"/>
      <c r="D21" s="696">
        <f>14451.305/1000</f>
        <v>14.451305</v>
      </c>
      <c r="E21" s="696">
        <f t="shared" ref="E21:F21" si="30">14451.305/1000</f>
        <v>14.451305</v>
      </c>
      <c r="F21" s="696">
        <f t="shared" si="30"/>
        <v>14.451305</v>
      </c>
      <c r="G21" s="696">
        <f>+F21*$R$2</f>
        <v>16.474487699999997</v>
      </c>
      <c r="H21" s="696">
        <f t="shared" ref="H21" si="31">+F21*$R$2</f>
        <v>16.474487699999997</v>
      </c>
      <c r="I21" s="696">
        <f t="shared" ref="I21" si="32">+F21*$R$2</f>
        <v>16.474487699999997</v>
      </c>
      <c r="J21" s="696">
        <f t="shared" ref="J21" si="33">+I21*$S$2</f>
        <v>18.945660854999996</v>
      </c>
      <c r="K21" s="696">
        <f t="shared" ref="K21" si="34">+I21*$S$2</f>
        <v>18.945660854999996</v>
      </c>
      <c r="L21" s="696">
        <f t="shared" ref="L21" si="35">+I21*$S$2</f>
        <v>18.945660854999996</v>
      </c>
      <c r="M21" s="696">
        <f t="shared" ref="M21" si="36">+L21*$T$2</f>
        <v>21.976966591799993</v>
      </c>
      <c r="N21" s="696">
        <f t="shared" ref="N21" si="37">+L21*$T$2</f>
        <v>21.976966591799993</v>
      </c>
      <c r="O21" s="696">
        <f t="shared" ref="O21" si="38">+L21*$T$2</f>
        <v>21.976966591799993</v>
      </c>
      <c r="P21" s="2270">
        <f>AVERAGE(D21:O21)</f>
        <v>17.962105036699999</v>
      </c>
      <c r="Q21" s="699" t="e">
        <f>SUM(P21-C21)/C21</f>
        <v>#DIV/0!</v>
      </c>
      <c r="R21" s="550"/>
      <c r="S21" s="550"/>
      <c r="T21" s="550"/>
      <c r="U21" s="908"/>
    </row>
    <row r="22" spans="1:22" ht="25.5" customHeight="1" thickBot="1">
      <c r="A22" s="624"/>
      <c r="B22" s="625"/>
      <c r="C22" s="626"/>
      <c r="D22" s="690"/>
      <c r="E22" s="690"/>
      <c r="F22" s="690"/>
      <c r="G22" s="690"/>
      <c r="H22" s="690"/>
      <c r="I22" s="690"/>
      <c r="J22" s="690"/>
      <c r="K22" s="690"/>
      <c r="L22" s="690"/>
      <c r="M22" s="690"/>
      <c r="N22" s="690"/>
      <c r="O22" s="690"/>
      <c r="P22" s="626"/>
      <c r="Q22" s="627"/>
    </row>
    <row r="23" spans="1:22" s="709" customFormat="1" ht="25.5" customHeight="1" thickBot="1">
      <c r="A23" s="693" t="s">
        <v>31</v>
      </c>
      <c r="B23" s="694"/>
      <c r="C23" s="695"/>
      <c r="D23" s="696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8"/>
      <c r="P23" s="695"/>
      <c r="Q23" s="699"/>
      <c r="R23" s="550"/>
      <c r="S23" s="550"/>
      <c r="T23" s="550"/>
      <c r="U23" s="909"/>
    </row>
    <row r="24" spans="1:22">
      <c r="R24" s="652"/>
      <c r="T24" s="652"/>
      <c r="V24" s="549"/>
    </row>
    <row r="25" spans="1:22" ht="16.2" thickBot="1">
      <c r="R25" s="652"/>
      <c r="T25" s="652"/>
    </row>
    <row r="26" spans="1:22" ht="32.1" customHeight="1" thickBot="1">
      <c r="A26" s="649"/>
      <c r="B26" s="2390"/>
      <c r="C26" s="2392" t="s">
        <v>695</v>
      </c>
      <c r="D26" s="2394" t="s">
        <v>90</v>
      </c>
      <c r="E26" s="2395"/>
      <c r="F26" s="2395"/>
      <c r="G26" s="2395"/>
      <c r="H26" s="2395"/>
      <c r="I26" s="2395"/>
      <c r="J26" s="2395"/>
      <c r="K26" s="2395"/>
      <c r="L26" s="2395"/>
      <c r="M26" s="2395"/>
      <c r="N26" s="2395"/>
      <c r="O26" s="2395"/>
      <c r="P26" s="2396"/>
      <c r="Q26" s="937" t="s">
        <v>605</v>
      </c>
    </row>
    <row r="27" spans="1:22" ht="32.1" customHeight="1" thickBot="1">
      <c r="A27" s="650"/>
      <c r="B27" s="2391"/>
      <c r="C27" s="2393"/>
      <c r="D27" s="678" t="s">
        <v>1</v>
      </c>
      <c r="E27" s="679" t="s">
        <v>2</v>
      </c>
      <c r="F27" s="679" t="s">
        <v>3</v>
      </c>
      <c r="G27" s="679" t="s">
        <v>4</v>
      </c>
      <c r="H27" s="679" t="s">
        <v>5</v>
      </c>
      <c r="I27" s="679" t="s">
        <v>6</v>
      </c>
      <c r="J27" s="679" t="s">
        <v>7</v>
      </c>
      <c r="K27" s="679" t="s">
        <v>8</v>
      </c>
      <c r="L27" s="679" t="s">
        <v>9</v>
      </c>
      <c r="M27" s="679" t="s">
        <v>10</v>
      </c>
      <c r="N27" s="679" t="s">
        <v>11</v>
      </c>
      <c r="O27" s="680" t="s">
        <v>12</v>
      </c>
      <c r="P27" s="651" t="s">
        <v>281</v>
      </c>
      <c r="Q27" s="941" t="s">
        <v>693</v>
      </c>
      <c r="R27" s="913" t="s">
        <v>509</v>
      </c>
      <c r="S27" s="913" t="s">
        <v>150</v>
      </c>
      <c r="T27" s="913" t="s">
        <v>151</v>
      </c>
    </row>
    <row r="28" spans="1:22" s="709" customFormat="1" ht="25.5" customHeight="1" thickBot="1">
      <c r="A28" s="693" t="s">
        <v>28</v>
      </c>
      <c r="B28" s="694"/>
      <c r="C28" s="695"/>
      <c r="D28" s="696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8"/>
      <c r="P28" s="695"/>
      <c r="Q28" s="699"/>
      <c r="R28" s="914" t="s">
        <v>174</v>
      </c>
      <c r="S28" s="914"/>
      <c r="T28" s="914" t="s">
        <v>320</v>
      </c>
      <c r="U28" s="914" t="s">
        <v>496</v>
      </c>
    </row>
    <row r="29" spans="1:22" ht="25.5" customHeight="1">
      <c r="A29" s="654" t="s">
        <v>15</v>
      </c>
      <c r="B29" s="655"/>
      <c r="C29" s="656"/>
      <c r="D29" s="657">
        <f>'Alış Fiyat'!D29*1.026</f>
        <v>0</v>
      </c>
      <c r="E29" s="657">
        <f>'Alış Fiyat'!E29*1.026</f>
        <v>0</v>
      </c>
      <c r="F29" s="657">
        <f>'Alış Fiyat'!F29*1.026</f>
        <v>0</v>
      </c>
      <c r="G29" s="657">
        <f>+F29*$R$2</f>
        <v>0</v>
      </c>
      <c r="H29" s="657">
        <f t="shared" ref="H29:H30" si="39">+F29*$R$2</f>
        <v>0</v>
      </c>
      <c r="I29" s="657">
        <f t="shared" ref="I29:I30" si="40">+F29*$R$2</f>
        <v>0</v>
      </c>
      <c r="J29" s="657">
        <f t="shared" ref="J29:J30" si="41">+I29*$S$2</f>
        <v>0</v>
      </c>
      <c r="K29" s="657">
        <f t="shared" ref="K29:K30" si="42">+I29*$S$2</f>
        <v>0</v>
      </c>
      <c r="L29" s="657">
        <f t="shared" ref="L29:L30" si="43">+I29*$S$2</f>
        <v>0</v>
      </c>
      <c r="M29" s="657">
        <f t="shared" ref="M29:M30" si="44">+L29*$T$2</f>
        <v>0</v>
      </c>
      <c r="N29" s="657">
        <f t="shared" ref="N29:N30" si="45">+L29*$T$2</f>
        <v>0</v>
      </c>
      <c r="O29" s="657">
        <f t="shared" ref="O29:O30" si="46">+L29*$T$2</f>
        <v>0</v>
      </c>
      <c r="P29" s="658">
        <f>AVERAGE(D29:O29)</f>
        <v>0</v>
      </c>
      <c r="Q29" s="659" t="e">
        <f>SUM(P29-C29)/C29</f>
        <v>#DIV/0!</v>
      </c>
      <c r="U29" s="915"/>
    </row>
    <row r="30" spans="1:22" ht="25.5" hidden="1" customHeight="1">
      <c r="A30" s="660" t="s">
        <v>16</v>
      </c>
      <c r="B30" s="661"/>
      <c r="C30" s="662"/>
      <c r="D30" s="663"/>
      <c r="E30" s="663"/>
      <c r="F30" s="663"/>
      <c r="G30" s="663">
        <f>+F30*$R$2</f>
        <v>0</v>
      </c>
      <c r="H30" s="663">
        <f t="shared" si="39"/>
        <v>0</v>
      </c>
      <c r="I30" s="663">
        <f t="shared" si="40"/>
        <v>0</v>
      </c>
      <c r="J30" s="663">
        <f t="shared" si="41"/>
        <v>0</v>
      </c>
      <c r="K30" s="663">
        <f t="shared" si="42"/>
        <v>0</v>
      </c>
      <c r="L30" s="663">
        <f t="shared" si="43"/>
        <v>0</v>
      </c>
      <c r="M30" s="663">
        <f t="shared" si="44"/>
        <v>0</v>
      </c>
      <c r="N30" s="663">
        <f t="shared" si="45"/>
        <v>0</v>
      </c>
      <c r="O30" s="663">
        <f t="shared" si="46"/>
        <v>0</v>
      </c>
      <c r="P30" s="604"/>
      <c r="Q30" s="600"/>
      <c r="S30" s="652"/>
      <c r="U30" s="916"/>
    </row>
    <row r="31" spans="1:22" s="709" customFormat="1" ht="25.5" customHeight="1">
      <c r="A31" s="701" t="s">
        <v>27</v>
      </c>
      <c r="B31" s="702"/>
      <c r="C31" s="703"/>
      <c r="D31" s="704"/>
      <c r="E31" s="704"/>
      <c r="F31" s="704"/>
      <c r="G31" s="704"/>
      <c r="H31" s="704"/>
      <c r="I31" s="704"/>
      <c r="J31" s="704"/>
      <c r="K31" s="704"/>
      <c r="L31" s="704"/>
      <c r="M31" s="704"/>
      <c r="N31" s="704"/>
      <c r="O31" s="704"/>
      <c r="P31" s="707"/>
      <c r="Q31" s="708"/>
      <c r="R31" s="550"/>
      <c r="S31" s="550"/>
      <c r="T31" s="550"/>
      <c r="U31" s="917"/>
    </row>
    <row r="32" spans="1:22" s="709" customFormat="1" ht="25.5" customHeight="1">
      <c r="A32" s="710" t="s">
        <v>17</v>
      </c>
      <c r="B32" s="711"/>
      <c r="C32" s="712"/>
      <c r="D32" s="713"/>
      <c r="E32" s="713"/>
      <c r="F32" s="713"/>
      <c r="G32" s="713">
        <f>+F32*$R$2</f>
        <v>0</v>
      </c>
      <c r="H32" s="713">
        <f t="shared" ref="H32:H36" si="47">+F32*$R$2</f>
        <v>0</v>
      </c>
      <c r="I32" s="713">
        <f t="shared" ref="I32:I36" si="48">+F32*$R$2</f>
        <v>0</v>
      </c>
      <c r="J32" s="713">
        <f t="shared" ref="J32:J36" si="49">+I32*$S$2</f>
        <v>0</v>
      </c>
      <c r="K32" s="713">
        <f t="shared" ref="K32:K36" si="50">+I32*$S$2</f>
        <v>0</v>
      </c>
      <c r="L32" s="713">
        <f t="shared" ref="L32:L36" si="51">+I32*$S$2</f>
        <v>0</v>
      </c>
      <c r="M32" s="713">
        <f t="shared" ref="M32:M36" si="52">+L32*$T$2</f>
        <v>0</v>
      </c>
      <c r="N32" s="713">
        <f t="shared" ref="N32:N36" si="53">+L32*$T$2</f>
        <v>0</v>
      </c>
      <c r="O32" s="713">
        <f t="shared" ref="O32:O36" si="54">+L32*$T$2</f>
        <v>0</v>
      </c>
      <c r="P32" s="716">
        <f>AVERAGE(D32:O32)</f>
        <v>0</v>
      </c>
      <c r="Q32" s="717"/>
      <c r="R32" s="550"/>
      <c r="S32" s="550"/>
      <c r="T32" s="550"/>
      <c r="U32" s="918"/>
    </row>
    <row r="33" spans="1:21" ht="25.5" customHeight="1">
      <c r="A33" s="670" t="s">
        <v>81</v>
      </c>
      <c r="B33" s="602"/>
      <c r="C33" s="656"/>
      <c r="D33" s="657">
        <f>'Alış Fiyat'!D33*1.026</f>
        <v>0</v>
      </c>
      <c r="E33" s="657">
        <f>'Alış Fiyat'!E33*1.026</f>
        <v>0</v>
      </c>
      <c r="F33" s="657">
        <f>'Alış Fiyat'!F33*1.026</f>
        <v>0</v>
      </c>
      <c r="G33" s="671">
        <f>'Alış Fiyat'!G33*1.026</f>
        <v>21.016782098047234</v>
      </c>
      <c r="H33" s="671">
        <f>'Alış Fiyat'!H33*1.026</f>
        <v>21.401708791518182</v>
      </c>
      <c r="I33" s="671">
        <f>'Alış Fiyat'!I33*1.026</f>
        <v>22.282103063436651</v>
      </c>
      <c r="J33" s="671">
        <f>'Alış Fiyat'!J33*1.026</f>
        <v>23.267530335359503</v>
      </c>
      <c r="K33" s="671">
        <f>'Alış Fiyat'!K33*1.026</f>
        <v>23.808484099063001</v>
      </c>
      <c r="L33" s="671">
        <f>'Alış Fiyat'!L33*1.026</f>
        <v>23.625749105721408</v>
      </c>
      <c r="M33" s="671">
        <f>'Alış Fiyat'!M33*1.026</f>
        <v>24.308953714158466</v>
      </c>
      <c r="N33" s="671">
        <f>'Alış Fiyat'!N33*1.026</f>
        <v>23.596355627346075</v>
      </c>
      <c r="O33" s="671">
        <f>'Alış Fiyat'!O33*1.026</f>
        <v>24.102490526570396</v>
      </c>
      <c r="P33" s="605">
        <f>AVERAGE(D33:O33)</f>
        <v>17.284179780101741</v>
      </c>
      <c r="Q33" s="606" t="e">
        <f>SUM(P33-C33)/C33</f>
        <v>#DIV/0!</v>
      </c>
      <c r="U33" s="919"/>
    </row>
    <row r="34" spans="1:21" ht="25.5" hidden="1" customHeight="1">
      <c r="A34" s="672" t="s">
        <v>82</v>
      </c>
      <c r="B34" s="603"/>
      <c r="C34" s="662"/>
      <c r="D34" s="667"/>
      <c r="E34" s="667"/>
      <c r="F34" s="667"/>
      <c r="G34" s="667">
        <f>+F34*$R$2</f>
        <v>0</v>
      </c>
      <c r="H34" s="667">
        <f t="shared" si="47"/>
        <v>0</v>
      </c>
      <c r="I34" s="667">
        <f t="shared" si="48"/>
        <v>0</v>
      </c>
      <c r="J34" s="667">
        <f t="shared" si="49"/>
        <v>0</v>
      </c>
      <c r="K34" s="667">
        <f t="shared" si="50"/>
        <v>0</v>
      </c>
      <c r="L34" s="667">
        <f t="shared" si="51"/>
        <v>0</v>
      </c>
      <c r="M34" s="667">
        <f t="shared" si="52"/>
        <v>0</v>
      </c>
      <c r="N34" s="667">
        <f t="shared" si="53"/>
        <v>0</v>
      </c>
      <c r="O34" s="667">
        <f t="shared" si="54"/>
        <v>0</v>
      </c>
      <c r="P34" s="604"/>
      <c r="Q34" s="600"/>
      <c r="U34" s="920"/>
    </row>
    <row r="35" spans="1:21" ht="25.5" customHeight="1">
      <c r="A35" s="670" t="s">
        <v>83</v>
      </c>
      <c r="B35" s="673"/>
      <c r="C35" s="656"/>
      <c r="D35" s="674">
        <f>+D33</f>
        <v>0</v>
      </c>
      <c r="E35" s="674">
        <f t="shared" ref="E35:F35" si="55">+E33</f>
        <v>0</v>
      </c>
      <c r="F35" s="674">
        <f t="shared" si="55"/>
        <v>0</v>
      </c>
      <c r="G35" s="674">
        <f t="shared" ref="G35:G36" si="56">+F35*$R$2</f>
        <v>0</v>
      </c>
      <c r="H35" s="674">
        <f t="shared" si="47"/>
        <v>0</v>
      </c>
      <c r="I35" s="674">
        <f t="shared" si="48"/>
        <v>0</v>
      </c>
      <c r="J35" s="674">
        <f t="shared" si="49"/>
        <v>0</v>
      </c>
      <c r="K35" s="674">
        <f t="shared" si="50"/>
        <v>0</v>
      </c>
      <c r="L35" s="674">
        <f t="shared" si="51"/>
        <v>0</v>
      </c>
      <c r="M35" s="674">
        <f t="shared" si="52"/>
        <v>0</v>
      </c>
      <c r="N35" s="674">
        <f t="shared" si="53"/>
        <v>0</v>
      </c>
      <c r="O35" s="674">
        <f t="shared" si="54"/>
        <v>0</v>
      </c>
      <c r="P35" s="605">
        <f>AVERAGE(D35:O35)</f>
        <v>0</v>
      </c>
      <c r="Q35" s="606" t="e">
        <f>SUM(P35-C35)/C35</f>
        <v>#DIV/0!</v>
      </c>
      <c r="U35" s="920"/>
    </row>
    <row r="36" spans="1:21" ht="25.5" hidden="1" customHeight="1">
      <c r="A36" s="672" t="s">
        <v>84</v>
      </c>
      <c r="B36" s="661"/>
      <c r="C36" s="675"/>
      <c r="D36" s="676"/>
      <c r="E36" s="676"/>
      <c r="F36" s="676"/>
      <c r="G36" s="676">
        <f t="shared" si="56"/>
        <v>0</v>
      </c>
      <c r="H36" s="676">
        <f t="shared" si="47"/>
        <v>0</v>
      </c>
      <c r="I36" s="676">
        <f t="shared" si="48"/>
        <v>0</v>
      </c>
      <c r="J36" s="676">
        <f t="shared" si="49"/>
        <v>0</v>
      </c>
      <c r="K36" s="676">
        <f t="shared" si="50"/>
        <v>0</v>
      </c>
      <c r="L36" s="676">
        <f t="shared" si="51"/>
        <v>0</v>
      </c>
      <c r="M36" s="676">
        <f t="shared" si="52"/>
        <v>0</v>
      </c>
      <c r="N36" s="676">
        <f t="shared" si="53"/>
        <v>0</v>
      </c>
      <c r="O36" s="676">
        <f t="shared" si="54"/>
        <v>0</v>
      </c>
      <c r="P36" s="604"/>
      <c r="Q36" s="600"/>
      <c r="U36" s="920"/>
    </row>
    <row r="37" spans="1:21" s="709" customFormat="1" ht="25.5" customHeight="1" thickBot="1">
      <c r="A37" s="718" t="s">
        <v>18</v>
      </c>
      <c r="B37" s="719"/>
      <c r="C37" s="720"/>
      <c r="D37" s="721"/>
      <c r="E37" s="721"/>
      <c r="F37" s="721"/>
      <c r="G37" s="721"/>
      <c r="H37" s="721"/>
      <c r="I37" s="721"/>
      <c r="J37" s="721"/>
      <c r="K37" s="721"/>
      <c r="L37" s="721"/>
      <c r="M37" s="721"/>
      <c r="N37" s="721"/>
      <c r="O37" s="721"/>
      <c r="P37" s="720"/>
      <c r="Q37" s="724"/>
      <c r="R37" s="550"/>
      <c r="S37" s="550"/>
      <c r="T37" s="550"/>
      <c r="U37" s="921"/>
    </row>
    <row r="38" spans="1:21" s="709" customFormat="1" ht="25.5" customHeight="1" thickBot="1">
      <c r="A38" s="693" t="s">
        <v>29</v>
      </c>
      <c r="B38" s="725"/>
      <c r="C38" s="726"/>
      <c r="D38" s="727"/>
      <c r="E38" s="728"/>
      <c r="F38" s="728"/>
      <c r="G38" s="728"/>
      <c r="H38" s="728"/>
      <c r="I38" s="728"/>
      <c r="J38" s="728"/>
      <c r="K38" s="728"/>
      <c r="L38" s="728"/>
      <c r="M38" s="728"/>
      <c r="N38" s="728"/>
      <c r="O38" s="729"/>
      <c r="P38" s="726"/>
      <c r="Q38" s="730"/>
      <c r="R38" s="550"/>
      <c r="S38" s="550"/>
      <c r="T38" s="550"/>
      <c r="U38" s="903"/>
    </row>
    <row r="39" spans="1:21" ht="25.5" customHeight="1">
      <c r="A39" s="615" t="s">
        <v>19</v>
      </c>
      <c r="B39" s="607"/>
      <c r="C39" s="608"/>
      <c r="D39" s="681">
        <f>+'M.Yağ Alış Fiyat'!$G$2</f>
        <v>0</v>
      </c>
      <c r="E39" s="681">
        <f>+'M.Yağ Alış Fiyat'!$G$2</f>
        <v>0</v>
      </c>
      <c r="F39" s="681">
        <f>+'M.Yağ Alış Fiyat'!$G$2</f>
        <v>0</v>
      </c>
      <c r="G39" s="681">
        <f t="shared" ref="G39:G40" si="57">+F39*$R$2</f>
        <v>0</v>
      </c>
      <c r="H39" s="681">
        <f t="shared" ref="H39:H40" si="58">+F39*$R$2</f>
        <v>0</v>
      </c>
      <c r="I39" s="681">
        <f t="shared" ref="I39:I40" si="59">+F39*$R$2</f>
        <v>0</v>
      </c>
      <c r="J39" s="681">
        <f t="shared" ref="J39:J40" si="60">+I39*$S$2</f>
        <v>0</v>
      </c>
      <c r="K39" s="681">
        <f t="shared" ref="K39:K40" si="61">+I39*$S$2</f>
        <v>0</v>
      </c>
      <c r="L39" s="681">
        <f t="shared" ref="L39:L40" si="62">+I39*$S$2</f>
        <v>0</v>
      </c>
      <c r="M39" s="681">
        <f t="shared" ref="M39:M40" si="63">+L39*$T$2</f>
        <v>0</v>
      </c>
      <c r="N39" s="681">
        <f t="shared" ref="N39:N40" si="64">+L39*$T$2</f>
        <v>0</v>
      </c>
      <c r="O39" s="681">
        <f t="shared" ref="O39:O40" si="65">+L39*$T$2</f>
        <v>0</v>
      </c>
      <c r="P39" s="609">
        <f t="shared" ref="P39:P40" si="66">AVERAGE(D39:O39)</f>
        <v>0</v>
      </c>
      <c r="Q39" s="610" t="e">
        <f t="shared" ref="Q39:Q40" si="67">SUM(P39-C39)/C39</f>
        <v>#DIV/0!</v>
      </c>
      <c r="U39" s="904"/>
    </row>
    <row r="40" spans="1:21" ht="25.5" customHeight="1" thickBot="1">
      <c r="A40" s="616" t="s">
        <v>20</v>
      </c>
      <c r="B40" s="611"/>
      <c r="C40" s="612"/>
      <c r="D40" s="685">
        <f>+'M.Yağ Alış Fiyat'!$G$3</f>
        <v>0</v>
      </c>
      <c r="E40" s="685">
        <f>+'M.Yağ Alış Fiyat'!$G$3</f>
        <v>0</v>
      </c>
      <c r="F40" s="685">
        <f>+'M.Yağ Alış Fiyat'!$G$3</f>
        <v>0</v>
      </c>
      <c r="G40" s="685">
        <f t="shared" si="57"/>
        <v>0</v>
      </c>
      <c r="H40" s="685">
        <f t="shared" si="58"/>
        <v>0</v>
      </c>
      <c r="I40" s="685">
        <f t="shared" si="59"/>
        <v>0</v>
      </c>
      <c r="J40" s="685">
        <f t="shared" si="60"/>
        <v>0</v>
      </c>
      <c r="K40" s="685">
        <f t="shared" si="61"/>
        <v>0</v>
      </c>
      <c r="L40" s="685">
        <f t="shared" si="62"/>
        <v>0</v>
      </c>
      <c r="M40" s="685">
        <f t="shared" si="63"/>
        <v>0</v>
      </c>
      <c r="N40" s="685">
        <f t="shared" si="64"/>
        <v>0</v>
      </c>
      <c r="O40" s="685">
        <f t="shared" si="65"/>
        <v>0</v>
      </c>
      <c r="P40" s="613">
        <f t="shared" si="66"/>
        <v>0</v>
      </c>
      <c r="Q40" s="614" t="e">
        <f t="shared" si="67"/>
        <v>#DIV/0!</v>
      </c>
      <c r="U40" s="905"/>
    </row>
    <row r="41" spans="1:21" s="709" customFormat="1" ht="25.5" customHeight="1" thickBot="1">
      <c r="A41" s="693" t="s">
        <v>30</v>
      </c>
      <c r="B41" s="694"/>
      <c r="C41" s="726"/>
      <c r="D41" s="727"/>
      <c r="E41" s="728"/>
      <c r="F41" s="728"/>
      <c r="G41" s="728"/>
      <c r="H41" s="728"/>
      <c r="I41" s="728"/>
      <c r="J41" s="728"/>
      <c r="K41" s="728"/>
      <c r="L41" s="728"/>
      <c r="M41" s="728"/>
      <c r="N41" s="728"/>
      <c r="O41" s="729"/>
      <c r="P41" s="726"/>
      <c r="Q41" s="730"/>
      <c r="R41" s="550"/>
      <c r="S41" s="550"/>
      <c r="T41" s="550"/>
      <c r="U41" s="903"/>
    </row>
    <row r="42" spans="1:21" ht="25.5" customHeight="1">
      <c r="A42" s="615" t="s">
        <v>106</v>
      </c>
      <c r="B42" s="607"/>
      <c r="C42" s="608"/>
      <c r="D42" s="1335">
        <f>D18</f>
        <v>0</v>
      </c>
      <c r="E42" s="1335">
        <f t="shared" ref="E42:O42" si="68">E18</f>
        <v>0</v>
      </c>
      <c r="F42" s="1335">
        <f t="shared" si="68"/>
        <v>0</v>
      </c>
      <c r="G42" s="1335">
        <f t="shared" si="68"/>
        <v>0</v>
      </c>
      <c r="H42" s="1335">
        <f t="shared" si="68"/>
        <v>0</v>
      </c>
      <c r="I42" s="1335">
        <f t="shared" si="68"/>
        <v>0</v>
      </c>
      <c r="J42" s="1335">
        <f t="shared" si="68"/>
        <v>0</v>
      </c>
      <c r="K42" s="1335">
        <f t="shared" si="68"/>
        <v>0</v>
      </c>
      <c r="L42" s="1335">
        <f t="shared" si="68"/>
        <v>0</v>
      </c>
      <c r="M42" s="1335">
        <f t="shared" si="68"/>
        <v>0</v>
      </c>
      <c r="N42" s="1335">
        <f t="shared" si="68"/>
        <v>0</v>
      </c>
      <c r="O42" s="1335">
        <f t="shared" si="68"/>
        <v>0</v>
      </c>
      <c r="P42" s="609">
        <f t="shared" ref="P42:P43" si="69">AVERAGE(D42:O42)</f>
        <v>0</v>
      </c>
      <c r="Q42" s="610" t="e">
        <f t="shared" ref="Q42:Q43" si="70">SUM(P42-C42)/C42</f>
        <v>#DIV/0!</v>
      </c>
      <c r="U42" s="904"/>
    </row>
    <row r="43" spans="1:21" ht="25.5" customHeight="1" thickBot="1">
      <c r="A43" s="616" t="s">
        <v>105</v>
      </c>
      <c r="B43" s="617"/>
      <c r="C43" s="618"/>
      <c r="D43" s="688">
        <f>D19</f>
        <v>0</v>
      </c>
      <c r="E43" s="688">
        <f t="shared" ref="E43:O43" si="71">E19</f>
        <v>0</v>
      </c>
      <c r="F43" s="688">
        <f t="shared" si="71"/>
        <v>0</v>
      </c>
      <c r="G43" s="688">
        <f t="shared" si="71"/>
        <v>0</v>
      </c>
      <c r="H43" s="688">
        <f t="shared" si="71"/>
        <v>0</v>
      </c>
      <c r="I43" s="688">
        <f t="shared" si="71"/>
        <v>0</v>
      </c>
      <c r="J43" s="688">
        <f t="shared" si="71"/>
        <v>0</v>
      </c>
      <c r="K43" s="688">
        <f t="shared" si="71"/>
        <v>0</v>
      </c>
      <c r="L43" s="688">
        <f t="shared" si="71"/>
        <v>0</v>
      </c>
      <c r="M43" s="688">
        <f t="shared" si="71"/>
        <v>0</v>
      </c>
      <c r="N43" s="688">
        <f t="shared" si="71"/>
        <v>0</v>
      </c>
      <c r="O43" s="688">
        <f t="shared" si="71"/>
        <v>0</v>
      </c>
      <c r="P43" s="619">
        <f t="shared" si="69"/>
        <v>0</v>
      </c>
      <c r="Q43" s="620" t="e">
        <f t="shared" si="70"/>
        <v>#DIV/0!</v>
      </c>
      <c r="U43" s="906"/>
    </row>
    <row r="44" spans="1:21" ht="25.5" customHeight="1" thickBot="1">
      <c r="B44" s="601"/>
      <c r="C44" s="621"/>
      <c r="D44" s="689"/>
      <c r="E44" s="689"/>
      <c r="F44" s="689"/>
      <c r="G44" s="689"/>
      <c r="H44" s="689"/>
      <c r="I44" s="689"/>
      <c r="J44" s="689"/>
      <c r="K44" s="689"/>
      <c r="L44" s="689"/>
      <c r="M44" s="689"/>
      <c r="N44" s="689"/>
      <c r="O44" s="689"/>
      <c r="P44" s="622"/>
      <c r="Q44" s="623"/>
      <c r="U44" s="907"/>
    </row>
    <row r="45" spans="1:21" s="709" customFormat="1" ht="25.5" customHeight="1" thickBot="1">
      <c r="A45" s="693" t="s">
        <v>86</v>
      </c>
      <c r="B45" s="694"/>
      <c r="C45" s="695"/>
      <c r="D45" s="696">
        <v>14.451305</v>
      </c>
      <c r="E45" s="696">
        <v>14.451305</v>
      </c>
      <c r="F45" s="696">
        <v>14.451305</v>
      </c>
      <c r="G45" s="696">
        <f>+F45*$R$2</f>
        <v>16.474487699999997</v>
      </c>
      <c r="H45" s="696">
        <f t="shared" ref="H45" si="72">+F45*$R$2</f>
        <v>16.474487699999997</v>
      </c>
      <c r="I45" s="696">
        <f t="shared" ref="I45" si="73">+F45*$R$2</f>
        <v>16.474487699999997</v>
      </c>
      <c r="J45" s="696">
        <f t="shared" ref="J45" si="74">+I45*$S$2</f>
        <v>18.945660854999996</v>
      </c>
      <c r="K45" s="696">
        <f t="shared" ref="K45" si="75">+I45*$S$2</f>
        <v>18.945660854999996</v>
      </c>
      <c r="L45" s="696">
        <f t="shared" ref="L45" si="76">+I45*$S$2</f>
        <v>18.945660854999996</v>
      </c>
      <c r="M45" s="696">
        <f t="shared" ref="M45" si="77">+L45*$T$2</f>
        <v>21.976966591799993</v>
      </c>
      <c r="N45" s="696">
        <f t="shared" ref="N45" si="78">+L45*$T$2</f>
        <v>21.976966591799993</v>
      </c>
      <c r="O45" s="696">
        <f t="shared" ref="O45" si="79">+L45*$T$2</f>
        <v>21.976966591799993</v>
      </c>
      <c r="P45" s="695">
        <f>AVERAGE(D45:O45)</f>
        <v>17.962105036699999</v>
      </c>
      <c r="Q45" s="699" t="e">
        <f>SUM(P45-C45)/C45</f>
        <v>#DIV/0!</v>
      </c>
      <c r="R45" s="550"/>
      <c r="S45" s="550"/>
      <c r="T45" s="550"/>
      <c r="U45" s="908"/>
    </row>
    <row r="46" spans="1:21" ht="25.5" customHeight="1" thickBot="1">
      <c r="A46" s="624"/>
      <c r="B46" s="625"/>
      <c r="C46" s="626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26"/>
      <c r="Q46" s="627"/>
    </row>
    <row r="47" spans="1:21" s="709" customFormat="1" ht="25.5" customHeight="1" thickBot="1">
      <c r="A47" s="693" t="s">
        <v>31</v>
      </c>
      <c r="B47" s="694"/>
      <c r="C47" s="695"/>
      <c r="D47" s="696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8"/>
      <c r="P47" s="695"/>
      <c r="Q47" s="699"/>
      <c r="R47" s="550"/>
      <c r="S47" s="550"/>
      <c r="T47" s="550"/>
      <c r="U47" s="909"/>
    </row>
    <row r="49" spans="1:21" ht="16.2" thickBot="1"/>
    <row r="50" spans="1:21" ht="32.1" customHeight="1" thickBot="1">
      <c r="A50" s="649"/>
      <c r="B50" s="2390"/>
      <c r="C50" s="2392" t="s">
        <v>695</v>
      </c>
      <c r="D50" s="2394" t="s">
        <v>91</v>
      </c>
      <c r="E50" s="2395"/>
      <c r="F50" s="2395"/>
      <c r="G50" s="2395"/>
      <c r="H50" s="2395"/>
      <c r="I50" s="2395"/>
      <c r="J50" s="2395"/>
      <c r="K50" s="2395"/>
      <c r="L50" s="2395"/>
      <c r="M50" s="2395"/>
      <c r="N50" s="2395"/>
      <c r="O50" s="2395"/>
      <c r="P50" s="2396"/>
      <c r="Q50" s="937" t="s">
        <v>605</v>
      </c>
    </row>
    <row r="51" spans="1:21" ht="32.1" customHeight="1" thickBot="1">
      <c r="A51" s="650"/>
      <c r="B51" s="2391"/>
      <c r="C51" s="2393"/>
      <c r="D51" s="678" t="s">
        <v>1</v>
      </c>
      <c r="E51" s="679" t="s">
        <v>2</v>
      </c>
      <c r="F51" s="679" t="s">
        <v>3</v>
      </c>
      <c r="G51" s="679" t="s">
        <v>4</v>
      </c>
      <c r="H51" s="679" t="s">
        <v>5</v>
      </c>
      <c r="I51" s="679" t="s">
        <v>6</v>
      </c>
      <c r="J51" s="679" t="s">
        <v>7</v>
      </c>
      <c r="K51" s="679" t="s">
        <v>8</v>
      </c>
      <c r="L51" s="679" t="s">
        <v>9</v>
      </c>
      <c r="M51" s="679" t="s">
        <v>10</v>
      </c>
      <c r="N51" s="679" t="s">
        <v>11</v>
      </c>
      <c r="O51" s="680" t="s">
        <v>12</v>
      </c>
      <c r="P51" s="651" t="s">
        <v>281</v>
      </c>
      <c r="Q51" s="941" t="s">
        <v>693</v>
      </c>
      <c r="R51" s="913" t="s">
        <v>509</v>
      </c>
      <c r="S51" s="913" t="s">
        <v>150</v>
      </c>
      <c r="T51" s="913" t="s">
        <v>151</v>
      </c>
    </row>
    <row r="52" spans="1:21" s="709" customFormat="1" ht="25.5" customHeight="1" thickBot="1">
      <c r="A52" s="693" t="s">
        <v>28</v>
      </c>
      <c r="B52" s="694"/>
      <c r="C52" s="695"/>
      <c r="D52" s="696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8"/>
      <c r="P52" s="695"/>
      <c r="Q52" s="699"/>
      <c r="R52" s="1795" t="s">
        <v>91</v>
      </c>
      <c r="S52" s="914"/>
      <c r="T52" s="914" t="s">
        <v>320</v>
      </c>
      <c r="U52" s="914" t="s">
        <v>163</v>
      </c>
    </row>
    <row r="53" spans="1:21" ht="25.5" customHeight="1">
      <c r="A53" s="654" t="s">
        <v>15</v>
      </c>
      <c r="B53" s="655"/>
      <c r="C53" s="656"/>
      <c r="D53" s="657">
        <f>'Alış Fiyat'!D53*1.026</f>
        <v>0</v>
      </c>
      <c r="E53" s="657">
        <f>'Alış Fiyat'!E53*1.026</f>
        <v>0</v>
      </c>
      <c r="F53" s="657">
        <f>'Alış Fiyat'!F53*1.026</f>
        <v>0</v>
      </c>
      <c r="G53" s="657">
        <f>+F53*$R$2</f>
        <v>0</v>
      </c>
      <c r="H53" s="657">
        <f t="shared" ref="H53:H54" si="80">+F53*$R$2</f>
        <v>0</v>
      </c>
      <c r="I53" s="657">
        <f t="shared" ref="I53:I54" si="81">+F53*$R$2</f>
        <v>0</v>
      </c>
      <c r="J53" s="657">
        <f t="shared" ref="J53:J54" si="82">+I53*$S$2</f>
        <v>0</v>
      </c>
      <c r="K53" s="657">
        <f t="shared" ref="K53:K54" si="83">+I53*$S$2</f>
        <v>0</v>
      </c>
      <c r="L53" s="657">
        <f t="shared" ref="L53:L54" si="84">+I53*$S$2</f>
        <v>0</v>
      </c>
      <c r="M53" s="657">
        <f t="shared" ref="M53:M54" si="85">+L53*$T$2</f>
        <v>0</v>
      </c>
      <c r="N53" s="657">
        <f t="shared" ref="N53:N54" si="86">+L53*$T$2</f>
        <v>0</v>
      </c>
      <c r="O53" s="657">
        <f t="shared" ref="O53:O54" si="87">+L53*$T$2</f>
        <v>0</v>
      </c>
      <c r="P53" s="658">
        <f t="shared" ref="P53:P54" si="88">AVERAGE(D53:O53)</f>
        <v>0</v>
      </c>
      <c r="Q53" s="659" t="e">
        <f t="shared" ref="Q53:Q54" si="89">SUM(P53-C53)/C53</f>
        <v>#DIV/0!</v>
      </c>
      <c r="U53" s="915"/>
    </row>
    <row r="54" spans="1:21" ht="25.5" hidden="1" customHeight="1">
      <c r="A54" s="660" t="s">
        <v>16</v>
      </c>
      <c r="B54" s="661"/>
      <c r="C54" s="662"/>
      <c r="D54" s="663"/>
      <c r="E54" s="664"/>
      <c r="F54" s="664"/>
      <c r="G54" s="664">
        <f>+F54*$R$2</f>
        <v>0</v>
      </c>
      <c r="H54" s="665">
        <f t="shared" si="80"/>
        <v>0</v>
      </c>
      <c r="I54" s="665">
        <f t="shared" si="81"/>
        <v>0</v>
      </c>
      <c r="J54" s="665">
        <f t="shared" si="82"/>
        <v>0</v>
      </c>
      <c r="K54" s="665">
        <f t="shared" si="83"/>
        <v>0</v>
      </c>
      <c r="L54" s="665">
        <f t="shared" si="84"/>
        <v>0</v>
      </c>
      <c r="M54" s="665">
        <f t="shared" si="85"/>
        <v>0</v>
      </c>
      <c r="N54" s="665">
        <f t="shared" si="86"/>
        <v>0</v>
      </c>
      <c r="O54" s="666">
        <f t="shared" si="87"/>
        <v>0</v>
      </c>
      <c r="P54" s="604">
        <f t="shared" si="88"/>
        <v>0</v>
      </c>
      <c r="Q54" s="600" t="e">
        <f t="shared" si="89"/>
        <v>#DIV/0!</v>
      </c>
      <c r="U54" s="916"/>
    </row>
    <row r="55" spans="1:21" s="709" customFormat="1" ht="25.5" customHeight="1">
      <c r="A55" s="701" t="s">
        <v>27</v>
      </c>
      <c r="B55" s="702"/>
      <c r="C55" s="703"/>
      <c r="D55" s="704"/>
      <c r="E55" s="705"/>
      <c r="F55" s="705"/>
      <c r="G55" s="705"/>
      <c r="H55" s="705"/>
      <c r="I55" s="705"/>
      <c r="J55" s="705"/>
      <c r="K55" s="705"/>
      <c r="L55" s="705"/>
      <c r="M55" s="705"/>
      <c r="N55" s="705"/>
      <c r="O55" s="706"/>
      <c r="P55" s="707"/>
      <c r="Q55" s="708"/>
      <c r="R55" s="550"/>
      <c r="S55" s="550"/>
      <c r="T55" s="550"/>
      <c r="U55" s="917"/>
    </row>
    <row r="56" spans="1:21" s="709" customFormat="1" ht="25.5" customHeight="1">
      <c r="A56" s="710" t="s">
        <v>17</v>
      </c>
      <c r="B56" s="711"/>
      <c r="C56" s="712"/>
      <c r="D56" s="713"/>
      <c r="E56" s="713"/>
      <c r="F56" s="713"/>
      <c r="G56" s="713">
        <f>+F56*$R$2</f>
        <v>0</v>
      </c>
      <c r="H56" s="713">
        <f t="shared" ref="H56:H60" si="90">+F56*$R$2</f>
        <v>0</v>
      </c>
      <c r="I56" s="713">
        <f t="shared" ref="I56:I60" si="91">+F56*$R$2</f>
        <v>0</v>
      </c>
      <c r="J56" s="713">
        <f t="shared" ref="J56:J60" si="92">+I56*$S$2</f>
        <v>0</v>
      </c>
      <c r="K56" s="713">
        <f t="shared" ref="K56:K60" si="93">+I56*$S$2</f>
        <v>0</v>
      </c>
      <c r="L56" s="713">
        <f t="shared" ref="L56:L60" si="94">+I56*$S$2</f>
        <v>0</v>
      </c>
      <c r="M56" s="713">
        <f t="shared" ref="M56:M60" si="95">+L56*$T$2</f>
        <v>0</v>
      </c>
      <c r="N56" s="713">
        <f t="shared" ref="N56:N60" si="96">+L56*$T$2</f>
        <v>0</v>
      </c>
      <c r="O56" s="713">
        <f t="shared" ref="O56:O60" si="97">+L56*$T$2</f>
        <v>0</v>
      </c>
      <c r="P56" s="716">
        <f>AVERAGE(D56:O56)</f>
        <v>0</v>
      </c>
      <c r="Q56" s="717"/>
      <c r="R56" s="550"/>
      <c r="S56" s="550"/>
      <c r="T56" s="550"/>
      <c r="U56" s="918"/>
    </row>
    <row r="57" spans="1:21" ht="25.5" customHeight="1">
      <c r="A57" s="670" t="s">
        <v>81</v>
      </c>
      <c r="B57" s="602"/>
      <c r="C57" s="656"/>
      <c r="D57" s="657">
        <f>'Alış Fiyat'!D57*1.026</f>
        <v>0</v>
      </c>
      <c r="E57" s="657">
        <f>'Alış Fiyat'!E57*1.026</f>
        <v>0</v>
      </c>
      <c r="F57" s="657">
        <f>'Alış Fiyat'!F57*1.026</f>
        <v>0</v>
      </c>
      <c r="G57" s="671">
        <f>'Alış Fiyat'!G57*1.026</f>
        <v>21.016782098047234</v>
      </c>
      <c r="H57" s="671">
        <f>'Alış Fiyat'!H57*1.026</f>
        <v>21.401708791518182</v>
      </c>
      <c r="I57" s="671">
        <f>'Alış Fiyat'!I57*1.026</f>
        <v>22.282103063436651</v>
      </c>
      <c r="J57" s="671">
        <f>'Alış Fiyat'!J57*1.026</f>
        <v>23.267530335359503</v>
      </c>
      <c r="K57" s="671">
        <f>'Alış Fiyat'!K57*1.026</f>
        <v>23.808484099063001</v>
      </c>
      <c r="L57" s="671">
        <f>'Alış Fiyat'!L57*1.026</f>
        <v>23.625749105721408</v>
      </c>
      <c r="M57" s="671">
        <f>'Alış Fiyat'!M57*1.026</f>
        <v>24.308953714158466</v>
      </c>
      <c r="N57" s="671">
        <f>'Alış Fiyat'!N57*1.026</f>
        <v>23.596355627346075</v>
      </c>
      <c r="O57" s="671">
        <f>'Alış Fiyat'!O57*1.026</f>
        <v>24.102490526570396</v>
      </c>
      <c r="P57" s="605">
        <f>AVERAGE(D57:O57)</f>
        <v>17.284179780101741</v>
      </c>
      <c r="Q57" s="606" t="e">
        <f>SUM(P57-C57)/C57</f>
        <v>#DIV/0!</v>
      </c>
      <c r="U57" s="919"/>
    </row>
    <row r="58" spans="1:21" ht="25.5" hidden="1" customHeight="1">
      <c r="A58" s="672" t="s">
        <v>82</v>
      </c>
      <c r="B58" s="603"/>
      <c r="C58" s="662"/>
      <c r="D58" s="667"/>
      <c r="E58" s="667"/>
      <c r="F58" s="667"/>
      <c r="G58" s="668">
        <f>+F58*$R$2</f>
        <v>0</v>
      </c>
      <c r="H58" s="668">
        <f t="shared" si="90"/>
        <v>0</v>
      </c>
      <c r="I58" s="668">
        <f t="shared" si="91"/>
        <v>0</v>
      </c>
      <c r="J58" s="668">
        <f t="shared" si="92"/>
        <v>0</v>
      </c>
      <c r="K58" s="668">
        <f t="shared" si="93"/>
        <v>0</v>
      </c>
      <c r="L58" s="668">
        <f t="shared" si="94"/>
        <v>0</v>
      </c>
      <c r="M58" s="668">
        <f t="shared" si="95"/>
        <v>0</v>
      </c>
      <c r="N58" s="668">
        <f t="shared" si="96"/>
        <v>0</v>
      </c>
      <c r="O58" s="669">
        <f t="shared" si="97"/>
        <v>0</v>
      </c>
      <c r="P58" s="604"/>
      <c r="Q58" s="600"/>
      <c r="U58" s="920"/>
    </row>
    <row r="59" spans="1:21" ht="25.5" customHeight="1">
      <c r="A59" s="670" t="s">
        <v>83</v>
      </c>
      <c r="B59" s="673"/>
      <c r="C59" s="656"/>
      <c r="D59" s="674">
        <f>+D57</f>
        <v>0</v>
      </c>
      <c r="E59" s="674">
        <f t="shared" ref="E59:F59" si="98">+E57</f>
        <v>0</v>
      </c>
      <c r="F59" s="674">
        <f t="shared" si="98"/>
        <v>0</v>
      </c>
      <c r="G59" s="674">
        <f t="shared" ref="G59:G60" si="99">+F59*$R$2</f>
        <v>0</v>
      </c>
      <c r="H59" s="674">
        <f t="shared" si="90"/>
        <v>0</v>
      </c>
      <c r="I59" s="674">
        <f t="shared" si="91"/>
        <v>0</v>
      </c>
      <c r="J59" s="674">
        <f t="shared" si="92"/>
        <v>0</v>
      </c>
      <c r="K59" s="674">
        <f t="shared" si="93"/>
        <v>0</v>
      </c>
      <c r="L59" s="674">
        <f t="shared" si="94"/>
        <v>0</v>
      </c>
      <c r="M59" s="674">
        <f t="shared" si="95"/>
        <v>0</v>
      </c>
      <c r="N59" s="674">
        <f t="shared" si="96"/>
        <v>0</v>
      </c>
      <c r="O59" s="674">
        <f t="shared" si="97"/>
        <v>0</v>
      </c>
      <c r="P59" s="605">
        <f>AVERAGE(D59:O59)</f>
        <v>0</v>
      </c>
      <c r="Q59" s="606" t="e">
        <f>SUM(P59-C59)/C59</f>
        <v>#DIV/0!</v>
      </c>
      <c r="U59" s="920"/>
    </row>
    <row r="60" spans="1:21" ht="25.5" customHeight="1">
      <c r="A60" s="672" t="s">
        <v>84</v>
      </c>
      <c r="B60" s="661"/>
      <c r="C60" s="675"/>
      <c r="D60" s="676"/>
      <c r="E60" s="665"/>
      <c r="F60" s="665"/>
      <c r="G60" s="665">
        <f t="shared" si="99"/>
        <v>0</v>
      </c>
      <c r="H60" s="665">
        <f t="shared" si="90"/>
        <v>0</v>
      </c>
      <c r="I60" s="677">
        <f t="shared" si="91"/>
        <v>0</v>
      </c>
      <c r="J60" s="677">
        <f t="shared" si="92"/>
        <v>0</v>
      </c>
      <c r="K60" s="665">
        <f t="shared" si="93"/>
        <v>0</v>
      </c>
      <c r="L60" s="665">
        <f t="shared" si="94"/>
        <v>0</v>
      </c>
      <c r="M60" s="665">
        <f t="shared" si="95"/>
        <v>0</v>
      </c>
      <c r="N60" s="665">
        <f t="shared" si="96"/>
        <v>0</v>
      </c>
      <c r="O60" s="666">
        <f t="shared" si="97"/>
        <v>0</v>
      </c>
      <c r="P60" s="604"/>
      <c r="Q60" s="600"/>
      <c r="U60" s="920"/>
    </row>
    <row r="61" spans="1:21" s="709" customFormat="1" ht="25.5" customHeight="1" thickBot="1">
      <c r="A61" s="718" t="s">
        <v>18</v>
      </c>
      <c r="B61" s="719"/>
      <c r="C61" s="720"/>
      <c r="D61" s="721"/>
      <c r="E61" s="722"/>
      <c r="F61" s="722"/>
      <c r="G61" s="722"/>
      <c r="H61" s="722"/>
      <c r="I61" s="722"/>
      <c r="J61" s="722"/>
      <c r="K61" s="722"/>
      <c r="L61" s="722"/>
      <c r="M61" s="722"/>
      <c r="N61" s="722"/>
      <c r="O61" s="723"/>
      <c r="P61" s="720"/>
      <c r="Q61" s="724"/>
      <c r="R61" s="550"/>
      <c r="S61" s="550"/>
      <c r="T61" s="550"/>
      <c r="U61" s="921"/>
    </row>
    <row r="62" spans="1:21" s="709" customFormat="1" ht="25.5" customHeight="1" thickBot="1">
      <c r="A62" s="693" t="s">
        <v>29</v>
      </c>
      <c r="B62" s="725"/>
      <c r="C62" s="726"/>
      <c r="D62" s="727"/>
      <c r="E62" s="728"/>
      <c r="F62" s="728"/>
      <c r="G62" s="728"/>
      <c r="H62" s="728"/>
      <c r="I62" s="728"/>
      <c r="J62" s="728"/>
      <c r="K62" s="728"/>
      <c r="L62" s="728"/>
      <c r="M62" s="728"/>
      <c r="N62" s="728"/>
      <c r="O62" s="729"/>
      <c r="P62" s="726"/>
      <c r="Q62" s="730"/>
      <c r="R62" s="550"/>
      <c r="S62" s="550"/>
      <c r="T62" s="550"/>
      <c r="U62" s="903"/>
    </row>
    <row r="63" spans="1:21" ht="25.5" customHeight="1">
      <c r="A63" s="615" t="s">
        <v>19</v>
      </c>
      <c r="B63" s="607"/>
      <c r="C63" s="608"/>
      <c r="D63" s="681">
        <f>+'M.Yağ Alış Fiyat'!$G$2</f>
        <v>0</v>
      </c>
      <c r="E63" s="681">
        <f>+'M.Yağ Alış Fiyat'!$G$2</f>
        <v>0</v>
      </c>
      <c r="F63" s="681">
        <f>+'M.Yağ Alış Fiyat'!$G$2</f>
        <v>0</v>
      </c>
      <c r="G63" s="681">
        <f t="shared" ref="G63:G64" si="100">+F63*$R$2</f>
        <v>0</v>
      </c>
      <c r="H63" s="681">
        <f t="shared" ref="H63:H64" si="101">+F63*$R$2</f>
        <v>0</v>
      </c>
      <c r="I63" s="681">
        <f t="shared" ref="I63:I64" si="102">+F63*$R$2</f>
        <v>0</v>
      </c>
      <c r="J63" s="681">
        <f t="shared" ref="J63:J64" si="103">+I63*$S$2</f>
        <v>0</v>
      </c>
      <c r="K63" s="681">
        <f t="shared" ref="K63:K64" si="104">+I63*$S$2</f>
        <v>0</v>
      </c>
      <c r="L63" s="681">
        <f t="shared" ref="L63:L64" si="105">+I63*$S$2</f>
        <v>0</v>
      </c>
      <c r="M63" s="681">
        <f t="shared" ref="M63:M64" si="106">+L63*$T$2</f>
        <v>0</v>
      </c>
      <c r="N63" s="681">
        <f t="shared" ref="N63:N64" si="107">+L63*$T$2</f>
        <v>0</v>
      </c>
      <c r="O63" s="684">
        <f t="shared" ref="O63:O64" si="108">+L63*$T$2</f>
        <v>0</v>
      </c>
      <c r="P63" s="609">
        <f t="shared" ref="P63:P64" si="109">AVERAGE(D63:O63)</f>
        <v>0</v>
      </c>
      <c r="Q63" s="610" t="e">
        <f t="shared" ref="Q63:Q64" si="110">SUM(P63-C63)/C63</f>
        <v>#DIV/0!</v>
      </c>
      <c r="U63" s="904"/>
    </row>
    <row r="64" spans="1:21" ht="25.5" customHeight="1" thickBot="1">
      <c r="A64" s="616" t="s">
        <v>20</v>
      </c>
      <c r="B64" s="611"/>
      <c r="C64" s="612"/>
      <c r="D64" s="685">
        <f>+'M.Yağ Alış Fiyat'!$G$3</f>
        <v>0</v>
      </c>
      <c r="E64" s="685">
        <f>+'M.Yağ Alış Fiyat'!$G$3</f>
        <v>0</v>
      </c>
      <c r="F64" s="685">
        <f>+'M.Yağ Alış Fiyat'!$G$3</f>
        <v>0</v>
      </c>
      <c r="G64" s="685">
        <f t="shared" si="100"/>
        <v>0</v>
      </c>
      <c r="H64" s="685">
        <f t="shared" si="101"/>
        <v>0</v>
      </c>
      <c r="I64" s="685">
        <f t="shared" si="102"/>
        <v>0</v>
      </c>
      <c r="J64" s="685">
        <f t="shared" si="103"/>
        <v>0</v>
      </c>
      <c r="K64" s="685">
        <f t="shared" si="104"/>
        <v>0</v>
      </c>
      <c r="L64" s="685">
        <f t="shared" si="105"/>
        <v>0</v>
      </c>
      <c r="M64" s="685">
        <f t="shared" si="106"/>
        <v>0</v>
      </c>
      <c r="N64" s="685">
        <f t="shared" si="107"/>
        <v>0</v>
      </c>
      <c r="O64" s="685">
        <f t="shared" si="108"/>
        <v>0</v>
      </c>
      <c r="P64" s="613">
        <f t="shared" si="109"/>
        <v>0</v>
      </c>
      <c r="Q64" s="614" t="e">
        <f t="shared" si="110"/>
        <v>#DIV/0!</v>
      </c>
      <c r="U64" s="905"/>
    </row>
    <row r="65" spans="1:21" s="709" customFormat="1" ht="25.5" customHeight="1" thickBot="1">
      <c r="A65" s="693" t="s">
        <v>30</v>
      </c>
      <c r="B65" s="694"/>
      <c r="C65" s="726"/>
      <c r="D65" s="727"/>
      <c r="E65" s="728"/>
      <c r="F65" s="728"/>
      <c r="G65" s="728"/>
      <c r="H65" s="728"/>
      <c r="I65" s="728"/>
      <c r="J65" s="728"/>
      <c r="K65" s="728"/>
      <c r="L65" s="728"/>
      <c r="M65" s="728"/>
      <c r="N65" s="728"/>
      <c r="O65" s="729"/>
      <c r="P65" s="726"/>
      <c r="Q65" s="730"/>
      <c r="R65" s="550"/>
      <c r="S65" s="550"/>
      <c r="T65" s="550"/>
      <c r="U65" s="903"/>
    </row>
    <row r="66" spans="1:21" ht="25.5" customHeight="1">
      <c r="A66" s="615" t="s">
        <v>106</v>
      </c>
      <c r="B66" s="607"/>
      <c r="C66" s="608"/>
      <c r="D66" s="687">
        <f>D18</f>
        <v>0</v>
      </c>
      <c r="E66" s="687">
        <f t="shared" ref="E66:O66" si="111">E18</f>
        <v>0</v>
      </c>
      <c r="F66" s="687">
        <f t="shared" si="111"/>
        <v>0</v>
      </c>
      <c r="G66" s="687">
        <f t="shared" si="111"/>
        <v>0</v>
      </c>
      <c r="H66" s="687">
        <f t="shared" si="111"/>
        <v>0</v>
      </c>
      <c r="I66" s="687">
        <f t="shared" si="111"/>
        <v>0</v>
      </c>
      <c r="J66" s="687">
        <f t="shared" si="111"/>
        <v>0</v>
      </c>
      <c r="K66" s="687">
        <f t="shared" si="111"/>
        <v>0</v>
      </c>
      <c r="L66" s="687">
        <f t="shared" si="111"/>
        <v>0</v>
      </c>
      <c r="M66" s="687">
        <f t="shared" si="111"/>
        <v>0</v>
      </c>
      <c r="N66" s="687">
        <f t="shared" si="111"/>
        <v>0</v>
      </c>
      <c r="O66" s="687">
        <f t="shared" si="111"/>
        <v>0</v>
      </c>
      <c r="P66" s="609">
        <f t="shared" ref="P66:P67" si="112">AVERAGE(D66:O66)</f>
        <v>0</v>
      </c>
      <c r="Q66" s="610" t="e">
        <f t="shared" ref="Q66:Q67" si="113">SUM(P66-C66)/C66</f>
        <v>#DIV/0!</v>
      </c>
      <c r="U66" s="904"/>
    </row>
    <row r="67" spans="1:21" ht="25.5" customHeight="1" thickBot="1">
      <c r="A67" s="616" t="s">
        <v>105</v>
      </c>
      <c r="B67" s="617"/>
      <c r="C67" s="618"/>
      <c r="D67" s="688">
        <f>D19</f>
        <v>0</v>
      </c>
      <c r="E67" s="688">
        <f t="shared" ref="E67:O67" si="114">E19</f>
        <v>0</v>
      </c>
      <c r="F67" s="688">
        <f t="shared" si="114"/>
        <v>0</v>
      </c>
      <c r="G67" s="688">
        <f t="shared" si="114"/>
        <v>0</v>
      </c>
      <c r="H67" s="688">
        <f t="shared" si="114"/>
        <v>0</v>
      </c>
      <c r="I67" s="688">
        <f t="shared" si="114"/>
        <v>0</v>
      </c>
      <c r="J67" s="688">
        <f t="shared" si="114"/>
        <v>0</v>
      </c>
      <c r="K67" s="688">
        <f t="shared" si="114"/>
        <v>0</v>
      </c>
      <c r="L67" s="688">
        <f t="shared" si="114"/>
        <v>0</v>
      </c>
      <c r="M67" s="688">
        <f t="shared" si="114"/>
        <v>0</v>
      </c>
      <c r="N67" s="688">
        <f t="shared" si="114"/>
        <v>0</v>
      </c>
      <c r="O67" s="688">
        <f t="shared" si="114"/>
        <v>0</v>
      </c>
      <c r="P67" s="619">
        <f t="shared" si="112"/>
        <v>0</v>
      </c>
      <c r="Q67" s="620" t="e">
        <f t="shared" si="113"/>
        <v>#DIV/0!</v>
      </c>
      <c r="U67" s="906"/>
    </row>
    <row r="68" spans="1:21" ht="25.5" customHeight="1" thickBot="1">
      <c r="B68" s="601"/>
      <c r="C68" s="621"/>
      <c r="D68" s="689"/>
      <c r="E68" s="689"/>
      <c r="F68" s="689"/>
      <c r="G68" s="689"/>
      <c r="H68" s="689"/>
      <c r="I68" s="689"/>
      <c r="J68" s="689"/>
      <c r="K68" s="689"/>
      <c r="L68" s="689"/>
      <c r="M68" s="689"/>
      <c r="N68" s="689"/>
      <c r="O68" s="689"/>
      <c r="P68" s="622"/>
      <c r="Q68" s="623"/>
      <c r="U68" s="907"/>
    </row>
    <row r="69" spans="1:21" s="709" customFormat="1" ht="25.5" customHeight="1" thickBot="1">
      <c r="A69" s="693" t="s">
        <v>86</v>
      </c>
      <c r="B69" s="694"/>
      <c r="C69" s="695"/>
      <c r="D69" s="696">
        <v>14.451305</v>
      </c>
      <c r="E69" s="696">
        <v>14.451305</v>
      </c>
      <c r="F69" s="696">
        <v>14.451305</v>
      </c>
      <c r="G69" s="696">
        <f>+F69*$R$2</f>
        <v>16.474487699999997</v>
      </c>
      <c r="H69" s="696">
        <f t="shared" ref="H69" si="115">+F69*$R$2</f>
        <v>16.474487699999997</v>
      </c>
      <c r="I69" s="696">
        <f t="shared" ref="I69" si="116">+F69*$R$2</f>
        <v>16.474487699999997</v>
      </c>
      <c r="J69" s="696">
        <f t="shared" ref="J69" si="117">+I69*$S$2</f>
        <v>18.945660854999996</v>
      </c>
      <c r="K69" s="696">
        <f t="shared" ref="K69" si="118">+I69*$S$2</f>
        <v>18.945660854999996</v>
      </c>
      <c r="L69" s="696">
        <f t="shared" ref="L69" si="119">+I69*$S$2</f>
        <v>18.945660854999996</v>
      </c>
      <c r="M69" s="696">
        <f t="shared" ref="M69" si="120">+L69*$T$2</f>
        <v>21.976966591799993</v>
      </c>
      <c r="N69" s="696">
        <f t="shared" ref="N69" si="121">+L69*$T$2</f>
        <v>21.976966591799993</v>
      </c>
      <c r="O69" s="696">
        <f t="shared" ref="O69" si="122">+L69*$T$2</f>
        <v>21.976966591799993</v>
      </c>
      <c r="P69" s="695">
        <f>AVERAGE(D69:O69)</f>
        <v>17.962105036699999</v>
      </c>
      <c r="Q69" s="699" t="e">
        <f>SUM(P69-C69)/C69</f>
        <v>#DIV/0!</v>
      </c>
      <c r="R69" s="550"/>
      <c r="S69" s="550"/>
      <c r="T69" s="550"/>
      <c r="U69" s="908"/>
    </row>
    <row r="70" spans="1:21" ht="25.5" customHeight="1" thickBot="1">
      <c r="A70" s="624"/>
      <c r="B70" s="625"/>
      <c r="C70" s="626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26"/>
      <c r="Q70" s="627"/>
    </row>
    <row r="71" spans="1:21" ht="25.5" customHeight="1" thickBot="1">
      <c r="A71" s="693" t="s">
        <v>31</v>
      </c>
      <c r="B71" s="694"/>
      <c r="C71" s="695"/>
      <c r="D71" s="696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8"/>
      <c r="P71" s="695"/>
      <c r="Q71" s="699"/>
    </row>
    <row r="73" spans="1:21" ht="16.2" thickBot="1"/>
    <row r="74" spans="1:21" ht="32.1" customHeight="1" thickBot="1">
      <c r="A74" s="649"/>
      <c r="B74" s="2390"/>
      <c r="C74" s="2392" t="s">
        <v>695</v>
      </c>
      <c r="D74" s="2394" t="s">
        <v>104</v>
      </c>
      <c r="E74" s="2395"/>
      <c r="F74" s="2395"/>
      <c r="G74" s="2395"/>
      <c r="H74" s="2395"/>
      <c r="I74" s="2395"/>
      <c r="J74" s="2395"/>
      <c r="K74" s="2395"/>
      <c r="L74" s="2395"/>
      <c r="M74" s="2395"/>
      <c r="N74" s="2395"/>
      <c r="O74" s="2395"/>
      <c r="P74" s="2396"/>
      <c r="Q74" s="937" t="s">
        <v>605</v>
      </c>
    </row>
    <row r="75" spans="1:21" ht="32.1" customHeight="1" thickBot="1">
      <c r="A75" s="650"/>
      <c r="B75" s="2391"/>
      <c r="C75" s="2393"/>
      <c r="D75" s="678" t="s">
        <v>1</v>
      </c>
      <c r="E75" s="679" t="s">
        <v>2</v>
      </c>
      <c r="F75" s="679" t="s">
        <v>3</v>
      </c>
      <c r="G75" s="679" t="s">
        <v>4</v>
      </c>
      <c r="H75" s="679" t="s">
        <v>5</v>
      </c>
      <c r="I75" s="679" t="s">
        <v>6</v>
      </c>
      <c r="J75" s="679" t="s">
        <v>7</v>
      </c>
      <c r="K75" s="679" t="s">
        <v>8</v>
      </c>
      <c r="L75" s="679" t="s">
        <v>9</v>
      </c>
      <c r="M75" s="679" t="s">
        <v>10</v>
      </c>
      <c r="N75" s="679" t="s">
        <v>11</v>
      </c>
      <c r="O75" s="680" t="s">
        <v>12</v>
      </c>
      <c r="P75" s="651" t="s">
        <v>281</v>
      </c>
      <c r="Q75" s="941" t="s">
        <v>693</v>
      </c>
      <c r="R75" s="913" t="s">
        <v>509</v>
      </c>
      <c r="S75" s="913" t="s">
        <v>150</v>
      </c>
      <c r="T75" s="913" t="s">
        <v>151</v>
      </c>
    </row>
    <row r="76" spans="1:21" ht="25.5" customHeight="1" thickBot="1">
      <c r="A76" s="693" t="s">
        <v>28</v>
      </c>
      <c r="B76" s="694"/>
      <c r="C76" s="695"/>
      <c r="D76" s="696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8"/>
      <c r="P76" s="695"/>
      <c r="Q76" s="699"/>
      <c r="R76" s="914" t="s">
        <v>172</v>
      </c>
      <c r="S76" s="914"/>
      <c r="T76" s="914" t="s">
        <v>320</v>
      </c>
      <c r="U76" s="914" t="s">
        <v>497</v>
      </c>
    </row>
    <row r="77" spans="1:21" ht="25.5" customHeight="1">
      <c r="A77" s="654" t="s">
        <v>15</v>
      </c>
      <c r="B77" s="655"/>
      <c r="C77" s="656"/>
      <c r="D77" s="657">
        <f>'Alış Fiyat'!D77*1.026</f>
        <v>0</v>
      </c>
      <c r="E77" s="657">
        <f>'Alış Fiyat'!E77*1.026</f>
        <v>0</v>
      </c>
      <c r="F77" s="657">
        <f>'Alış Fiyat'!F77*1.026</f>
        <v>0</v>
      </c>
      <c r="G77" s="657">
        <f>+F77*$R$2</f>
        <v>0</v>
      </c>
      <c r="H77" s="657">
        <f t="shared" ref="H77:H78" si="123">+F77*$R$2</f>
        <v>0</v>
      </c>
      <c r="I77" s="657">
        <f t="shared" ref="I77:I78" si="124">+F77*$R$2</f>
        <v>0</v>
      </c>
      <c r="J77" s="657">
        <f t="shared" ref="J77:J78" si="125">+I77*$S$2</f>
        <v>0</v>
      </c>
      <c r="K77" s="657">
        <f t="shared" ref="K77:K78" si="126">+I77*$S$2</f>
        <v>0</v>
      </c>
      <c r="L77" s="657">
        <f t="shared" ref="L77:L78" si="127">+I77*$S$2</f>
        <v>0</v>
      </c>
      <c r="M77" s="657">
        <f t="shared" ref="M77:M78" si="128">+L77*$T$2</f>
        <v>0</v>
      </c>
      <c r="N77" s="657">
        <f t="shared" ref="N77:N78" si="129">+L77*$T$2</f>
        <v>0</v>
      </c>
      <c r="O77" s="657">
        <f t="shared" ref="O77:O78" si="130">+L77*$T$2</f>
        <v>0</v>
      </c>
      <c r="P77" s="658">
        <f t="shared" ref="P77:P80" si="131">AVERAGE(D77:O77)</f>
        <v>0</v>
      </c>
      <c r="Q77" s="659" t="e">
        <f t="shared" ref="Q77:Q78" si="132">SUM(P77-C77)/C77</f>
        <v>#DIV/0!</v>
      </c>
      <c r="U77" s="915"/>
    </row>
    <row r="78" spans="1:21" ht="25.5" hidden="1" customHeight="1">
      <c r="A78" s="660" t="s">
        <v>16</v>
      </c>
      <c r="B78" s="661"/>
      <c r="C78" s="662"/>
      <c r="D78" s="663"/>
      <c r="E78" s="663"/>
      <c r="F78" s="663"/>
      <c r="G78" s="663">
        <f>+F78*$R$2</f>
        <v>0</v>
      </c>
      <c r="H78" s="663">
        <f t="shared" si="123"/>
        <v>0</v>
      </c>
      <c r="I78" s="663">
        <f t="shared" si="124"/>
        <v>0</v>
      </c>
      <c r="J78" s="663">
        <f t="shared" si="125"/>
        <v>0</v>
      </c>
      <c r="K78" s="663">
        <f t="shared" si="126"/>
        <v>0</v>
      </c>
      <c r="L78" s="663">
        <f t="shared" si="127"/>
        <v>0</v>
      </c>
      <c r="M78" s="663">
        <f t="shared" si="128"/>
        <v>0</v>
      </c>
      <c r="N78" s="663">
        <f t="shared" si="129"/>
        <v>0</v>
      </c>
      <c r="O78" s="663">
        <f t="shared" si="130"/>
        <v>0</v>
      </c>
      <c r="P78" s="604">
        <f t="shared" si="131"/>
        <v>0</v>
      </c>
      <c r="Q78" s="600" t="e">
        <f t="shared" si="132"/>
        <v>#DIV/0!</v>
      </c>
      <c r="U78" s="916"/>
    </row>
    <row r="79" spans="1:21" ht="25.5" customHeight="1">
      <c r="A79" s="701" t="s">
        <v>27</v>
      </c>
      <c r="B79" s="702"/>
      <c r="C79" s="703"/>
      <c r="D79" s="704"/>
      <c r="E79" s="704"/>
      <c r="F79" s="704"/>
      <c r="G79" s="704"/>
      <c r="H79" s="704"/>
      <c r="I79" s="704"/>
      <c r="J79" s="704"/>
      <c r="K79" s="704"/>
      <c r="L79" s="704"/>
      <c r="M79" s="704"/>
      <c r="N79" s="704"/>
      <c r="O79" s="704"/>
      <c r="P79" s="707"/>
      <c r="Q79" s="708"/>
      <c r="U79" s="917"/>
    </row>
    <row r="80" spans="1:21" ht="25.5" customHeight="1">
      <c r="A80" s="710" t="s">
        <v>17</v>
      </c>
      <c r="B80" s="711"/>
      <c r="C80" s="712"/>
      <c r="D80" s="713"/>
      <c r="E80" s="713"/>
      <c r="F80" s="713"/>
      <c r="G80" s="713">
        <f>+F80*$R$2</f>
        <v>0</v>
      </c>
      <c r="H80" s="713">
        <f t="shared" ref="H80:H84" si="133">+F80*$R$2</f>
        <v>0</v>
      </c>
      <c r="I80" s="713">
        <f t="shared" ref="I80:I84" si="134">+F80*$R$2</f>
        <v>0</v>
      </c>
      <c r="J80" s="713">
        <f t="shared" ref="J80:J84" si="135">+I80*$S$2</f>
        <v>0</v>
      </c>
      <c r="K80" s="713">
        <f t="shared" ref="K80:K84" si="136">+I80*$S$2</f>
        <v>0</v>
      </c>
      <c r="L80" s="713">
        <f t="shared" ref="L80:L84" si="137">+I80*$S$2</f>
        <v>0</v>
      </c>
      <c r="M80" s="713">
        <f t="shared" ref="M80:M84" si="138">+L80*$T$2</f>
        <v>0</v>
      </c>
      <c r="N80" s="713">
        <f t="shared" ref="N80:N84" si="139">+L80*$T$2</f>
        <v>0</v>
      </c>
      <c r="O80" s="713">
        <f t="shared" ref="O80:O84" si="140">+L80*$T$2</f>
        <v>0</v>
      </c>
      <c r="P80" s="716">
        <f t="shared" si="131"/>
        <v>0</v>
      </c>
      <c r="Q80" s="717"/>
      <c r="U80" s="918"/>
    </row>
    <row r="81" spans="1:21" ht="25.5" customHeight="1">
      <c r="A81" s="670" t="s">
        <v>81</v>
      </c>
      <c r="B81" s="602"/>
      <c r="C81" s="656"/>
      <c r="D81" s="671">
        <f>'Alış Fiyat'!D81*1.026</f>
        <v>0</v>
      </c>
      <c r="E81" s="671">
        <f>'Alış Fiyat'!E81*1.026</f>
        <v>0</v>
      </c>
      <c r="F81" s="671">
        <f>'Alış Fiyat'!F81*1.026</f>
        <v>0</v>
      </c>
      <c r="G81" s="671">
        <f>'Alış Fiyat'!G81*1.026</f>
        <v>21.016782098047234</v>
      </c>
      <c r="H81" s="671">
        <f>'Alış Fiyat'!H81*1.026</f>
        <v>21.401708791518182</v>
      </c>
      <c r="I81" s="671">
        <f>'Alış Fiyat'!I81*1.026</f>
        <v>22.282103063436651</v>
      </c>
      <c r="J81" s="671">
        <f>'Alış Fiyat'!J81*1.026</f>
        <v>23.267530335359503</v>
      </c>
      <c r="K81" s="671">
        <f>'Alış Fiyat'!K81*1.026</f>
        <v>23.808484099063001</v>
      </c>
      <c r="L81" s="671">
        <f>'Alış Fiyat'!L81*1.026</f>
        <v>23.625749105721408</v>
      </c>
      <c r="M81" s="671">
        <f>'Alış Fiyat'!M81*1.026</f>
        <v>24.308953714158466</v>
      </c>
      <c r="N81" s="671">
        <f>'Alış Fiyat'!N81*1.026</f>
        <v>23.596355627346075</v>
      </c>
      <c r="O81" s="671">
        <f>'Alış Fiyat'!O81*1.026</f>
        <v>24.102490526570396</v>
      </c>
      <c r="P81" s="605">
        <f>AVERAGE(D81:O81)</f>
        <v>17.284179780101741</v>
      </c>
      <c r="Q81" s="606" t="e">
        <f>SUM(P81-C81)/C81</f>
        <v>#DIV/0!</v>
      </c>
      <c r="U81" s="919"/>
    </row>
    <row r="82" spans="1:21" ht="25.5" hidden="1" customHeight="1">
      <c r="A82" s="672" t="s">
        <v>82</v>
      </c>
      <c r="B82" s="603"/>
      <c r="C82" s="662"/>
      <c r="D82" s="667"/>
      <c r="E82" s="667"/>
      <c r="F82" s="667"/>
      <c r="G82" s="667">
        <f>+F82*$R$2</f>
        <v>0</v>
      </c>
      <c r="H82" s="667">
        <f t="shared" si="133"/>
        <v>0</v>
      </c>
      <c r="I82" s="667">
        <f t="shared" si="134"/>
        <v>0</v>
      </c>
      <c r="J82" s="667">
        <f t="shared" si="135"/>
        <v>0</v>
      </c>
      <c r="K82" s="667">
        <f t="shared" si="136"/>
        <v>0</v>
      </c>
      <c r="L82" s="667">
        <f t="shared" si="137"/>
        <v>0</v>
      </c>
      <c r="M82" s="667">
        <f t="shared" si="138"/>
        <v>0</v>
      </c>
      <c r="N82" s="667">
        <f t="shared" si="139"/>
        <v>0</v>
      </c>
      <c r="O82" s="667">
        <f t="shared" si="140"/>
        <v>0</v>
      </c>
      <c r="P82" s="604"/>
      <c r="Q82" s="600"/>
      <c r="U82" s="920"/>
    </row>
    <row r="83" spans="1:21" ht="25.5" customHeight="1">
      <c r="A83" s="670" t="s">
        <v>83</v>
      </c>
      <c r="B83" s="673"/>
      <c r="C83" s="656"/>
      <c r="D83" s="674">
        <f>+D81</f>
        <v>0</v>
      </c>
      <c r="E83" s="674">
        <f t="shared" ref="E83:F83" si="141">+E81</f>
        <v>0</v>
      </c>
      <c r="F83" s="674">
        <f t="shared" si="141"/>
        <v>0</v>
      </c>
      <c r="G83" s="674">
        <f t="shared" ref="G83:G84" si="142">+F83*$R$2</f>
        <v>0</v>
      </c>
      <c r="H83" s="674">
        <f t="shared" si="133"/>
        <v>0</v>
      </c>
      <c r="I83" s="674">
        <f t="shared" si="134"/>
        <v>0</v>
      </c>
      <c r="J83" s="674">
        <f t="shared" si="135"/>
        <v>0</v>
      </c>
      <c r="K83" s="674">
        <f t="shared" si="136"/>
        <v>0</v>
      </c>
      <c r="L83" s="674">
        <f t="shared" si="137"/>
        <v>0</v>
      </c>
      <c r="M83" s="674">
        <f t="shared" si="138"/>
        <v>0</v>
      </c>
      <c r="N83" s="674">
        <f t="shared" si="139"/>
        <v>0</v>
      </c>
      <c r="O83" s="674">
        <f t="shared" si="140"/>
        <v>0</v>
      </c>
      <c r="P83" s="605">
        <f>AVERAGE(D83:O83)</f>
        <v>0</v>
      </c>
      <c r="Q83" s="606" t="e">
        <f>SUM(P83-C83)/C83</f>
        <v>#DIV/0!</v>
      </c>
      <c r="U83" s="920"/>
    </row>
    <row r="84" spans="1:21" ht="25.5" hidden="1" customHeight="1">
      <c r="A84" s="672" t="s">
        <v>84</v>
      </c>
      <c r="B84" s="661"/>
      <c r="C84" s="675"/>
      <c r="D84" s="676"/>
      <c r="E84" s="676"/>
      <c r="F84" s="676"/>
      <c r="G84" s="676">
        <f t="shared" si="142"/>
        <v>0</v>
      </c>
      <c r="H84" s="676">
        <f t="shared" si="133"/>
        <v>0</v>
      </c>
      <c r="I84" s="676">
        <f t="shared" si="134"/>
        <v>0</v>
      </c>
      <c r="J84" s="676">
        <f t="shared" si="135"/>
        <v>0</v>
      </c>
      <c r="K84" s="676">
        <f t="shared" si="136"/>
        <v>0</v>
      </c>
      <c r="L84" s="676">
        <f t="shared" si="137"/>
        <v>0</v>
      </c>
      <c r="M84" s="676">
        <f t="shared" si="138"/>
        <v>0</v>
      </c>
      <c r="N84" s="676">
        <f t="shared" si="139"/>
        <v>0</v>
      </c>
      <c r="O84" s="676">
        <f t="shared" si="140"/>
        <v>0</v>
      </c>
      <c r="P84" s="604"/>
      <c r="Q84" s="600"/>
      <c r="U84" s="920"/>
    </row>
    <row r="85" spans="1:21" ht="25.5" customHeight="1" thickBot="1">
      <c r="A85" s="718" t="s">
        <v>18</v>
      </c>
      <c r="B85" s="719"/>
      <c r="C85" s="720"/>
      <c r="D85" s="721"/>
      <c r="E85" s="721"/>
      <c r="F85" s="721"/>
      <c r="G85" s="721"/>
      <c r="H85" s="721"/>
      <c r="I85" s="721"/>
      <c r="J85" s="721"/>
      <c r="K85" s="721"/>
      <c r="L85" s="721"/>
      <c r="M85" s="721"/>
      <c r="N85" s="721"/>
      <c r="O85" s="721"/>
      <c r="P85" s="720"/>
      <c r="Q85" s="724"/>
      <c r="U85" s="921"/>
    </row>
    <row r="86" spans="1:21" ht="25.5" customHeight="1" thickBot="1">
      <c r="A86" s="693" t="s">
        <v>29</v>
      </c>
      <c r="B86" s="725"/>
      <c r="C86" s="726"/>
      <c r="D86" s="727"/>
      <c r="E86" s="728"/>
      <c r="F86" s="728"/>
      <c r="G86" s="728"/>
      <c r="H86" s="728"/>
      <c r="I86" s="728"/>
      <c r="J86" s="728"/>
      <c r="K86" s="728"/>
      <c r="L86" s="728"/>
      <c r="M86" s="728"/>
      <c r="N86" s="728"/>
      <c r="O86" s="729"/>
      <c r="P86" s="726"/>
      <c r="Q86" s="730"/>
      <c r="U86" s="910"/>
    </row>
    <row r="87" spans="1:21" ht="25.5" customHeight="1">
      <c r="A87" s="615" t="s">
        <v>19</v>
      </c>
      <c r="B87" s="607"/>
      <c r="C87" s="608"/>
      <c r="D87" s="681">
        <f>+'M.Yağ Alış Fiyat'!$G$2</f>
        <v>0</v>
      </c>
      <c r="E87" s="682">
        <f>+'M.Yağ Alış Fiyat'!$G$2</f>
        <v>0</v>
      </c>
      <c r="F87" s="683">
        <f>+'M.Yağ Alış Fiyat'!$G$2</f>
        <v>0</v>
      </c>
      <c r="G87" s="683">
        <f t="shared" ref="G87:G88" si="143">+F87*$R$2</f>
        <v>0</v>
      </c>
      <c r="H87" s="683">
        <f t="shared" ref="H87:H88" si="144">+F87*$R$2</f>
        <v>0</v>
      </c>
      <c r="I87" s="683">
        <f t="shared" ref="I87:I88" si="145">+F87*$R$2</f>
        <v>0</v>
      </c>
      <c r="J87" s="683">
        <f t="shared" ref="J87:J88" si="146">+I87*$S$2</f>
        <v>0</v>
      </c>
      <c r="K87" s="683">
        <f t="shared" ref="K87:K88" si="147">+I87*$S$2</f>
        <v>0</v>
      </c>
      <c r="L87" s="683">
        <f t="shared" ref="L87:L88" si="148">+I87*$S$2</f>
        <v>0</v>
      </c>
      <c r="M87" s="683">
        <f t="shared" ref="M87:M88" si="149">+L87*$T$2</f>
        <v>0</v>
      </c>
      <c r="N87" s="683">
        <f t="shared" ref="N87:N88" si="150">+L87*$T$2</f>
        <v>0</v>
      </c>
      <c r="O87" s="684">
        <f t="shared" ref="O87:O88" si="151">+L87*$T$2</f>
        <v>0</v>
      </c>
      <c r="P87" s="609">
        <f t="shared" ref="P87:P88" si="152">AVERAGE(D87:O87)</f>
        <v>0</v>
      </c>
      <c r="Q87" s="610" t="e">
        <f t="shared" ref="Q87:Q88" si="153">SUM(P87-C87)/C87</f>
        <v>#DIV/0!</v>
      </c>
      <c r="U87" s="904"/>
    </row>
    <row r="88" spans="1:21" ht="25.5" customHeight="1" thickBot="1">
      <c r="A88" s="616" t="s">
        <v>20</v>
      </c>
      <c r="B88" s="611"/>
      <c r="C88" s="612"/>
      <c r="D88" s="685">
        <f>+'M.Yağ Alış Fiyat'!$G$3</f>
        <v>0</v>
      </c>
      <c r="E88" s="685">
        <f>+'M.Yağ Alış Fiyat'!$G$3</f>
        <v>0</v>
      </c>
      <c r="F88" s="685">
        <f>+'M.Yağ Alış Fiyat'!$G$3</f>
        <v>0</v>
      </c>
      <c r="G88" s="685">
        <f t="shared" si="143"/>
        <v>0</v>
      </c>
      <c r="H88" s="685">
        <f t="shared" si="144"/>
        <v>0</v>
      </c>
      <c r="I88" s="685">
        <f t="shared" si="145"/>
        <v>0</v>
      </c>
      <c r="J88" s="685">
        <f t="shared" si="146"/>
        <v>0</v>
      </c>
      <c r="K88" s="685">
        <f t="shared" si="147"/>
        <v>0</v>
      </c>
      <c r="L88" s="685">
        <f t="shared" si="148"/>
        <v>0</v>
      </c>
      <c r="M88" s="685">
        <f t="shared" si="149"/>
        <v>0</v>
      </c>
      <c r="N88" s="685">
        <f t="shared" si="150"/>
        <v>0</v>
      </c>
      <c r="O88" s="685">
        <f t="shared" si="151"/>
        <v>0</v>
      </c>
      <c r="P88" s="613">
        <f t="shared" si="152"/>
        <v>0</v>
      </c>
      <c r="Q88" s="614" t="e">
        <f t="shared" si="153"/>
        <v>#DIV/0!</v>
      </c>
      <c r="U88" s="905"/>
    </row>
    <row r="89" spans="1:21" ht="25.5" customHeight="1" thickBot="1">
      <c r="A89" s="693" t="s">
        <v>30</v>
      </c>
      <c r="B89" s="694"/>
      <c r="C89" s="726"/>
      <c r="D89" s="727"/>
      <c r="E89" s="728"/>
      <c r="F89" s="728"/>
      <c r="G89" s="728"/>
      <c r="H89" s="728"/>
      <c r="I89" s="728"/>
      <c r="J89" s="728"/>
      <c r="K89" s="728"/>
      <c r="L89" s="728"/>
      <c r="M89" s="728"/>
      <c r="N89" s="728"/>
      <c r="O89" s="729"/>
      <c r="P89" s="726"/>
      <c r="Q89" s="730"/>
      <c r="U89" s="910"/>
    </row>
    <row r="90" spans="1:21" ht="25.5" customHeight="1">
      <c r="A90" s="615" t="s">
        <v>106</v>
      </c>
      <c r="B90" s="607"/>
      <c r="C90" s="608"/>
      <c r="D90" s="687">
        <f>D18</f>
        <v>0</v>
      </c>
      <c r="E90" s="687">
        <f t="shared" ref="E90:O90" si="154">E18</f>
        <v>0</v>
      </c>
      <c r="F90" s="687">
        <f t="shared" si="154"/>
        <v>0</v>
      </c>
      <c r="G90" s="687">
        <f t="shared" si="154"/>
        <v>0</v>
      </c>
      <c r="H90" s="687">
        <f t="shared" si="154"/>
        <v>0</v>
      </c>
      <c r="I90" s="687">
        <f t="shared" si="154"/>
        <v>0</v>
      </c>
      <c r="J90" s="687">
        <f t="shared" si="154"/>
        <v>0</v>
      </c>
      <c r="K90" s="687">
        <f t="shared" si="154"/>
        <v>0</v>
      </c>
      <c r="L90" s="687">
        <f t="shared" si="154"/>
        <v>0</v>
      </c>
      <c r="M90" s="687">
        <f t="shared" si="154"/>
        <v>0</v>
      </c>
      <c r="N90" s="687">
        <f t="shared" si="154"/>
        <v>0</v>
      </c>
      <c r="O90" s="687">
        <f t="shared" si="154"/>
        <v>0</v>
      </c>
      <c r="P90" s="609">
        <f t="shared" ref="P90:P91" si="155">AVERAGE(D90:O90)</f>
        <v>0</v>
      </c>
      <c r="Q90" s="610" t="e">
        <f t="shared" ref="Q90:Q91" si="156">SUM(P90-C90)/C90</f>
        <v>#DIV/0!</v>
      </c>
      <c r="U90" s="904"/>
    </row>
    <row r="91" spans="1:21" ht="25.5" customHeight="1" thickBot="1">
      <c r="A91" s="616" t="s">
        <v>105</v>
      </c>
      <c r="B91" s="617"/>
      <c r="C91" s="618"/>
      <c r="D91" s="688">
        <f>D19</f>
        <v>0</v>
      </c>
      <c r="E91" s="688">
        <f t="shared" ref="E91:O91" si="157">E19</f>
        <v>0</v>
      </c>
      <c r="F91" s="688">
        <f t="shared" si="157"/>
        <v>0</v>
      </c>
      <c r="G91" s="688">
        <f t="shared" si="157"/>
        <v>0</v>
      </c>
      <c r="H91" s="688">
        <f t="shared" si="157"/>
        <v>0</v>
      </c>
      <c r="I91" s="688">
        <f t="shared" si="157"/>
        <v>0</v>
      </c>
      <c r="J91" s="688">
        <f t="shared" si="157"/>
        <v>0</v>
      </c>
      <c r="K91" s="688">
        <f t="shared" si="157"/>
        <v>0</v>
      </c>
      <c r="L91" s="688">
        <f t="shared" si="157"/>
        <v>0</v>
      </c>
      <c r="M91" s="688">
        <f t="shared" si="157"/>
        <v>0</v>
      </c>
      <c r="N91" s="688">
        <f t="shared" si="157"/>
        <v>0</v>
      </c>
      <c r="O91" s="688">
        <f t="shared" si="157"/>
        <v>0</v>
      </c>
      <c r="P91" s="619">
        <f t="shared" si="155"/>
        <v>0</v>
      </c>
      <c r="Q91" s="620" t="e">
        <f t="shared" si="156"/>
        <v>#DIV/0!</v>
      </c>
      <c r="U91" s="906"/>
    </row>
    <row r="92" spans="1:21" ht="25.5" customHeight="1" thickBot="1">
      <c r="B92" s="601"/>
      <c r="C92" s="621"/>
      <c r="D92" s="689"/>
      <c r="E92" s="689"/>
      <c r="F92" s="689"/>
      <c r="G92" s="689"/>
      <c r="H92" s="689"/>
      <c r="I92" s="689"/>
      <c r="J92" s="689"/>
      <c r="K92" s="689"/>
      <c r="L92" s="689"/>
      <c r="M92" s="689"/>
      <c r="N92" s="689"/>
      <c r="O92" s="689"/>
      <c r="P92" s="622"/>
      <c r="Q92" s="623"/>
      <c r="U92" s="907"/>
    </row>
    <row r="93" spans="1:21" ht="25.5" customHeight="1" thickBot="1">
      <c r="A93" s="693" t="s">
        <v>86</v>
      </c>
      <c r="B93" s="694"/>
      <c r="C93" s="695"/>
      <c r="D93" s="696">
        <v>14.451305</v>
      </c>
      <c r="E93" s="696">
        <v>14.451305</v>
      </c>
      <c r="F93" s="696">
        <v>14.451305</v>
      </c>
      <c r="G93" s="696">
        <f>F93*R2</f>
        <v>16.474487699999997</v>
      </c>
      <c r="H93" s="696">
        <v>16.474487699999997</v>
      </c>
      <c r="I93" s="696">
        <v>16.474487699999997</v>
      </c>
      <c r="J93" s="696">
        <f>I93*S2</f>
        <v>18.945660854999996</v>
      </c>
      <c r="K93" s="696">
        <v>18.945660854999996</v>
      </c>
      <c r="L93" s="696">
        <v>18.945660854999996</v>
      </c>
      <c r="M93" s="696">
        <f>L93*T2</f>
        <v>21.976966591799993</v>
      </c>
      <c r="N93" s="696">
        <v>21.976966591799993</v>
      </c>
      <c r="O93" s="696">
        <v>21.976966591799993</v>
      </c>
      <c r="P93" s="695">
        <f>AVERAGE(D93:O93)</f>
        <v>17.962105036699999</v>
      </c>
      <c r="Q93" s="699" t="e">
        <f>SUM(P93-C93)/C93</f>
        <v>#DIV/0!</v>
      </c>
      <c r="U93" s="911"/>
    </row>
    <row r="94" spans="1:21" ht="25.5" customHeight="1" thickBot="1">
      <c r="A94" s="624"/>
      <c r="B94" s="625"/>
      <c r="C94" s="626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26"/>
      <c r="Q94" s="627"/>
    </row>
    <row r="95" spans="1:21" ht="25.5" customHeight="1" thickBot="1">
      <c r="A95" s="693" t="s">
        <v>31</v>
      </c>
      <c r="B95" s="694"/>
      <c r="C95" s="695"/>
      <c r="D95" s="2270"/>
      <c r="E95" s="2270"/>
      <c r="F95" s="2270"/>
      <c r="G95" s="2270"/>
      <c r="H95" s="2270"/>
      <c r="I95" s="2270"/>
      <c r="J95" s="2270"/>
      <c r="K95" s="2270"/>
      <c r="L95" s="2270"/>
      <c r="M95" s="2270"/>
      <c r="N95" s="2270"/>
      <c r="O95" s="2270"/>
      <c r="P95" s="695"/>
      <c r="Q95" s="699"/>
    </row>
    <row r="97" spans="1:21" ht="16.2" thickBot="1"/>
    <row r="98" spans="1:21" ht="32.1" customHeight="1" thickBot="1">
      <c r="A98" s="649"/>
      <c r="B98" s="2390"/>
      <c r="C98" s="2392" t="s">
        <v>695</v>
      </c>
      <c r="D98" s="2394" t="s">
        <v>486</v>
      </c>
      <c r="E98" s="2395"/>
      <c r="F98" s="2395"/>
      <c r="G98" s="2395"/>
      <c r="H98" s="2395"/>
      <c r="I98" s="2395"/>
      <c r="J98" s="2395"/>
      <c r="K98" s="2395"/>
      <c r="L98" s="2395"/>
      <c r="M98" s="2395"/>
      <c r="N98" s="2395"/>
      <c r="O98" s="2395"/>
      <c r="P98" s="2396"/>
      <c r="Q98" s="937" t="s">
        <v>605</v>
      </c>
    </row>
    <row r="99" spans="1:21" ht="32.1" customHeight="1" thickBot="1">
      <c r="A99" s="650"/>
      <c r="B99" s="2391"/>
      <c r="C99" s="2393"/>
      <c r="D99" s="678" t="s">
        <v>1</v>
      </c>
      <c r="E99" s="679" t="s">
        <v>2</v>
      </c>
      <c r="F99" s="679" t="s">
        <v>3</v>
      </c>
      <c r="G99" s="679" t="s">
        <v>4</v>
      </c>
      <c r="H99" s="679" t="s">
        <v>5</v>
      </c>
      <c r="I99" s="679" t="s">
        <v>6</v>
      </c>
      <c r="J99" s="679" t="s">
        <v>7</v>
      </c>
      <c r="K99" s="679" t="s">
        <v>8</v>
      </c>
      <c r="L99" s="679" t="s">
        <v>9</v>
      </c>
      <c r="M99" s="679" t="s">
        <v>10</v>
      </c>
      <c r="N99" s="679" t="s">
        <v>11</v>
      </c>
      <c r="O99" s="680" t="s">
        <v>12</v>
      </c>
      <c r="P99" s="651" t="s">
        <v>281</v>
      </c>
      <c r="Q99" s="941" t="s">
        <v>693</v>
      </c>
      <c r="R99" s="913" t="s">
        <v>509</v>
      </c>
      <c r="S99" s="913" t="s">
        <v>150</v>
      </c>
      <c r="T99" s="913" t="s">
        <v>151</v>
      </c>
    </row>
    <row r="100" spans="1:21" ht="25.5" customHeight="1" thickBot="1">
      <c r="A100" s="693" t="s">
        <v>28</v>
      </c>
      <c r="B100" s="694"/>
      <c r="C100" s="695"/>
      <c r="D100" s="696"/>
      <c r="E100" s="697"/>
      <c r="F100" s="697"/>
      <c r="G100" s="697"/>
      <c r="H100" s="697"/>
      <c r="I100" s="697"/>
      <c r="J100" s="697"/>
      <c r="K100" s="697"/>
      <c r="L100" s="697"/>
      <c r="M100" s="697"/>
      <c r="N100" s="697"/>
      <c r="O100" s="698"/>
      <c r="P100" s="695"/>
      <c r="Q100" s="699"/>
      <c r="R100" s="914" t="s">
        <v>94</v>
      </c>
      <c r="S100" s="914"/>
      <c r="T100" s="914" t="s">
        <v>320</v>
      </c>
      <c r="U100" s="914" t="s">
        <v>495</v>
      </c>
    </row>
    <row r="101" spans="1:21" ht="25.5" customHeight="1">
      <c r="A101" s="654" t="s">
        <v>15</v>
      </c>
      <c r="B101" s="655"/>
      <c r="C101" s="656"/>
      <c r="D101" s="657">
        <f>'Alış Fiyat'!D101*1.026</f>
        <v>0</v>
      </c>
      <c r="E101" s="657">
        <f>'Alış Fiyat'!E101*1.026</f>
        <v>0</v>
      </c>
      <c r="F101" s="657">
        <f>'Alış Fiyat'!F101*1.026</f>
        <v>0</v>
      </c>
      <c r="G101" s="657">
        <f>+F101*$R$2</f>
        <v>0</v>
      </c>
      <c r="H101" s="657">
        <f t="shared" ref="H101:H102" si="158">+F101*$R$2</f>
        <v>0</v>
      </c>
      <c r="I101" s="657">
        <f t="shared" ref="I101:I102" si="159">+F101*$R$2</f>
        <v>0</v>
      </c>
      <c r="J101" s="657">
        <f t="shared" ref="J101:J102" si="160">+I101*$S$2</f>
        <v>0</v>
      </c>
      <c r="K101" s="657">
        <f t="shared" ref="K101:K102" si="161">+I101*$S$2</f>
        <v>0</v>
      </c>
      <c r="L101" s="657">
        <f t="shared" ref="L101:L102" si="162">+I101*$S$2</f>
        <v>0</v>
      </c>
      <c r="M101" s="657">
        <f t="shared" ref="M101:M102" si="163">+L101*$T$2</f>
        <v>0</v>
      </c>
      <c r="N101" s="657">
        <f t="shared" ref="N101:N102" si="164">+L101*$T$2</f>
        <v>0</v>
      </c>
      <c r="O101" s="657">
        <f t="shared" ref="O101:O102" si="165">+L101*$T$2</f>
        <v>0</v>
      </c>
      <c r="P101" s="658">
        <f>AVERAGE(D101:O101)</f>
        <v>0</v>
      </c>
      <c r="Q101" s="659" t="e">
        <f>SUM(P101-C101)/C101</f>
        <v>#DIV/0!</v>
      </c>
      <c r="U101" s="915"/>
    </row>
    <row r="102" spans="1:21" ht="25.5" hidden="1" customHeight="1">
      <c r="A102" s="660" t="s">
        <v>16</v>
      </c>
      <c r="B102" s="661"/>
      <c r="C102" s="662"/>
      <c r="D102" s="663"/>
      <c r="E102" s="663"/>
      <c r="F102" s="663"/>
      <c r="G102" s="663">
        <f>+F102*$R$2</f>
        <v>0</v>
      </c>
      <c r="H102" s="663">
        <f t="shared" si="158"/>
        <v>0</v>
      </c>
      <c r="I102" s="663">
        <f t="shared" si="159"/>
        <v>0</v>
      </c>
      <c r="J102" s="663">
        <f t="shared" si="160"/>
        <v>0</v>
      </c>
      <c r="K102" s="663">
        <f t="shared" si="161"/>
        <v>0</v>
      </c>
      <c r="L102" s="663">
        <f t="shared" si="162"/>
        <v>0</v>
      </c>
      <c r="M102" s="663">
        <f t="shared" si="163"/>
        <v>0</v>
      </c>
      <c r="N102" s="663">
        <f t="shared" si="164"/>
        <v>0</v>
      </c>
      <c r="O102" s="663">
        <f t="shared" si="165"/>
        <v>0</v>
      </c>
      <c r="P102" s="604"/>
      <c r="Q102" s="600"/>
      <c r="U102" s="916"/>
    </row>
    <row r="103" spans="1:21" ht="25.5" customHeight="1">
      <c r="A103" s="701" t="s">
        <v>27</v>
      </c>
      <c r="B103" s="702"/>
      <c r="C103" s="703"/>
      <c r="D103" s="704"/>
      <c r="E103" s="704"/>
      <c r="F103" s="704"/>
      <c r="G103" s="704"/>
      <c r="H103" s="704"/>
      <c r="I103" s="704"/>
      <c r="J103" s="704"/>
      <c r="K103" s="704"/>
      <c r="L103" s="704"/>
      <c r="M103" s="704"/>
      <c r="N103" s="704"/>
      <c r="O103" s="704"/>
      <c r="P103" s="707"/>
      <c r="Q103" s="708"/>
      <c r="U103" s="917"/>
    </row>
    <row r="104" spans="1:21" ht="25.5" customHeight="1">
      <c r="A104" s="710" t="s">
        <v>17</v>
      </c>
      <c r="B104" s="711"/>
      <c r="C104" s="712"/>
      <c r="D104" s="713"/>
      <c r="E104" s="713"/>
      <c r="F104" s="713"/>
      <c r="G104" s="713">
        <f>+F104*$R$2</f>
        <v>0</v>
      </c>
      <c r="H104" s="713">
        <f t="shared" ref="H104:H108" si="166">+F104*$R$2</f>
        <v>0</v>
      </c>
      <c r="I104" s="713">
        <f t="shared" ref="I104:I108" si="167">+F104*$R$2</f>
        <v>0</v>
      </c>
      <c r="J104" s="713">
        <f t="shared" ref="J104:J108" si="168">+I104*$S$2</f>
        <v>0</v>
      </c>
      <c r="K104" s="713">
        <f t="shared" ref="K104:K108" si="169">+I104*$S$2</f>
        <v>0</v>
      </c>
      <c r="L104" s="713">
        <f t="shared" ref="L104:L108" si="170">+I104*$S$2</f>
        <v>0</v>
      </c>
      <c r="M104" s="713">
        <f t="shared" ref="M104:M108" si="171">+L104*$T$2</f>
        <v>0</v>
      </c>
      <c r="N104" s="713">
        <f t="shared" ref="N104:N108" si="172">+L104*$T$2</f>
        <v>0</v>
      </c>
      <c r="O104" s="713">
        <f t="shared" ref="O104:O108" si="173">+L104*$T$2</f>
        <v>0</v>
      </c>
      <c r="P104" s="716">
        <f>AVERAGE(D104:O104)</f>
        <v>0</v>
      </c>
      <c r="Q104" s="717"/>
      <c r="U104" s="918"/>
    </row>
    <row r="105" spans="1:21" ht="25.5" customHeight="1">
      <c r="A105" s="670" t="s">
        <v>81</v>
      </c>
      <c r="B105" s="602"/>
      <c r="C105" s="656"/>
      <c r="D105" s="657">
        <f>'Alış Fiyat'!D105*1.026</f>
        <v>0</v>
      </c>
      <c r="E105" s="657">
        <f>'Alış Fiyat'!E105*1.026</f>
        <v>0</v>
      </c>
      <c r="F105" s="657">
        <f>'Alış Fiyat'!F105*1.026</f>
        <v>0</v>
      </c>
      <c r="G105" s="671">
        <f>'Alış Fiyat'!G105*1.026</f>
        <v>21.016782098047234</v>
      </c>
      <c r="H105" s="671">
        <f>'Alış Fiyat'!H105*1.026</f>
        <v>21.401708791518182</v>
      </c>
      <c r="I105" s="671">
        <f>'Alış Fiyat'!I105*1.026</f>
        <v>22.282103063436651</v>
      </c>
      <c r="J105" s="671">
        <f>'Alış Fiyat'!J105*1.026</f>
        <v>23.267530335359503</v>
      </c>
      <c r="K105" s="671">
        <f>'Alış Fiyat'!K105*1.026</f>
        <v>23.808484099063001</v>
      </c>
      <c r="L105" s="671">
        <f>'Alış Fiyat'!L105*1.026</f>
        <v>23.625749105721408</v>
      </c>
      <c r="M105" s="671">
        <f>'Alış Fiyat'!M105*1.026</f>
        <v>24.308953714158466</v>
      </c>
      <c r="N105" s="671">
        <f>'Alış Fiyat'!N105*1.026</f>
        <v>23.596355627346075</v>
      </c>
      <c r="O105" s="671">
        <f>'Alış Fiyat'!O105*1.026</f>
        <v>24.102490526570396</v>
      </c>
      <c r="P105" s="605">
        <f>AVERAGE(D105:O105)</f>
        <v>17.284179780101741</v>
      </c>
      <c r="Q105" s="606" t="e">
        <f>SUM(P105-C105)/C105</f>
        <v>#DIV/0!</v>
      </c>
      <c r="U105" s="919"/>
    </row>
    <row r="106" spans="1:21" ht="25.5" hidden="1" customHeight="1">
      <c r="A106" s="672" t="s">
        <v>82</v>
      </c>
      <c r="B106" s="603"/>
      <c r="C106" s="662"/>
      <c r="D106" s="667"/>
      <c r="E106" s="667"/>
      <c r="F106" s="667"/>
      <c r="G106" s="667">
        <f>+F106*$R$2</f>
        <v>0</v>
      </c>
      <c r="H106" s="667">
        <f t="shared" si="166"/>
        <v>0</v>
      </c>
      <c r="I106" s="667">
        <f t="shared" si="167"/>
        <v>0</v>
      </c>
      <c r="J106" s="667">
        <f t="shared" si="168"/>
        <v>0</v>
      </c>
      <c r="K106" s="667">
        <f t="shared" si="169"/>
        <v>0</v>
      </c>
      <c r="L106" s="667">
        <f t="shared" si="170"/>
        <v>0</v>
      </c>
      <c r="M106" s="667">
        <f t="shared" si="171"/>
        <v>0</v>
      </c>
      <c r="N106" s="667">
        <f t="shared" si="172"/>
        <v>0</v>
      </c>
      <c r="O106" s="667">
        <f t="shared" si="173"/>
        <v>0</v>
      </c>
      <c r="P106" s="604"/>
      <c r="Q106" s="600"/>
      <c r="U106" s="920"/>
    </row>
    <row r="107" spans="1:21" ht="25.5" customHeight="1">
      <c r="A107" s="670" t="s">
        <v>83</v>
      </c>
      <c r="B107" s="673"/>
      <c r="C107" s="656"/>
      <c r="D107" s="674">
        <f>+D105</f>
        <v>0</v>
      </c>
      <c r="E107" s="674">
        <f t="shared" ref="E107:F107" si="174">+E105</f>
        <v>0</v>
      </c>
      <c r="F107" s="674">
        <f t="shared" si="174"/>
        <v>0</v>
      </c>
      <c r="G107" s="674">
        <f t="shared" ref="G107:G108" si="175">+F107*$R$2</f>
        <v>0</v>
      </c>
      <c r="H107" s="674">
        <f t="shared" si="166"/>
        <v>0</v>
      </c>
      <c r="I107" s="674">
        <f t="shared" si="167"/>
        <v>0</v>
      </c>
      <c r="J107" s="674">
        <f t="shared" si="168"/>
        <v>0</v>
      </c>
      <c r="K107" s="674">
        <f t="shared" si="169"/>
        <v>0</v>
      </c>
      <c r="L107" s="674">
        <f t="shared" si="170"/>
        <v>0</v>
      </c>
      <c r="M107" s="674">
        <f t="shared" si="171"/>
        <v>0</v>
      </c>
      <c r="N107" s="674">
        <f t="shared" si="172"/>
        <v>0</v>
      </c>
      <c r="O107" s="674">
        <f t="shared" si="173"/>
        <v>0</v>
      </c>
      <c r="P107" s="605">
        <f>AVERAGE(D107:O107)</f>
        <v>0</v>
      </c>
      <c r="Q107" s="606" t="e">
        <f>SUM(P107-C107)/C107</f>
        <v>#DIV/0!</v>
      </c>
      <c r="U107" s="920"/>
    </row>
    <row r="108" spans="1:21" ht="25.5" hidden="1" customHeight="1">
      <c r="A108" s="672" t="s">
        <v>84</v>
      </c>
      <c r="B108" s="661"/>
      <c r="C108" s="675"/>
      <c r="D108" s="676"/>
      <c r="E108" s="676"/>
      <c r="F108" s="676"/>
      <c r="G108" s="676">
        <f t="shared" si="175"/>
        <v>0</v>
      </c>
      <c r="H108" s="676">
        <f t="shared" si="166"/>
        <v>0</v>
      </c>
      <c r="I108" s="676">
        <f t="shared" si="167"/>
        <v>0</v>
      </c>
      <c r="J108" s="676">
        <f t="shared" si="168"/>
        <v>0</v>
      </c>
      <c r="K108" s="676">
        <f t="shared" si="169"/>
        <v>0</v>
      </c>
      <c r="L108" s="676">
        <f t="shared" si="170"/>
        <v>0</v>
      </c>
      <c r="M108" s="676">
        <f t="shared" si="171"/>
        <v>0</v>
      </c>
      <c r="N108" s="676">
        <f t="shared" si="172"/>
        <v>0</v>
      </c>
      <c r="O108" s="676">
        <f t="shared" si="173"/>
        <v>0</v>
      </c>
      <c r="P108" s="604"/>
      <c r="Q108" s="600"/>
      <c r="U108" s="920"/>
    </row>
    <row r="109" spans="1:21" ht="25.5" customHeight="1" thickBot="1">
      <c r="A109" s="718" t="s">
        <v>18</v>
      </c>
      <c r="B109" s="719"/>
      <c r="C109" s="720"/>
      <c r="D109" s="721"/>
      <c r="E109" s="721"/>
      <c r="F109" s="721"/>
      <c r="G109" s="721"/>
      <c r="H109" s="721"/>
      <c r="I109" s="721"/>
      <c r="J109" s="721"/>
      <c r="K109" s="721"/>
      <c r="L109" s="721"/>
      <c r="M109" s="721"/>
      <c r="N109" s="721"/>
      <c r="O109" s="721"/>
      <c r="P109" s="720"/>
      <c r="Q109" s="724"/>
      <c r="U109" s="921"/>
    </row>
    <row r="110" spans="1:21" ht="25.5" customHeight="1" thickBot="1">
      <c r="A110" s="693" t="s">
        <v>29</v>
      </c>
      <c r="B110" s="725"/>
      <c r="C110" s="726"/>
      <c r="D110" s="727"/>
      <c r="E110" s="728"/>
      <c r="F110" s="728"/>
      <c r="G110" s="728"/>
      <c r="H110" s="728"/>
      <c r="I110" s="728"/>
      <c r="J110" s="728"/>
      <c r="K110" s="728"/>
      <c r="L110" s="728"/>
      <c r="M110" s="728"/>
      <c r="N110" s="728"/>
      <c r="O110" s="729"/>
      <c r="P110" s="726"/>
      <c r="Q110" s="730"/>
      <c r="U110" s="910"/>
    </row>
    <row r="111" spans="1:21" ht="25.5" customHeight="1">
      <c r="A111" s="615" t="s">
        <v>19</v>
      </c>
      <c r="B111" s="607"/>
      <c r="C111" s="608"/>
      <c r="D111" s="681">
        <f>+'M.Yağ Alış Fiyat'!$G$2</f>
        <v>0</v>
      </c>
      <c r="E111" s="682">
        <f>+'M.Yağ Alış Fiyat'!$G$2</f>
        <v>0</v>
      </c>
      <c r="F111" s="683">
        <f>+'M.Yağ Alış Fiyat'!$G$2</f>
        <v>0</v>
      </c>
      <c r="G111" s="683">
        <f t="shared" ref="G111:G112" si="176">+F111*$R$2</f>
        <v>0</v>
      </c>
      <c r="H111" s="683">
        <f t="shared" ref="H111:H112" si="177">+F111*$R$2</f>
        <v>0</v>
      </c>
      <c r="I111" s="683">
        <f t="shared" ref="I111:I112" si="178">+F111*$R$2</f>
        <v>0</v>
      </c>
      <c r="J111" s="683">
        <f t="shared" ref="J111:J112" si="179">+I111*$S$2</f>
        <v>0</v>
      </c>
      <c r="K111" s="683">
        <f t="shared" ref="K111:K112" si="180">+I111*$S$2</f>
        <v>0</v>
      </c>
      <c r="L111" s="683">
        <f t="shared" ref="L111:L112" si="181">+I111*$S$2</f>
        <v>0</v>
      </c>
      <c r="M111" s="683">
        <f t="shared" ref="M111:M112" si="182">+L111*$T$2</f>
        <v>0</v>
      </c>
      <c r="N111" s="683">
        <f t="shared" ref="N111:N112" si="183">+L111*$T$2</f>
        <v>0</v>
      </c>
      <c r="O111" s="684">
        <f t="shared" ref="O111:O112" si="184">+L111*$T$2</f>
        <v>0</v>
      </c>
      <c r="P111" s="609">
        <f t="shared" ref="P111:P112" si="185">AVERAGE(D111:O111)</f>
        <v>0</v>
      </c>
      <c r="Q111" s="610" t="e">
        <f t="shared" ref="Q111:Q112" si="186">SUM(P111-C111)/C111</f>
        <v>#DIV/0!</v>
      </c>
      <c r="U111" s="904"/>
    </row>
    <row r="112" spans="1:21" ht="25.5" customHeight="1" thickBot="1">
      <c r="A112" s="616" t="s">
        <v>20</v>
      </c>
      <c r="B112" s="611"/>
      <c r="C112" s="612"/>
      <c r="D112" s="685">
        <f>+'M.Yağ Alış Fiyat'!$G$3</f>
        <v>0</v>
      </c>
      <c r="E112" s="685">
        <f>+'M.Yağ Alış Fiyat'!$G$3</f>
        <v>0</v>
      </c>
      <c r="F112" s="685">
        <f>+'M.Yağ Alış Fiyat'!$G$3</f>
        <v>0</v>
      </c>
      <c r="G112" s="685">
        <f t="shared" si="176"/>
        <v>0</v>
      </c>
      <c r="H112" s="685">
        <f t="shared" si="177"/>
        <v>0</v>
      </c>
      <c r="I112" s="685">
        <f t="shared" si="178"/>
        <v>0</v>
      </c>
      <c r="J112" s="685">
        <f t="shared" si="179"/>
        <v>0</v>
      </c>
      <c r="K112" s="685">
        <f t="shared" si="180"/>
        <v>0</v>
      </c>
      <c r="L112" s="685">
        <f t="shared" si="181"/>
        <v>0</v>
      </c>
      <c r="M112" s="685">
        <f t="shared" si="182"/>
        <v>0</v>
      </c>
      <c r="N112" s="685">
        <f t="shared" si="183"/>
        <v>0</v>
      </c>
      <c r="O112" s="685">
        <f t="shared" si="184"/>
        <v>0</v>
      </c>
      <c r="P112" s="613">
        <f t="shared" si="185"/>
        <v>0</v>
      </c>
      <c r="Q112" s="614" t="e">
        <f t="shared" si="186"/>
        <v>#DIV/0!</v>
      </c>
      <c r="U112" s="905"/>
    </row>
    <row r="113" spans="1:21" ht="25.5" customHeight="1" thickBot="1">
      <c r="A113" s="693" t="s">
        <v>30</v>
      </c>
      <c r="B113" s="694"/>
      <c r="C113" s="726"/>
      <c r="D113" s="727"/>
      <c r="E113" s="728"/>
      <c r="F113" s="728"/>
      <c r="G113" s="728"/>
      <c r="H113" s="728"/>
      <c r="I113" s="728"/>
      <c r="J113" s="728"/>
      <c r="K113" s="728"/>
      <c r="L113" s="728"/>
      <c r="M113" s="728"/>
      <c r="N113" s="728"/>
      <c r="O113" s="729"/>
      <c r="P113" s="726"/>
      <c r="Q113" s="730"/>
      <c r="U113" s="910"/>
    </row>
    <row r="114" spans="1:21" ht="25.5" customHeight="1">
      <c r="A114" s="615" t="s">
        <v>106</v>
      </c>
      <c r="B114" s="607"/>
      <c r="C114" s="608"/>
      <c r="D114" s="687">
        <f>D18</f>
        <v>0</v>
      </c>
      <c r="E114" s="687">
        <f t="shared" ref="E114:O114" si="187">E18</f>
        <v>0</v>
      </c>
      <c r="F114" s="687">
        <f t="shared" si="187"/>
        <v>0</v>
      </c>
      <c r="G114" s="687">
        <f t="shared" si="187"/>
        <v>0</v>
      </c>
      <c r="H114" s="687">
        <f t="shared" si="187"/>
        <v>0</v>
      </c>
      <c r="I114" s="687">
        <f t="shared" si="187"/>
        <v>0</v>
      </c>
      <c r="J114" s="687">
        <f t="shared" si="187"/>
        <v>0</v>
      </c>
      <c r="K114" s="687">
        <f t="shared" si="187"/>
        <v>0</v>
      </c>
      <c r="L114" s="687">
        <f t="shared" si="187"/>
        <v>0</v>
      </c>
      <c r="M114" s="687">
        <f t="shared" si="187"/>
        <v>0</v>
      </c>
      <c r="N114" s="687">
        <f t="shared" si="187"/>
        <v>0</v>
      </c>
      <c r="O114" s="687">
        <f t="shared" si="187"/>
        <v>0</v>
      </c>
      <c r="P114" s="609">
        <f t="shared" ref="P114:P115" si="188">AVERAGE(D114:O114)</f>
        <v>0</v>
      </c>
      <c r="Q114" s="610" t="e">
        <f t="shared" ref="Q114:Q115" si="189">SUM(P114-C114)/C114</f>
        <v>#DIV/0!</v>
      </c>
      <c r="U114" s="904"/>
    </row>
    <row r="115" spans="1:21" ht="25.5" customHeight="1" thickBot="1">
      <c r="A115" s="616" t="s">
        <v>105</v>
      </c>
      <c r="B115" s="617"/>
      <c r="C115" s="618"/>
      <c r="D115" s="688">
        <f>D19</f>
        <v>0</v>
      </c>
      <c r="E115" s="688">
        <f t="shared" ref="E115:O115" si="190">E19</f>
        <v>0</v>
      </c>
      <c r="F115" s="688">
        <f t="shared" si="190"/>
        <v>0</v>
      </c>
      <c r="G115" s="688">
        <f t="shared" si="190"/>
        <v>0</v>
      </c>
      <c r="H115" s="688">
        <f t="shared" si="190"/>
        <v>0</v>
      </c>
      <c r="I115" s="688">
        <f t="shared" si="190"/>
        <v>0</v>
      </c>
      <c r="J115" s="688">
        <f t="shared" si="190"/>
        <v>0</v>
      </c>
      <c r="K115" s="688">
        <f t="shared" si="190"/>
        <v>0</v>
      </c>
      <c r="L115" s="688">
        <f t="shared" si="190"/>
        <v>0</v>
      </c>
      <c r="M115" s="688">
        <f t="shared" si="190"/>
        <v>0</v>
      </c>
      <c r="N115" s="688">
        <f t="shared" si="190"/>
        <v>0</v>
      </c>
      <c r="O115" s="688">
        <f t="shared" si="190"/>
        <v>0</v>
      </c>
      <c r="P115" s="619">
        <f t="shared" si="188"/>
        <v>0</v>
      </c>
      <c r="Q115" s="620" t="e">
        <f t="shared" si="189"/>
        <v>#DIV/0!</v>
      </c>
      <c r="U115" s="906"/>
    </row>
    <row r="116" spans="1:21" ht="25.5" customHeight="1" thickBot="1">
      <c r="B116" s="601"/>
      <c r="C116" s="621"/>
      <c r="D116" s="689"/>
      <c r="E116" s="689"/>
      <c r="F116" s="689"/>
      <c r="G116" s="689"/>
      <c r="H116" s="689"/>
      <c r="I116" s="689"/>
      <c r="J116" s="689"/>
      <c r="K116" s="689"/>
      <c r="L116" s="689"/>
      <c r="M116" s="689"/>
      <c r="N116" s="689"/>
      <c r="O116" s="689"/>
      <c r="P116" s="622"/>
      <c r="Q116" s="623"/>
      <c r="U116" s="907"/>
    </row>
    <row r="117" spans="1:21" ht="25.5" customHeight="1" thickBot="1">
      <c r="A117" s="693" t="s">
        <v>86</v>
      </c>
      <c r="B117" s="694"/>
      <c r="C117" s="695"/>
      <c r="D117" s="696">
        <v>14.451305</v>
      </c>
      <c r="E117" s="696">
        <v>14.451305</v>
      </c>
      <c r="F117" s="696">
        <v>14.451305</v>
      </c>
      <c r="G117" s="696">
        <f>+F117*$R$2</f>
        <v>16.474487699999997</v>
      </c>
      <c r="H117" s="696">
        <f t="shared" ref="H117" si="191">+F117*$R$2</f>
        <v>16.474487699999997</v>
      </c>
      <c r="I117" s="696">
        <f t="shared" ref="I117" si="192">+F117*$R$2</f>
        <v>16.474487699999997</v>
      </c>
      <c r="J117" s="696">
        <f t="shared" ref="J117" si="193">+I117*$S$2</f>
        <v>18.945660854999996</v>
      </c>
      <c r="K117" s="696">
        <f t="shared" ref="K117" si="194">+I117*$S$2</f>
        <v>18.945660854999996</v>
      </c>
      <c r="L117" s="696">
        <f t="shared" ref="L117" si="195">+I117*$S$2</f>
        <v>18.945660854999996</v>
      </c>
      <c r="M117" s="696">
        <f t="shared" ref="M117" si="196">+L117*$T$2</f>
        <v>21.976966591799993</v>
      </c>
      <c r="N117" s="696">
        <f t="shared" ref="N117" si="197">+L117*$T$2</f>
        <v>21.976966591799993</v>
      </c>
      <c r="O117" s="696">
        <f t="shared" ref="O117" si="198">+L117*$T$2</f>
        <v>21.976966591799993</v>
      </c>
      <c r="P117" s="2270">
        <f>AVERAGE(D117:O117)</f>
        <v>17.962105036699999</v>
      </c>
      <c r="Q117" s="699" t="e">
        <f>SUM(P117-C117)/C117</f>
        <v>#DIV/0!</v>
      </c>
      <c r="U117" s="911"/>
    </row>
    <row r="118" spans="1:21" ht="25.5" customHeight="1" thickBot="1">
      <c r="A118" s="624"/>
      <c r="B118" s="625"/>
      <c r="C118" s="626"/>
      <c r="D118" s="690"/>
      <c r="E118" s="690"/>
      <c r="F118" s="690"/>
      <c r="G118" s="690"/>
      <c r="H118" s="690"/>
      <c r="I118" s="690"/>
      <c r="J118" s="690"/>
      <c r="K118" s="690"/>
      <c r="L118" s="690"/>
      <c r="M118" s="690"/>
      <c r="N118" s="690"/>
      <c r="O118" s="690"/>
      <c r="P118" s="626"/>
      <c r="Q118" s="627"/>
    </row>
    <row r="119" spans="1:21" ht="25.5" customHeight="1" thickBot="1">
      <c r="A119" s="693" t="s">
        <v>31</v>
      </c>
      <c r="B119" s="694"/>
      <c r="C119" s="695"/>
      <c r="D119" s="696"/>
      <c r="E119" s="697"/>
      <c r="F119" s="697"/>
      <c r="G119" s="697"/>
      <c r="H119" s="697"/>
      <c r="I119" s="697"/>
      <c r="J119" s="697"/>
      <c r="K119" s="697"/>
      <c r="L119" s="697"/>
      <c r="M119" s="697"/>
      <c r="N119" s="697"/>
      <c r="O119" s="698"/>
      <c r="P119" s="695"/>
      <c r="Q119" s="699"/>
    </row>
    <row r="121" spans="1:21" ht="16.2" thickBot="1"/>
    <row r="122" spans="1:21" ht="32.1" customHeight="1" thickBot="1">
      <c r="A122" s="649"/>
      <c r="B122" s="2390"/>
      <c r="C122" s="2392" t="s">
        <v>695</v>
      </c>
      <c r="D122" s="2394" t="s">
        <v>101</v>
      </c>
      <c r="E122" s="2395"/>
      <c r="F122" s="2395"/>
      <c r="G122" s="2395"/>
      <c r="H122" s="2395"/>
      <c r="I122" s="2395"/>
      <c r="J122" s="2395"/>
      <c r="K122" s="2395"/>
      <c r="L122" s="2395"/>
      <c r="M122" s="2395"/>
      <c r="N122" s="2395"/>
      <c r="O122" s="2395"/>
      <c r="P122" s="2396"/>
      <c r="Q122" s="937" t="s">
        <v>605</v>
      </c>
    </row>
    <row r="123" spans="1:21" ht="32.1" customHeight="1" thickBot="1">
      <c r="A123" s="650"/>
      <c r="B123" s="2391"/>
      <c r="C123" s="2393"/>
      <c r="D123" s="678" t="s">
        <v>1</v>
      </c>
      <c r="E123" s="679" t="s">
        <v>2</v>
      </c>
      <c r="F123" s="679" t="s">
        <v>3</v>
      </c>
      <c r="G123" s="679" t="s">
        <v>4</v>
      </c>
      <c r="H123" s="679" t="s">
        <v>5</v>
      </c>
      <c r="I123" s="679" t="s">
        <v>6</v>
      </c>
      <c r="J123" s="679" t="s">
        <v>7</v>
      </c>
      <c r="K123" s="679" t="s">
        <v>8</v>
      </c>
      <c r="L123" s="679" t="s">
        <v>9</v>
      </c>
      <c r="M123" s="679" t="s">
        <v>10</v>
      </c>
      <c r="N123" s="679" t="s">
        <v>11</v>
      </c>
      <c r="O123" s="680" t="s">
        <v>12</v>
      </c>
      <c r="P123" s="651" t="s">
        <v>281</v>
      </c>
      <c r="Q123" s="941" t="s">
        <v>693</v>
      </c>
      <c r="R123" s="913" t="s">
        <v>509</v>
      </c>
      <c r="S123" s="913" t="s">
        <v>150</v>
      </c>
      <c r="T123" s="913" t="s">
        <v>151</v>
      </c>
    </row>
    <row r="124" spans="1:21" ht="25.5" customHeight="1" thickBot="1">
      <c r="A124" s="693" t="s">
        <v>28</v>
      </c>
      <c r="B124" s="694"/>
      <c r="C124" s="695"/>
      <c r="D124" s="696"/>
      <c r="E124" s="697"/>
      <c r="F124" s="697"/>
      <c r="G124" s="697"/>
      <c r="H124" s="697"/>
      <c r="I124" s="697"/>
      <c r="J124" s="697"/>
      <c r="K124" s="697"/>
      <c r="L124" s="697"/>
      <c r="M124" s="697"/>
      <c r="N124" s="697"/>
      <c r="O124" s="698"/>
      <c r="P124" s="695"/>
      <c r="Q124" s="699"/>
      <c r="R124" s="914" t="s">
        <v>487</v>
      </c>
      <c r="S124" s="914"/>
      <c r="T124" s="914" t="s">
        <v>320</v>
      </c>
      <c r="U124" s="914" t="s">
        <v>498</v>
      </c>
    </row>
    <row r="125" spans="1:21" ht="25.5" customHeight="1">
      <c r="A125" s="654" t="s">
        <v>15</v>
      </c>
      <c r="B125" s="655"/>
      <c r="C125" s="656"/>
      <c r="D125" s="657">
        <f>'Alış Fiyat'!D125*1.026</f>
        <v>0</v>
      </c>
      <c r="E125" s="657">
        <f>'Alış Fiyat'!E125*1.026</f>
        <v>0</v>
      </c>
      <c r="F125" s="657">
        <f>'Alış Fiyat'!F125*1.026</f>
        <v>0</v>
      </c>
      <c r="G125" s="657">
        <f>+F125*$R$2</f>
        <v>0</v>
      </c>
      <c r="H125" s="657">
        <f t="shared" ref="H125:H126" si="199">+F125*$R$2</f>
        <v>0</v>
      </c>
      <c r="I125" s="657">
        <f t="shared" ref="I125:I126" si="200">+F125*$R$2</f>
        <v>0</v>
      </c>
      <c r="J125" s="657">
        <f t="shared" ref="J125:J126" si="201">+I125*$S$2</f>
        <v>0</v>
      </c>
      <c r="K125" s="657">
        <f t="shared" ref="K125:K126" si="202">+I125*$S$2</f>
        <v>0</v>
      </c>
      <c r="L125" s="657">
        <f t="shared" ref="L125:L126" si="203">+I125*$S$2</f>
        <v>0</v>
      </c>
      <c r="M125" s="657">
        <f t="shared" ref="M125:M126" si="204">+L125*$T$2</f>
        <v>0</v>
      </c>
      <c r="N125" s="657">
        <f t="shared" ref="N125:N126" si="205">+L125*$T$2</f>
        <v>0</v>
      </c>
      <c r="O125" s="657">
        <f t="shared" ref="O125:O126" si="206">+L125*$T$2</f>
        <v>0</v>
      </c>
      <c r="P125" s="658">
        <f t="shared" ref="P125:P126" si="207">AVERAGE(D125:O125)</f>
        <v>0</v>
      </c>
      <c r="Q125" s="659" t="e">
        <f t="shared" ref="Q125:Q126" si="208">SUM(P125-C125)/C125</f>
        <v>#DIV/0!</v>
      </c>
      <c r="U125" s="915"/>
    </row>
    <row r="126" spans="1:21" ht="25.5" hidden="1" customHeight="1">
      <c r="A126" s="660" t="s">
        <v>16</v>
      </c>
      <c r="B126" s="661"/>
      <c r="C126" s="662"/>
      <c r="D126" s="663"/>
      <c r="E126" s="664"/>
      <c r="F126" s="664"/>
      <c r="G126" s="664">
        <f>+F126*$R$2</f>
        <v>0</v>
      </c>
      <c r="H126" s="665">
        <f t="shared" si="199"/>
        <v>0</v>
      </c>
      <c r="I126" s="665">
        <f t="shared" si="200"/>
        <v>0</v>
      </c>
      <c r="J126" s="665">
        <f t="shared" si="201"/>
        <v>0</v>
      </c>
      <c r="K126" s="665">
        <f t="shared" si="202"/>
        <v>0</v>
      </c>
      <c r="L126" s="665">
        <f t="shared" si="203"/>
        <v>0</v>
      </c>
      <c r="M126" s="665">
        <f t="shared" si="204"/>
        <v>0</v>
      </c>
      <c r="N126" s="665">
        <f t="shared" si="205"/>
        <v>0</v>
      </c>
      <c r="O126" s="666">
        <f t="shared" si="206"/>
        <v>0</v>
      </c>
      <c r="P126" s="604">
        <f t="shared" si="207"/>
        <v>0</v>
      </c>
      <c r="Q126" s="600" t="e">
        <f t="shared" si="208"/>
        <v>#DIV/0!</v>
      </c>
      <c r="U126" s="916"/>
    </row>
    <row r="127" spans="1:21" ht="25.5" customHeight="1">
      <c r="A127" s="701" t="s">
        <v>27</v>
      </c>
      <c r="B127" s="702"/>
      <c r="C127" s="703"/>
      <c r="D127" s="704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6"/>
      <c r="P127" s="707"/>
      <c r="Q127" s="708"/>
      <c r="U127" s="917"/>
    </row>
    <row r="128" spans="1:21" ht="25.5" customHeight="1">
      <c r="A128" s="710" t="s">
        <v>17</v>
      </c>
      <c r="B128" s="711"/>
      <c r="C128" s="712"/>
      <c r="D128" s="713"/>
      <c r="E128" s="713"/>
      <c r="F128" s="713"/>
      <c r="G128" s="713">
        <f>+F128*$R$2</f>
        <v>0</v>
      </c>
      <c r="H128" s="713">
        <f t="shared" ref="H128:H132" si="209">+F128*$R$2</f>
        <v>0</v>
      </c>
      <c r="I128" s="713">
        <f t="shared" ref="I128:I132" si="210">+F128*$R$2</f>
        <v>0</v>
      </c>
      <c r="J128" s="713">
        <f t="shared" ref="J128:J132" si="211">+I128*$S$2</f>
        <v>0</v>
      </c>
      <c r="K128" s="713">
        <f t="shared" ref="K128:K132" si="212">+I128*$S$2</f>
        <v>0</v>
      </c>
      <c r="L128" s="713">
        <f t="shared" ref="L128:L132" si="213">+I128*$S$2</f>
        <v>0</v>
      </c>
      <c r="M128" s="713">
        <f t="shared" ref="M128:M132" si="214">+L128*$T$2</f>
        <v>0</v>
      </c>
      <c r="N128" s="713">
        <f t="shared" ref="N128:N132" si="215">+L128*$T$2</f>
        <v>0</v>
      </c>
      <c r="O128" s="713">
        <f t="shared" ref="O128:O132" si="216">+L128*$T$2</f>
        <v>0</v>
      </c>
      <c r="P128" s="716">
        <f t="shared" ref="P128" si="217">AVERAGE(D128:O128)</f>
        <v>0</v>
      </c>
      <c r="Q128" s="717"/>
      <c r="U128" s="918"/>
    </row>
    <row r="129" spans="1:21" ht="25.5" customHeight="1">
      <c r="A129" s="670" t="s">
        <v>81</v>
      </c>
      <c r="B129" s="602"/>
      <c r="C129" s="656"/>
      <c r="D129" s="671">
        <f>'Alış Fiyat'!D129*1.026</f>
        <v>0</v>
      </c>
      <c r="E129" s="671">
        <f>'Alış Fiyat'!E129*1.026</f>
        <v>0</v>
      </c>
      <c r="F129" s="671">
        <f>'Alış Fiyat'!F129*1.026</f>
        <v>0</v>
      </c>
      <c r="G129" s="671">
        <f>'Alış Fiyat'!G129*1.026</f>
        <v>21.016782098047234</v>
      </c>
      <c r="H129" s="671">
        <f>'Alış Fiyat'!H129*1.026</f>
        <v>21.401708791518182</v>
      </c>
      <c r="I129" s="671">
        <f>'Alış Fiyat'!I129*1.026</f>
        <v>22.282103063436651</v>
      </c>
      <c r="J129" s="671">
        <f>'Alış Fiyat'!J129*1.026</f>
        <v>23.267530335359503</v>
      </c>
      <c r="K129" s="671">
        <f>'Alış Fiyat'!K129*1.026</f>
        <v>23.808484099063001</v>
      </c>
      <c r="L129" s="671">
        <f>'Alış Fiyat'!L129*1.026</f>
        <v>23.625749105721408</v>
      </c>
      <c r="M129" s="671">
        <f>'Alış Fiyat'!M129*1.026</f>
        <v>24.308953714158466</v>
      </c>
      <c r="N129" s="671">
        <f>'Alış Fiyat'!N129*1.026</f>
        <v>23.596355627346075</v>
      </c>
      <c r="O129" s="671">
        <f>'Alış Fiyat'!O129*1.026</f>
        <v>24.102490526570396</v>
      </c>
      <c r="P129" s="605">
        <f>AVERAGE(D129:O129)</f>
        <v>17.284179780101741</v>
      </c>
      <c r="Q129" s="606" t="e">
        <f>SUM(P129-C129)/C129</f>
        <v>#DIV/0!</v>
      </c>
      <c r="U129" s="919"/>
    </row>
    <row r="130" spans="1:21" ht="25.5" hidden="1" customHeight="1">
      <c r="A130" s="672" t="s">
        <v>82</v>
      </c>
      <c r="B130" s="603"/>
      <c r="C130" s="662"/>
      <c r="D130" s="667"/>
      <c r="E130" s="667"/>
      <c r="F130" s="667"/>
      <c r="G130" s="668">
        <f>+F130*$R$2</f>
        <v>0</v>
      </c>
      <c r="H130" s="668">
        <f t="shared" si="209"/>
        <v>0</v>
      </c>
      <c r="I130" s="668">
        <f t="shared" si="210"/>
        <v>0</v>
      </c>
      <c r="J130" s="668">
        <f t="shared" si="211"/>
        <v>0</v>
      </c>
      <c r="K130" s="668">
        <f t="shared" si="212"/>
        <v>0</v>
      </c>
      <c r="L130" s="668">
        <f t="shared" si="213"/>
        <v>0</v>
      </c>
      <c r="M130" s="668">
        <f t="shared" si="214"/>
        <v>0</v>
      </c>
      <c r="N130" s="668">
        <f t="shared" si="215"/>
        <v>0</v>
      </c>
      <c r="O130" s="669">
        <f t="shared" si="216"/>
        <v>0</v>
      </c>
      <c r="P130" s="604"/>
      <c r="Q130" s="600"/>
      <c r="U130" s="920"/>
    </row>
    <row r="131" spans="1:21" ht="25.5" customHeight="1">
      <c r="A131" s="670" t="s">
        <v>83</v>
      </c>
      <c r="B131" s="673"/>
      <c r="C131" s="656"/>
      <c r="D131" s="674">
        <f>+D129</f>
        <v>0</v>
      </c>
      <c r="E131" s="674">
        <f t="shared" ref="E131:F131" si="218">+E129</f>
        <v>0</v>
      </c>
      <c r="F131" s="674">
        <f t="shared" si="218"/>
        <v>0</v>
      </c>
      <c r="G131" s="674">
        <f t="shared" ref="G131:G132" si="219">+F131*$R$2</f>
        <v>0</v>
      </c>
      <c r="H131" s="674">
        <f t="shared" si="209"/>
        <v>0</v>
      </c>
      <c r="I131" s="674">
        <f t="shared" si="210"/>
        <v>0</v>
      </c>
      <c r="J131" s="674">
        <f t="shared" si="211"/>
        <v>0</v>
      </c>
      <c r="K131" s="674">
        <f t="shared" si="212"/>
        <v>0</v>
      </c>
      <c r="L131" s="674">
        <f t="shared" si="213"/>
        <v>0</v>
      </c>
      <c r="M131" s="674">
        <f t="shared" si="214"/>
        <v>0</v>
      </c>
      <c r="N131" s="674">
        <f t="shared" si="215"/>
        <v>0</v>
      </c>
      <c r="O131" s="674">
        <f t="shared" si="216"/>
        <v>0</v>
      </c>
      <c r="P131" s="605">
        <f>AVERAGE(D131:O131)</f>
        <v>0</v>
      </c>
      <c r="Q131" s="606" t="e">
        <f>SUM(P131-C131)/C131</f>
        <v>#DIV/0!</v>
      </c>
      <c r="U131" s="920"/>
    </row>
    <row r="132" spans="1:21" ht="25.5" hidden="1" customHeight="1">
      <c r="A132" s="672" t="s">
        <v>84</v>
      </c>
      <c r="B132" s="661"/>
      <c r="C132" s="675"/>
      <c r="D132" s="676"/>
      <c r="E132" s="665"/>
      <c r="F132" s="665"/>
      <c r="G132" s="665">
        <f t="shared" si="219"/>
        <v>0</v>
      </c>
      <c r="H132" s="665">
        <f t="shared" si="209"/>
        <v>0</v>
      </c>
      <c r="I132" s="677">
        <f t="shared" si="210"/>
        <v>0</v>
      </c>
      <c r="J132" s="677">
        <f t="shared" si="211"/>
        <v>0</v>
      </c>
      <c r="K132" s="665">
        <f t="shared" si="212"/>
        <v>0</v>
      </c>
      <c r="L132" s="665">
        <f t="shared" si="213"/>
        <v>0</v>
      </c>
      <c r="M132" s="665">
        <f t="shared" si="214"/>
        <v>0</v>
      </c>
      <c r="N132" s="665">
        <f t="shared" si="215"/>
        <v>0</v>
      </c>
      <c r="O132" s="666">
        <f t="shared" si="216"/>
        <v>0</v>
      </c>
      <c r="P132" s="604"/>
      <c r="Q132" s="600"/>
      <c r="U132" s="920"/>
    </row>
    <row r="133" spans="1:21" ht="25.5" customHeight="1" thickBot="1">
      <c r="A133" s="718" t="s">
        <v>18</v>
      </c>
      <c r="B133" s="719"/>
      <c r="C133" s="720"/>
      <c r="D133" s="721"/>
      <c r="E133" s="722"/>
      <c r="F133" s="722"/>
      <c r="G133" s="722"/>
      <c r="H133" s="722"/>
      <c r="I133" s="722"/>
      <c r="J133" s="722"/>
      <c r="K133" s="722"/>
      <c r="L133" s="722"/>
      <c r="M133" s="722"/>
      <c r="N133" s="722"/>
      <c r="O133" s="723"/>
      <c r="P133" s="720"/>
      <c r="Q133" s="724"/>
      <c r="U133" s="921"/>
    </row>
    <row r="134" spans="1:21" ht="25.5" customHeight="1" thickBot="1">
      <c r="A134" s="693" t="s">
        <v>29</v>
      </c>
      <c r="B134" s="725"/>
      <c r="C134" s="726"/>
      <c r="D134" s="727"/>
      <c r="E134" s="728"/>
      <c r="F134" s="728"/>
      <c r="G134" s="728"/>
      <c r="H134" s="728"/>
      <c r="I134" s="728"/>
      <c r="J134" s="728"/>
      <c r="K134" s="728"/>
      <c r="L134" s="728"/>
      <c r="M134" s="728"/>
      <c r="N134" s="728"/>
      <c r="O134" s="729"/>
      <c r="P134" s="726"/>
      <c r="Q134" s="730"/>
      <c r="U134" s="910"/>
    </row>
    <row r="135" spans="1:21" ht="25.5" customHeight="1">
      <c r="A135" s="615" t="s">
        <v>19</v>
      </c>
      <c r="B135" s="607"/>
      <c r="C135" s="608"/>
      <c r="D135" s="681">
        <f>+'M.Yağ Alış Fiyat'!$G$2</f>
        <v>0</v>
      </c>
      <c r="E135" s="682">
        <f>+'M.Yağ Alış Fiyat'!$G$2</f>
        <v>0</v>
      </c>
      <c r="F135" s="683">
        <f>+'M.Yağ Alış Fiyat'!$G$2</f>
        <v>0</v>
      </c>
      <c r="G135" s="683">
        <f t="shared" ref="G135:G136" si="220">+F135*$R$2</f>
        <v>0</v>
      </c>
      <c r="H135" s="683">
        <f t="shared" ref="H135:H136" si="221">+F135*$R$2</f>
        <v>0</v>
      </c>
      <c r="I135" s="683">
        <f t="shared" ref="I135:I136" si="222">+F135*$R$2</f>
        <v>0</v>
      </c>
      <c r="J135" s="683">
        <f t="shared" ref="J135:J136" si="223">+I135*$S$2</f>
        <v>0</v>
      </c>
      <c r="K135" s="683">
        <f t="shared" ref="K135:K136" si="224">+I135*$S$2</f>
        <v>0</v>
      </c>
      <c r="L135" s="683">
        <f t="shared" ref="L135:L136" si="225">+I135*$S$2</f>
        <v>0</v>
      </c>
      <c r="M135" s="683">
        <f t="shared" ref="M135:M136" si="226">+L135*$T$2</f>
        <v>0</v>
      </c>
      <c r="N135" s="683">
        <f t="shared" ref="N135:N136" si="227">+L135*$T$2</f>
        <v>0</v>
      </c>
      <c r="O135" s="684">
        <f t="shared" ref="O135:O136" si="228">+L135*$T$2</f>
        <v>0</v>
      </c>
      <c r="P135" s="609">
        <f t="shared" ref="P135:P136" si="229">AVERAGE(D135:O135)</f>
        <v>0</v>
      </c>
      <c r="Q135" s="610" t="e">
        <f t="shared" ref="Q135:Q136" si="230">SUM(P135-C135)/C135</f>
        <v>#DIV/0!</v>
      </c>
      <c r="U135" s="904"/>
    </row>
    <row r="136" spans="1:21" ht="25.5" customHeight="1" thickBot="1">
      <c r="A136" s="616" t="s">
        <v>20</v>
      </c>
      <c r="B136" s="611"/>
      <c r="C136" s="612"/>
      <c r="D136" s="685">
        <f>+'M.Yağ Alış Fiyat'!$G$3</f>
        <v>0</v>
      </c>
      <c r="E136" s="685">
        <f>+'M.Yağ Alış Fiyat'!$G$3</f>
        <v>0</v>
      </c>
      <c r="F136" s="685">
        <f>+'M.Yağ Alış Fiyat'!$G$3</f>
        <v>0</v>
      </c>
      <c r="G136" s="685">
        <f t="shared" si="220"/>
        <v>0</v>
      </c>
      <c r="H136" s="685">
        <f t="shared" si="221"/>
        <v>0</v>
      </c>
      <c r="I136" s="685">
        <f t="shared" si="222"/>
        <v>0</v>
      </c>
      <c r="J136" s="685">
        <f t="shared" si="223"/>
        <v>0</v>
      </c>
      <c r="K136" s="685">
        <f t="shared" si="224"/>
        <v>0</v>
      </c>
      <c r="L136" s="685">
        <f t="shared" si="225"/>
        <v>0</v>
      </c>
      <c r="M136" s="685">
        <f t="shared" si="226"/>
        <v>0</v>
      </c>
      <c r="N136" s="685">
        <f t="shared" si="227"/>
        <v>0</v>
      </c>
      <c r="O136" s="685">
        <f t="shared" si="228"/>
        <v>0</v>
      </c>
      <c r="P136" s="613">
        <f t="shared" si="229"/>
        <v>0</v>
      </c>
      <c r="Q136" s="614" t="e">
        <f t="shared" si="230"/>
        <v>#DIV/0!</v>
      </c>
      <c r="U136" s="905"/>
    </row>
    <row r="137" spans="1:21" ht="25.5" customHeight="1" thickBot="1">
      <c r="A137" s="693" t="s">
        <v>30</v>
      </c>
      <c r="B137" s="694"/>
      <c r="C137" s="726"/>
      <c r="D137" s="727"/>
      <c r="E137" s="728"/>
      <c r="F137" s="728"/>
      <c r="G137" s="728"/>
      <c r="H137" s="728"/>
      <c r="I137" s="728"/>
      <c r="J137" s="728"/>
      <c r="K137" s="728"/>
      <c r="L137" s="728"/>
      <c r="M137" s="728"/>
      <c r="N137" s="728"/>
      <c r="O137" s="729"/>
      <c r="P137" s="726"/>
      <c r="Q137" s="730"/>
      <c r="U137" s="910"/>
    </row>
    <row r="138" spans="1:21" ht="25.5" customHeight="1">
      <c r="A138" s="615" t="s">
        <v>106</v>
      </c>
      <c r="B138" s="607"/>
      <c r="C138" s="608"/>
      <c r="D138" s="687">
        <f>D18</f>
        <v>0</v>
      </c>
      <c r="E138" s="687">
        <f t="shared" ref="E138:O138" si="231">E18</f>
        <v>0</v>
      </c>
      <c r="F138" s="687">
        <f t="shared" si="231"/>
        <v>0</v>
      </c>
      <c r="G138" s="687">
        <f t="shared" si="231"/>
        <v>0</v>
      </c>
      <c r="H138" s="687">
        <f t="shared" si="231"/>
        <v>0</v>
      </c>
      <c r="I138" s="687">
        <f t="shared" si="231"/>
        <v>0</v>
      </c>
      <c r="J138" s="687">
        <f t="shared" si="231"/>
        <v>0</v>
      </c>
      <c r="K138" s="687">
        <f t="shared" si="231"/>
        <v>0</v>
      </c>
      <c r="L138" s="687">
        <f t="shared" si="231"/>
        <v>0</v>
      </c>
      <c r="M138" s="687">
        <f t="shared" si="231"/>
        <v>0</v>
      </c>
      <c r="N138" s="687">
        <f t="shared" si="231"/>
        <v>0</v>
      </c>
      <c r="O138" s="687">
        <f t="shared" si="231"/>
        <v>0</v>
      </c>
      <c r="P138" s="609">
        <f t="shared" ref="P138:P139" si="232">AVERAGE(D138:O138)</f>
        <v>0</v>
      </c>
      <c r="Q138" s="610" t="e">
        <f t="shared" ref="Q138:Q139" si="233">SUM(P138-C138)/C138</f>
        <v>#DIV/0!</v>
      </c>
      <c r="U138" s="904"/>
    </row>
    <row r="139" spans="1:21" ht="25.5" customHeight="1" thickBot="1">
      <c r="A139" s="616" t="s">
        <v>105</v>
      </c>
      <c r="B139" s="617"/>
      <c r="C139" s="618"/>
      <c r="D139" s="688">
        <f>D19</f>
        <v>0</v>
      </c>
      <c r="E139" s="688">
        <f t="shared" ref="E139:O139" si="234">E19</f>
        <v>0</v>
      </c>
      <c r="F139" s="688">
        <f t="shared" si="234"/>
        <v>0</v>
      </c>
      <c r="G139" s="688">
        <f t="shared" si="234"/>
        <v>0</v>
      </c>
      <c r="H139" s="688">
        <f t="shared" si="234"/>
        <v>0</v>
      </c>
      <c r="I139" s="688">
        <f t="shared" si="234"/>
        <v>0</v>
      </c>
      <c r="J139" s="688">
        <f t="shared" si="234"/>
        <v>0</v>
      </c>
      <c r="K139" s="688">
        <f t="shared" si="234"/>
        <v>0</v>
      </c>
      <c r="L139" s="688">
        <f t="shared" si="234"/>
        <v>0</v>
      </c>
      <c r="M139" s="688">
        <f t="shared" si="234"/>
        <v>0</v>
      </c>
      <c r="N139" s="688">
        <f t="shared" si="234"/>
        <v>0</v>
      </c>
      <c r="O139" s="688">
        <f t="shared" si="234"/>
        <v>0</v>
      </c>
      <c r="P139" s="619">
        <f t="shared" si="232"/>
        <v>0</v>
      </c>
      <c r="Q139" s="620" t="e">
        <f t="shared" si="233"/>
        <v>#DIV/0!</v>
      </c>
      <c r="U139" s="906"/>
    </row>
    <row r="140" spans="1:21" ht="25.5" customHeight="1" thickBot="1">
      <c r="B140" s="601"/>
      <c r="C140" s="621"/>
      <c r="D140" s="689"/>
      <c r="E140" s="689"/>
      <c r="F140" s="689"/>
      <c r="G140" s="689"/>
      <c r="H140" s="689"/>
      <c r="I140" s="689"/>
      <c r="J140" s="689"/>
      <c r="K140" s="689"/>
      <c r="L140" s="689"/>
      <c r="M140" s="689"/>
      <c r="N140" s="689"/>
      <c r="O140" s="689"/>
      <c r="P140" s="622"/>
      <c r="Q140" s="623"/>
      <c r="U140" s="907"/>
    </row>
    <row r="141" spans="1:21" ht="25.5" customHeight="1" thickBot="1">
      <c r="A141" s="693" t="s">
        <v>86</v>
      </c>
      <c r="B141" s="694"/>
      <c r="C141" s="695"/>
      <c r="D141" s="696">
        <v>14.451305</v>
      </c>
      <c r="E141" s="696">
        <v>14.451305</v>
      </c>
      <c r="F141" s="696">
        <v>14.451305</v>
      </c>
      <c r="G141" s="696">
        <f>+F141*$R$2</f>
        <v>16.474487699999997</v>
      </c>
      <c r="H141" s="696">
        <f t="shared" ref="H141" si="235">+F141*$R$2</f>
        <v>16.474487699999997</v>
      </c>
      <c r="I141" s="696">
        <f t="shared" ref="I141" si="236">+F141*$R$2</f>
        <v>16.474487699999997</v>
      </c>
      <c r="J141" s="696">
        <f t="shared" ref="J141" si="237">+I141*$S$2</f>
        <v>18.945660854999996</v>
      </c>
      <c r="K141" s="696">
        <f t="shared" ref="K141" si="238">+I141*$S$2</f>
        <v>18.945660854999996</v>
      </c>
      <c r="L141" s="696">
        <f t="shared" ref="L141" si="239">+I141*$S$2</f>
        <v>18.945660854999996</v>
      </c>
      <c r="M141" s="696">
        <f t="shared" ref="M141" si="240">+L141*$T$2</f>
        <v>21.976966591799993</v>
      </c>
      <c r="N141" s="696">
        <f t="shared" ref="N141" si="241">+L141*$T$2</f>
        <v>21.976966591799993</v>
      </c>
      <c r="O141" s="696">
        <f t="shared" ref="O141" si="242">+L141*$T$2</f>
        <v>21.976966591799993</v>
      </c>
      <c r="P141" s="2270">
        <f>AVERAGE(D141:O141)</f>
        <v>17.962105036699999</v>
      </c>
      <c r="Q141" s="699" t="e">
        <f>SUM(P141-C141)/C141</f>
        <v>#DIV/0!</v>
      </c>
      <c r="U141" s="911"/>
    </row>
    <row r="142" spans="1:21" ht="25.5" customHeight="1" thickBot="1">
      <c r="A142" s="624"/>
      <c r="B142" s="625"/>
      <c r="C142" s="626"/>
      <c r="D142" s="690"/>
      <c r="E142" s="690"/>
      <c r="F142" s="690"/>
      <c r="G142" s="690"/>
      <c r="H142" s="690"/>
      <c r="I142" s="690"/>
      <c r="J142" s="690"/>
      <c r="K142" s="690"/>
      <c r="L142" s="690"/>
      <c r="M142" s="690"/>
      <c r="N142" s="690"/>
      <c r="O142" s="690"/>
      <c r="P142" s="626"/>
      <c r="Q142" s="627"/>
    </row>
    <row r="143" spans="1:21" ht="25.5" customHeight="1" thickBot="1">
      <c r="A143" s="693" t="s">
        <v>31</v>
      </c>
      <c r="B143" s="694"/>
      <c r="C143" s="695"/>
      <c r="D143" s="696"/>
      <c r="E143" s="697"/>
      <c r="F143" s="697"/>
      <c r="G143" s="697"/>
      <c r="H143" s="697"/>
      <c r="I143" s="697"/>
      <c r="J143" s="697"/>
      <c r="K143" s="697"/>
      <c r="L143" s="697"/>
      <c r="M143" s="697"/>
      <c r="N143" s="697"/>
      <c r="O143" s="698"/>
      <c r="P143" s="695"/>
      <c r="Q143" s="699"/>
    </row>
    <row r="145" spans="1:21" ht="16.2" thickBot="1"/>
    <row r="146" spans="1:21" ht="32.1" customHeight="1" thickBot="1">
      <c r="A146" s="649"/>
      <c r="B146" s="2390"/>
      <c r="C146" s="2392" t="s">
        <v>695</v>
      </c>
      <c r="D146" s="2394" t="s">
        <v>96</v>
      </c>
      <c r="E146" s="2395"/>
      <c r="F146" s="2395"/>
      <c r="G146" s="2395"/>
      <c r="H146" s="2395"/>
      <c r="I146" s="2395"/>
      <c r="J146" s="2395"/>
      <c r="K146" s="2395"/>
      <c r="L146" s="2395"/>
      <c r="M146" s="2395"/>
      <c r="N146" s="2395"/>
      <c r="O146" s="2395"/>
      <c r="P146" s="2396"/>
      <c r="Q146" s="937" t="s">
        <v>605</v>
      </c>
    </row>
    <row r="147" spans="1:21" ht="32.1" customHeight="1" thickBot="1">
      <c r="A147" s="650"/>
      <c r="B147" s="2391"/>
      <c r="C147" s="2393"/>
      <c r="D147" s="678" t="s">
        <v>1</v>
      </c>
      <c r="E147" s="679" t="s">
        <v>2</v>
      </c>
      <c r="F147" s="679" t="s">
        <v>3</v>
      </c>
      <c r="G147" s="679" t="s">
        <v>4</v>
      </c>
      <c r="H147" s="679" t="s">
        <v>5</v>
      </c>
      <c r="I147" s="679" t="s">
        <v>6</v>
      </c>
      <c r="J147" s="679" t="s">
        <v>7</v>
      </c>
      <c r="K147" s="679" t="s">
        <v>8</v>
      </c>
      <c r="L147" s="679" t="s">
        <v>9</v>
      </c>
      <c r="M147" s="679" t="s">
        <v>10</v>
      </c>
      <c r="N147" s="679" t="s">
        <v>11</v>
      </c>
      <c r="O147" s="680" t="s">
        <v>12</v>
      </c>
      <c r="P147" s="651" t="s">
        <v>281</v>
      </c>
      <c r="Q147" s="941" t="s">
        <v>693</v>
      </c>
      <c r="R147" s="913" t="s">
        <v>509</v>
      </c>
      <c r="S147" s="913" t="s">
        <v>150</v>
      </c>
      <c r="T147" s="913" t="s">
        <v>151</v>
      </c>
    </row>
    <row r="148" spans="1:21" ht="25.5" customHeight="1" thickBot="1">
      <c r="A148" s="693" t="s">
        <v>28</v>
      </c>
      <c r="B148" s="694"/>
      <c r="C148" s="695"/>
      <c r="D148" s="696"/>
      <c r="E148" s="697"/>
      <c r="F148" s="697"/>
      <c r="G148" s="697"/>
      <c r="H148" s="697"/>
      <c r="I148" s="697"/>
      <c r="J148" s="697"/>
      <c r="K148" s="697"/>
      <c r="L148" s="697"/>
      <c r="M148" s="697"/>
      <c r="N148" s="697"/>
      <c r="O148" s="698"/>
      <c r="P148" s="695"/>
      <c r="Q148" s="699"/>
      <c r="R148" s="1795" t="s">
        <v>173</v>
      </c>
      <c r="S148" s="914"/>
      <c r="T148" s="914" t="s">
        <v>320</v>
      </c>
      <c r="U148" s="914" t="s">
        <v>499</v>
      </c>
    </row>
    <row r="149" spans="1:21" ht="25.5" customHeight="1">
      <c r="A149" s="654" t="s">
        <v>15</v>
      </c>
      <c r="B149" s="655"/>
      <c r="C149" s="656"/>
      <c r="D149" s="657">
        <f>'Alış Fiyat'!D149*1.026</f>
        <v>0</v>
      </c>
      <c r="E149" s="657">
        <f>'Alış Fiyat'!E149*1.026</f>
        <v>0</v>
      </c>
      <c r="F149" s="657">
        <f>'Alış Fiyat'!F149*1.026</f>
        <v>0</v>
      </c>
      <c r="G149" s="657">
        <f>+F149*$R$2</f>
        <v>0</v>
      </c>
      <c r="H149" s="657">
        <f t="shared" ref="H149:H150" si="243">+F149*$R$2</f>
        <v>0</v>
      </c>
      <c r="I149" s="657">
        <f t="shared" ref="I149:I150" si="244">+F149*$R$2</f>
        <v>0</v>
      </c>
      <c r="J149" s="657">
        <f t="shared" ref="J149:J150" si="245">+I149*$S$2</f>
        <v>0</v>
      </c>
      <c r="K149" s="657">
        <f t="shared" ref="K149:K150" si="246">+I149*$S$2</f>
        <v>0</v>
      </c>
      <c r="L149" s="657">
        <f t="shared" ref="L149:L150" si="247">+I149*$S$2</f>
        <v>0</v>
      </c>
      <c r="M149" s="657">
        <f t="shared" ref="M149:M150" si="248">+L149*$T$2</f>
        <v>0</v>
      </c>
      <c r="N149" s="657">
        <f t="shared" ref="N149:N150" si="249">+L149*$T$2</f>
        <v>0</v>
      </c>
      <c r="O149" s="657">
        <f t="shared" ref="O149:O150" si="250">+L149*$T$2</f>
        <v>0</v>
      </c>
      <c r="P149" s="658">
        <f>AVERAGE(D149:O149)</f>
        <v>0</v>
      </c>
      <c r="Q149" s="659" t="e">
        <f>SUM(P149-C149)/C149</f>
        <v>#DIV/0!</v>
      </c>
      <c r="U149" s="915"/>
    </row>
    <row r="150" spans="1:21" ht="25.5" hidden="1" customHeight="1">
      <c r="A150" s="660" t="s">
        <v>16</v>
      </c>
      <c r="B150" s="661"/>
      <c r="C150" s="662"/>
      <c r="D150" s="663"/>
      <c r="E150" s="664"/>
      <c r="F150" s="664"/>
      <c r="G150" s="664">
        <f>+F150*$R$2</f>
        <v>0</v>
      </c>
      <c r="H150" s="665">
        <f t="shared" si="243"/>
        <v>0</v>
      </c>
      <c r="I150" s="665">
        <f t="shared" si="244"/>
        <v>0</v>
      </c>
      <c r="J150" s="665">
        <f t="shared" si="245"/>
        <v>0</v>
      </c>
      <c r="K150" s="665">
        <f t="shared" si="246"/>
        <v>0</v>
      </c>
      <c r="L150" s="665">
        <f t="shared" si="247"/>
        <v>0</v>
      </c>
      <c r="M150" s="665">
        <f t="shared" si="248"/>
        <v>0</v>
      </c>
      <c r="N150" s="665">
        <f t="shared" si="249"/>
        <v>0</v>
      </c>
      <c r="O150" s="666">
        <f t="shared" si="250"/>
        <v>0</v>
      </c>
      <c r="P150" s="604"/>
      <c r="Q150" s="600"/>
      <c r="U150" s="916"/>
    </row>
    <row r="151" spans="1:21" ht="25.5" customHeight="1">
      <c r="A151" s="701" t="s">
        <v>27</v>
      </c>
      <c r="B151" s="702"/>
      <c r="C151" s="703"/>
      <c r="D151" s="704"/>
      <c r="E151" s="705"/>
      <c r="F151" s="705"/>
      <c r="G151" s="705"/>
      <c r="H151" s="705"/>
      <c r="I151" s="705"/>
      <c r="J151" s="705"/>
      <c r="K151" s="705"/>
      <c r="L151" s="705"/>
      <c r="M151" s="705"/>
      <c r="N151" s="705"/>
      <c r="O151" s="706"/>
      <c r="P151" s="707"/>
      <c r="Q151" s="708"/>
      <c r="U151" s="917"/>
    </row>
    <row r="152" spans="1:21" ht="25.5" customHeight="1">
      <c r="A152" s="710" t="s">
        <v>17</v>
      </c>
      <c r="B152" s="711"/>
      <c r="C152" s="712"/>
      <c r="D152" s="713"/>
      <c r="E152" s="713"/>
      <c r="F152" s="713"/>
      <c r="G152" s="713">
        <f>+F152*$R$2</f>
        <v>0</v>
      </c>
      <c r="H152" s="713">
        <f t="shared" ref="H152:H156" si="251">+F152*$R$2</f>
        <v>0</v>
      </c>
      <c r="I152" s="713">
        <f t="shared" ref="I152:I156" si="252">+F152*$R$2</f>
        <v>0</v>
      </c>
      <c r="J152" s="713">
        <f t="shared" ref="J152:J156" si="253">+I152*$S$2</f>
        <v>0</v>
      </c>
      <c r="K152" s="713">
        <f t="shared" ref="K152:K156" si="254">+I152*$S$2</f>
        <v>0</v>
      </c>
      <c r="L152" s="713">
        <f t="shared" ref="L152:L156" si="255">+I152*$S$2</f>
        <v>0</v>
      </c>
      <c r="M152" s="713">
        <f t="shared" ref="M152:M156" si="256">+L152*$T$2</f>
        <v>0</v>
      </c>
      <c r="N152" s="713">
        <f t="shared" ref="N152:N156" si="257">+L152*$T$2</f>
        <v>0</v>
      </c>
      <c r="O152" s="713">
        <f t="shared" ref="O152:O156" si="258">+L152*$T$2</f>
        <v>0</v>
      </c>
      <c r="P152" s="716">
        <f t="shared" ref="P152" si="259">AVERAGE(D152:O152)</f>
        <v>0</v>
      </c>
      <c r="Q152" s="717"/>
      <c r="U152" s="918"/>
    </row>
    <row r="153" spans="1:21" ht="25.5" customHeight="1">
      <c r="A153" s="670" t="s">
        <v>81</v>
      </c>
      <c r="B153" s="602"/>
      <c r="C153" s="656"/>
      <c r="D153" s="657">
        <f>'Alış Fiyat'!D153*1.026</f>
        <v>0</v>
      </c>
      <c r="E153" s="657">
        <f>'Alış Fiyat'!E153*1.026</f>
        <v>0</v>
      </c>
      <c r="F153" s="657">
        <f>'Alış Fiyat'!F153*1.026</f>
        <v>0</v>
      </c>
      <c r="G153" s="671">
        <f>'Alış Fiyat'!G153*1.026</f>
        <v>21.016782098047234</v>
      </c>
      <c r="H153" s="671">
        <f>'Alış Fiyat'!H153*1.026</f>
        <v>21.401708791518182</v>
      </c>
      <c r="I153" s="671">
        <f>'Alış Fiyat'!I153*1.026</f>
        <v>22.282103063436651</v>
      </c>
      <c r="J153" s="671">
        <f>'Alış Fiyat'!J153*1.026</f>
        <v>23.267530335359503</v>
      </c>
      <c r="K153" s="671">
        <f>'Alış Fiyat'!K153*1.026</f>
        <v>23.808484099063001</v>
      </c>
      <c r="L153" s="671">
        <f>'Alış Fiyat'!L153*1.026</f>
        <v>23.625749105721408</v>
      </c>
      <c r="M153" s="671">
        <f>'Alış Fiyat'!M153*1.026</f>
        <v>24.308953714158466</v>
      </c>
      <c r="N153" s="671">
        <f>'Alış Fiyat'!N153*1.026</f>
        <v>23.596355627346075</v>
      </c>
      <c r="O153" s="671">
        <f>'Alış Fiyat'!O153*1.026</f>
        <v>24.102490526570396</v>
      </c>
      <c r="P153" s="605">
        <f>AVERAGE(D153:O153)</f>
        <v>17.284179780101741</v>
      </c>
      <c r="Q153" s="606" t="e">
        <f>SUM(P153-C153)/C153</f>
        <v>#DIV/0!</v>
      </c>
      <c r="U153" s="919"/>
    </row>
    <row r="154" spans="1:21" ht="25.5" hidden="1" customHeight="1">
      <c r="A154" s="672" t="s">
        <v>82</v>
      </c>
      <c r="B154" s="603"/>
      <c r="C154" s="662"/>
      <c r="D154" s="667"/>
      <c r="E154" s="667"/>
      <c r="F154" s="667"/>
      <c r="G154" s="668">
        <f>+F154*$R$2</f>
        <v>0</v>
      </c>
      <c r="H154" s="668">
        <f t="shared" si="251"/>
        <v>0</v>
      </c>
      <c r="I154" s="668">
        <f t="shared" si="252"/>
        <v>0</v>
      </c>
      <c r="J154" s="668">
        <f t="shared" si="253"/>
        <v>0</v>
      </c>
      <c r="K154" s="668">
        <f t="shared" si="254"/>
        <v>0</v>
      </c>
      <c r="L154" s="668">
        <f t="shared" si="255"/>
        <v>0</v>
      </c>
      <c r="M154" s="668">
        <f t="shared" si="256"/>
        <v>0</v>
      </c>
      <c r="N154" s="668">
        <f t="shared" si="257"/>
        <v>0</v>
      </c>
      <c r="O154" s="669">
        <f t="shared" si="258"/>
        <v>0</v>
      </c>
      <c r="P154" s="604"/>
      <c r="Q154" s="600"/>
      <c r="U154" s="920"/>
    </row>
    <row r="155" spans="1:21" ht="25.5" customHeight="1">
      <c r="A155" s="670" t="s">
        <v>83</v>
      </c>
      <c r="B155" s="673"/>
      <c r="C155" s="656"/>
      <c r="D155" s="674">
        <f>+D153</f>
        <v>0</v>
      </c>
      <c r="E155" s="674">
        <f t="shared" ref="E155:F155" si="260">+E153</f>
        <v>0</v>
      </c>
      <c r="F155" s="674">
        <f t="shared" si="260"/>
        <v>0</v>
      </c>
      <c r="G155" s="674">
        <f t="shared" ref="G155:G156" si="261">+F155*$R$2</f>
        <v>0</v>
      </c>
      <c r="H155" s="674">
        <f t="shared" si="251"/>
        <v>0</v>
      </c>
      <c r="I155" s="674">
        <f t="shared" si="252"/>
        <v>0</v>
      </c>
      <c r="J155" s="674">
        <f t="shared" si="253"/>
        <v>0</v>
      </c>
      <c r="K155" s="674">
        <f t="shared" si="254"/>
        <v>0</v>
      </c>
      <c r="L155" s="674">
        <f t="shared" si="255"/>
        <v>0</v>
      </c>
      <c r="M155" s="674">
        <f t="shared" si="256"/>
        <v>0</v>
      </c>
      <c r="N155" s="674">
        <f t="shared" si="257"/>
        <v>0</v>
      </c>
      <c r="O155" s="674">
        <f t="shared" si="258"/>
        <v>0</v>
      </c>
      <c r="P155" s="605">
        <f>AVERAGE(D155:O155)</f>
        <v>0</v>
      </c>
      <c r="Q155" s="606" t="e">
        <f>SUM(P155-C155)/C155</f>
        <v>#DIV/0!</v>
      </c>
      <c r="U155" s="920"/>
    </row>
    <row r="156" spans="1:21" ht="25.5" hidden="1" customHeight="1">
      <c r="A156" s="672" t="s">
        <v>84</v>
      </c>
      <c r="B156" s="661"/>
      <c r="C156" s="675"/>
      <c r="D156" s="676"/>
      <c r="E156" s="665"/>
      <c r="F156" s="665"/>
      <c r="G156" s="665">
        <f t="shared" si="261"/>
        <v>0</v>
      </c>
      <c r="H156" s="665">
        <f t="shared" si="251"/>
        <v>0</v>
      </c>
      <c r="I156" s="677">
        <f t="shared" si="252"/>
        <v>0</v>
      </c>
      <c r="J156" s="677">
        <f t="shared" si="253"/>
        <v>0</v>
      </c>
      <c r="K156" s="665">
        <f t="shared" si="254"/>
        <v>0</v>
      </c>
      <c r="L156" s="665">
        <f t="shared" si="255"/>
        <v>0</v>
      </c>
      <c r="M156" s="665">
        <f t="shared" si="256"/>
        <v>0</v>
      </c>
      <c r="N156" s="665">
        <f t="shared" si="257"/>
        <v>0</v>
      </c>
      <c r="O156" s="666">
        <f t="shared" si="258"/>
        <v>0</v>
      </c>
      <c r="P156" s="604"/>
      <c r="Q156" s="600"/>
      <c r="U156" s="920"/>
    </row>
    <row r="157" spans="1:21" ht="25.5" customHeight="1" thickBot="1">
      <c r="A157" s="718" t="s">
        <v>18</v>
      </c>
      <c r="B157" s="719"/>
      <c r="C157" s="720"/>
      <c r="D157" s="721"/>
      <c r="E157" s="722"/>
      <c r="F157" s="722"/>
      <c r="G157" s="722"/>
      <c r="H157" s="722"/>
      <c r="I157" s="722"/>
      <c r="J157" s="722"/>
      <c r="K157" s="722"/>
      <c r="L157" s="722"/>
      <c r="M157" s="722"/>
      <c r="N157" s="722"/>
      <c r="O157" s="723"/>
      <c r="P157" s="720"/>
      <c r="Q157" s="724"/>
      <c r="U157" s="921"/>
    </row>
    <row r="158" spans="1:21" ht="25.5" customHeight="1" thickBot="1">
      <c r="A158" s="693" t="s">
        <v>29</v>
      </c>
      <c r="B158" s="725"/>
      <c r="C158" s="726"/>
      <c r="D158" s="727"/>
      <c r="E158" s="728"/>
      <c r="F158" s="728"/>
      <c r="G158" s="728"/>
      <c r="H158" s="728"/>
      <c r="I158" s="728"/>
      <c r="J158" s="728"/>
      <c r="K158" s="728"/>
      <c r="L158" s="728"/>
      <c r="M158" s="728"/>
      <c r="N158" s="728"/>
      <c r="O158" s="729"/>
      <c r="P158" s="726"/>
      <c r="Q158" s="730"/>
      <c r="U158" s="910"/>
    </row>
    <row r="159" spans="1:21" ht="25.5" customHeight="1">
      <c r="A159" s="615" t="s">
        <v>19</v>
      </c>
      <c r="B159" s="607"/>
      <c r="C159" s="608"/>
      <c r="D159" s="681">
        <f>+'M.Yağ Alış Fiyat'!$G$2</f>
        <v>0</v>
      </c>
      <c r="E159" s="682">
        <f>+'M.Yağ Alış Fiyat'!$G$2</f>
        <v>0</v>
      </c>
      <c r="F159" s="683">
        <f>+'M.Yağ Alış Fiyat'!$G$2</f>
        <v>0</v>
      </c>
      <c r="G159" s="683">
        <f t="shared" ref="G159:G160" si="262">+F159*$R$2</f>
        <v>0</v>
      </c>
      <c r="H159" s="683">
        <f t="shared" ref="H159:H160" si="263">+F159*$R$2</f>
        <v>0</v>
      </c>
      <c r="I159" s="683">
        <f t="shared" ref="I159:I160" si="264">+F159*$R$2</f>
        <v>0</v>
      </c>
      <c r="J159" s="683">
        <f t="shared" ref="J159:J160" si="265">+I159*$S$2</f>
        <v>0</v>
      </c>
      <c r="K159" s="683">
        <f t="shared" ref="K159:K160" si="266">+I159*$S$2</f>
        <v>0</v>
      </c>
      <c r="L159" s="683">
        <f t="shared" ref="L159:L160" si="267">+I159*$S$2</f>
        <v>0</v>
      </c>
      <c r="M159" s="683">
        <f t="shared" ref="M159:M160" si="268">+L159*$T$2</f>
        <v>0</v>
      </c>
      <c r="N159" s="683">
        <f t="shared" ref="N159:N160" si="269">+L159*$T$2</f>
        <v>0</v>
      </c>
      <c r="O159" s="684">
        <f t="shared" ref="O159:O160" si="270">+L159*$T$2</f>
        <v>0</v>
      </c>
      <c r="P159" s="609">
        <f t="shared" ref="P159:P160" si="271">AVERAGE(D159:O159)</f>
        <v>0</v>
      </c>
      <c r="Q159" s="610" t="e">
        <f t="shared" ref="Q159:Q160" si="272">SUM(P159-C159)/C159</f>
        <v>#DIV/0!</v>
      </c>
      <c r="U159" s="904"/>
    </row>
    <row r="160" spans="1:21" ht="25.5" customHeight="1" thickBot="1">
      <c r="A160" s="616" t="s">
        <v>20</v>
      </c>
      <c r="B160" s="611"/>
      <c r="C160" s="612"/>
      <c r="D160" s="685">
        <f>+'M.Yağ Alış Fiyat'!$G$3</f>
        <v>0</v>
      </c>
      <c r="E160" s="685">
        <f>+'M.Yağ Alış Fiyat'!$G$3</f>
        <v>0</v>
      </c>
      <c r="F160" s="685">
        <f>+'M.Yağ Alış Fiyat'!$G$3</f>
        <v>0</v>
      </c>
      <c r="G160" s="685">
        <f t="shared" si="262"/>
        <v>0</v>
      </c>
      <c r="H160" s="685">
        <f t="shared" si="263"/>
        <v>0</v>
      </c>
      <c r="I160" s="685">
        <f t="shared" si="264"/>
        <v>0</v>
      </c>
      <c r="J160" s="685">
        <f t="shared" si="265"/>
        <v>0</v>
      </c>
      <c r="K160" s="685">
        <f t="shared" si="266"/>
        <v>0</v>
      </c>
      <c r="L160" s="685">
        <f t="shared" si="267"/>
        <v>0</v>
      </c>
      <c r="M160" s="685">
        <f t="shared" si="268"/>
        <v>0</v>
      </c>
      <c r="N160" s="685">
        <f t="shared" si="269"/>
        <v>0</v>
      </c>
      <c r="O160" s="685">
        <f t="shared" si="270"/>
        <v>0</v>
      </c>
      <c r="P160" s="613">
        <f t="shared" si="271"/>
        <v>0</v>
      </c>
      <c r="Q160" s="614" t="e">
        <f t="shared" si="272"/>
        <v>#DIV/0!</v>
      </c>
      <c r="U160" s="905"/>
    </row>
    <row r="161" spans="1:21" ht="25.5" customHeight="1" thickBot="1">
      <c r="A161" s="693" t="s">
        <v>30</v>
      </c>
      <c r="B161" s="694"/>
      <c r="C161" s="726"/>
      <c r="D161" s="727"/>
      <c r="E161" s="728"/>
      <c r="F161" s="728"/>
      <c r="G161" s="728"/>
      <c r="H161" s="728"/>
      <c r="I161" s="728"/>
      <c r="J161" s="728"/>
      <c r="K161" s="728"/>
      <c r="L161" s="728"/>
      <c r="M161" s="728"/>
      <c r="N161" s="728"/>
      <c r="O161" s="729"/>
      <c r="P161" s="726"/>
      <c r="Q161" s="730"/>
      <c r="U161" s="910"/>
    </row>
    <row r="162" spans="1:21" ht="25.5" customHeight="1">
      <c r="A162" s="615" t="s">
        <v>106</v>
      </c>
      <c r="B162" s="607"/>
      <c r="C162" s="608"/>
      <c r="D162" s="687">
        <f>D18</f>
        <v>0</v>
      </c>
      <c r="E162" s="687">
        <f t="shared" ref="E162:O162" si="273">E18</f>
        <v>0</v>
      </c>
      <c r="F162" s="687">
        <f t="shared" si="273"/>
        <v>0</v>
      </c>
      <c r="G162" s="687">
        <f t="shared" si="273"/>
        <v>0</v>
      </c>
      <c r="H162" s="687">
        <f t="shared" si="273"/>
        <v>0</v>
      </c>
      <c r="I162" s="687">
        <f t="shared" si="273"/>
        <v>0</v>
      </c>
      <c r="J162" s="687">
        <f t="shared" si="273"/>
        <v>0</v>
      </c>
      <c r="K162" s="687">
        <f t="shared" si="273"/>
        <v>0</v>
      </c>
      <c r="L162" s="687">
        <f t="shared" si="273"/>
        <v>0</v>
      </c>
      <c r="M162" s="687">
        <f t="shared" si="273"/>
        <v>0</v>
      </c>
      <c r="N162" s="687">
        <f t="shared" si="273"/>
        <v>0</v>
      </c>
      <c r="O162" s="687">
        <f t="shared" si="273"/>
        <v>0</v>
      </c>
      <c r="P162" s="609">
        <f t="shared" ref="P162:P163" si="274">AVERAGE(D162:O162)</f>
        <v>0</v>
      </c>
      <c r="Q162" s="610" t="e">
        <f t="shared" ref="Q162:Q163" si="275">SUM(P162-C162)/C162</f>
        <v>#DIV/0!</v>
      </c>
      <c r="U162" s="904"/>
    </row>
    <row r="163" spans="1:21" ht="25.5" customHeight="1" thickBot="1">
      <c r="A163" s="616" t="s">
        <v>105</v>
      </c>
      <c r="B163" s="617"/>
      <c r="C163" s="618"/>
      <c r="D163" s="688">
        <f>D19</f>
        <v>0</v>
      </c>
      <c r="E163" s="688">
        <f t="shared" ref="E163:O163" si="276">E19</f>
        <v>0</v>
      </c>
      <c r="F163" s="688">
        <f t="shared" si="276"/>
        <v>0</v>
      </c>
      <c r="G163" s="688">
        <f t="shared" si="276"/>
        <v>0</v>
      </c>
      <c r="H163" s="688">
        <f t="shared" si="276"/>
        <v>0</v>
      </c>
      <c r="I163" s="688">
        <f t="shared" si="276"/>
        <v>0</v>
      </c>
      <c r="J163" s="688">
        <f t="shared" si="276"/>
        <v>0</v>
      </c>
      <c r="K163" s="688">
        <f t="shared" si="276"/>
        <v>0</v>
      </c>
      <c r="L163" s="688">
        <f t="shared" si="276"/>
        <v>0</v>
      </c>
      <c r="M163" s="688">
        <f t="shared" si="276"/>
        <v>0</v>
      </c>
      <c r="N163" s="688">
        <f t="shared" si="276"/>
        <v>0</v>
      </c>
      <c r="O163" s="688">
        <f t="shared" si="276"/>
        <v>0</v>
      </c>
      <c r="P163" s="619">
        <f t="shared" si="274"/>
        <v>0</v>
      </c>
      <c r="Q163" s="620" t="e">
        <f t="shared" si="275"/>
        <v>#DIV/0!</v>
      </c>
      <c r="U163" s="906"/>
    </row>
    <row r="164" spans="1:21" ht="25.5" customHeight="1" thickBot="1">
      <c r="B164" s="601"/>
      <c r="C164" s="621"/>
      <c r="D164" s="689"/>
      <c r="E164" s="689"/>
      <c r="F164" s="689"/>
      <c r="G164" s="689"/>
      <c r="H164" s="689"/>
      <c r="I164" s="689"/>
      <c r="J164" s="689"/>
      <c r="K164" s="689"/>
      <c r="L164" s="689"/>
      <c r="M164" s="689"/>
      <c r="N164" s="689"/>
      <c r="O164" s="689"/>
      <c r="P164" s="622"/>
      <c r="Q164" s="623"/>
      <c r="U164" s="907"/>
    </row>
    <row r="165" spans="1:21" ht="25.5" customHeight="1" thickBot="1">
      <c r="A165" s="693" t="s">
        <v>86</v>
      </c>
      <c r="B165" s="694"/>
      <c r="C165" s="695"/>
      <c r="D165" s="696">
        <v>14.451305</v>
      </c>
      <c r="E165" s="696">
        <v>14.451305</v>
      </c>
      <c r="F165" s="696">
        <v>14.451305</v>
      </c>
      <c r="G165" s="696">
        <f>+F165*$R$2</f>
        <v>16.474487699999997</v>
      </c>
      <c r="H165" s="696">
        <f t="shared" ref="H165" si="277">+F165*$R$2</f>
        <v>16.474487699999997</v>
      </c>
      <c r="I165" s="696">
        <f t="shared" ref="I165" si="278">+F165*$R$2</f>
        <v>16.474487699999997</v>
      </c>
      <c r="J165" s="696">
        <f t="shared" ref="J165" si="279">+I165*$S$2</f>
        <v>18.945660854999996</v>
      </c>
      <c r="K165" s="696">
        <f t="shared" ref="K165" si="280">+I165*$S$2</f>
        <v>18.945660854999996</v>
      </c>
      <c r="L165" s="696">
        <f t="shared" ref="L165" si="281">+I165*$S$2</f>
        <v>18.945660854999996</v>
      </c>
      <c r="M165" s="696">
        <f t="shared" ref="M165" si="282">+L165*$T$2</f>
        <v>21.976966591799993</v>
      </c>
      <c r="N165" s="696">
        <f t="shared" ref="N165" si="283">+L165*$T$2</f>
        <v>21.976966591799993</v>
      </c>
      <c r="O165" s="696">
        <f t="shared" ref="O165" si="284">+L165*$T$2</f>
        <v>21.976966591799993</v>
      </c>
      <c r="P165" s="2270">
        <f>AVERAGE(D165:O165)</f>
        <v>17.962105036699999</v>
      </c>
      <c r="Q165" s="699" t="e">
        <f>SUM(P165-C165)/C165</f>
        <v>#DIV/0!</v>
      </c>
      <c r="U165" s="911"/>
    </row>
    <row r="166" spans="1:21" ht="25.5" customHeight="1" thickBot="1">
      <c r="A166" s="624"/>
      <c r="B166" s="625"/>
      <c r="C166" s="626"/>
      <c r="D166" s="690"/>
      <c r="E166" s="690"/>
      <c r="F166" s="690"/>
      <c r="G166" s="690"/>
      <c r="H166" s="690"/>
      <c r="I166" s="690"/>
      <c r="J166" s="690"/>
      <c r="K166" s="690"/>
      <c r="L166" s="690"/>
      <c r="M166" s="690"/>
      <c r="N166" s="690"/>
      <c r="O166" s="690"/>
      <c r="P166" s="626"/>
      <c r="Q166" s="627"/>
    </row>
    <row r="167" spans="1:21" ht="25.5" customHeight="1" thickBot="1">
      <c r="A167" s="693" t="s">
        <v>31</v>
      </c>
      <c r="B167" s="694"/>
      <c r="C167" s="695"/>
      <c r="D167" s="696"/>
      <c r="E167" s="697"/>
      <c r="F167" s="697"/>
      <c r="G167" s="697"/>
      <c r="H167" s="697"/>
      <c r="I167" s="697"/>
      <c r="J167" s="697"/>
      <c r="K167" s="697"/>
      <c r="L167" s="697"/>
      <c r="M167" s="697"/>
      <c r="N167" s="697"/>
      <c r="O167" s="698"/>
      <c r="P167" s="695"/>
      <c r="Q167" s="699"/>
    </row>
    <row r="169" spans="1:21" ht="16.2" thickBot="1"/>
    <row r="170" spans="1:21" ht="32.1" customHeight="1" thickBot="1">
      <c r="A170" s="649"/>
      <c r="B170" s="2390"/>
      <c r="C170" s="2392" t="s">
        <v>695</v>
      </c>
      <c r="D170" s="2394" t="s">
        <v>583</v>
      </c>
      <c r="E170" s="2395"/>
      <c r="F170" s="2395"/>
      <c r="G170" s="2395"/>
      <c r="H170" s="2395"/>
      <c r="I170" s="2395"/>
      <c r="J170" s="2395"/>
      <c r="K170" s="2395"/>
      <c r="L170" s="2395"/>
      <c r="M170" s="2395"/>
      <c r="N170" s="2395"/>
      <c r="O170" s="2395"/>
      <c r="P170" s="2396"/>
      <c r="Q170" s="937" t="s">
        <v>605</v>
      </c>
    </row>
    <row r="171" spans="1:21" ht="32.1" customHeight="1" thickBot="1">
      <c r="A171" s="650"/>
      <c r="B171" s="2391"/>
      <c r="C171" s="2393"/>
      <c r="D171" s="678" t="s">
        <v>1</v>
      </c>
      <c r="E171" s="679" t="s">
        <v>2</v>
      </c>
      <c r="F171" s="679" t="s">
        <v>3</v>
      </c>
      <c r="G171" s="679" t="s">
        <v>4</v>
      </c>
      <c r="H171" s="679" t="s">
        <v>5</v>
      </c>
      <c r="I171" s="679" t="s">
        <v>6</v>
      </c>
      <c r="J171" s="679" t="s">
        <v>7</v>
      </c>
      <c r="K171" s="679" t="s">
        <v>8</v>
      </c>
      <c r="L171" s="679" t="s">
        <v>9</v>
      </c>
      <c r="M171" s="679" t="s">
        <v>10</v>
      </c>
      <c r="N171" s="679" t="s">
        <v>11</v>
      </c>
      <c r="O171" s="680" t="s">
        <v>12</v>
      </c>
      <c r="P171" s="651" t="s">
        <v>281</v>
      </c>
      <c r="Q171" s="941" t="s">
        <v>693</v>
      </c>
      <c r="R171" s="913" t="s">
        <v>509</v>
      </c>
      <c r="S171" s="913" t="s">
        <v>150</v>
      </c>
      <c r="T171" s="913" t="s">
        <v>151</v>
      </c>
    </row>
    <row r="172" spans="1:21" ht="25.5" customHeight="1" thickBot="1">
      <c r="A172" s="693" t="s">
        <v>28</v>
      </c>
      <c r="B172" s="694"/>
      <c r="C172" s="695"/>
      <c r="D172" s="696"/>
      <c r="E172" s="697"/>
      <c r="F172" s="697"/>
      <c r="G172" s="697"/>
      <c r="H172" s="697"/>
      <c r="I172" s="697"/>
      <c r="J172" s="697"/>
      <c r="K172" s="697"/>
      <c r="L172" s="697"/>
      <c r="M172" s="697"/>
      <c r="N172" s="697"/>
      <c r="O172" s="698"/>
      <c r="P172" s="695"/>
      <c r="Q172" s="699"/>
      <c r="R172" s="914" t="s">
        <v>510</v>
      </c>
      <c r="S172" s="914"/>
      <c r="T172" s="914" t="s">
        <v>320</v>
      </c>
      <c r="U172" s="914" t="s">
        <v>500</v>
      </c>
    </row>
    <row r="173" spans="1:21" ht="25.5" customHeight="1">
      <c r="A173" s="654" t="s">
        <v>15</v>
      </c>
      <c r="B173" s="655"/>
      <c r="C173" s="656"/>
      <c r="D173" s="657">
        <f>'Alış Fiyat'!D173*1.026</f>
        <v>0</v>
      </c>
      <c r="E173" s="657">
        <f>'Alış Fiyat'!E173*1.026</f>
        <v>0</v>
      </c>
      <c r="F173" s="657">
        <f>'Alış Fiyat'!F173*1.026</f>
        <v>0</v>
      </c>
      <c r="G173" s="657">
        <f>+F173*$R$2</f>
        <v>0</v>
      </c>
      <c r="H173" s="657">
        <f t="shared" ref="H173:H174" si="285">+F173*$R$2</f>
        <v>0</v>
      </c>
      <c r="I173" s="657">
        <f t="shared" ref="I173:I174" si="286">+F173*$R$2</f>
        <v>0</v>
      </c>
      <c r="J173" s="657">
        <f t="shared" ref="J173:J174" si="287">+I173*$S$2</f>
        <v>0</v>
      </c>
      <c r="K173" s="657">
        <f t="shared" ref="K173:K174" si="288">+I173*$S$2</f>
        <v>0</v>
      </c>
      <c r="L173" s="657">
        <f t="shared" ref="L173:L174" si="289">+I173*$S$2</f>
        <v>0</v>
      </c>
      <c r="M173" s="657">
        <f t="shared" ref="M173:M174" si="290">+L173*$T$2</f>
        <v>0</v>
      </c>
      <c r="N173" s="657">
        <f t="shared" ref="N173:N174" si="291">+L173*$T$2</f>
        <v>0</v>
      </c>
      <c r="O173" s="657">
        <f t="shared" ref="O173:O174" si="292">+L173*$T$2</f>
        <v>0</v>
      </c>
      <c r="P173" s="658">
        <f>AVERAGE(D173:O173)</f>
        <v>0</v>
      </c>
      <c r="Q173" s="659" t="e">
        <f>SUM(P173-C173)/C173</f>
        <v>#DIV/0!</v>
      </c>
      <c r="U173" s="915"/>
    </row>
    <row r="174" spans="1:21" ht="25.5" hidden="1" customHeight="1">
      <c r="A174" s="660" t="s">
        <v>16</v>
      </c>
      <c r="B174" s="661"/>
      <c r="C174" s="662"/>
      <c r="D174" s="663"/>
      <c r="E174" s="664"/>
      <c r="F174" s="664"/>
      <c r="G174" s="664">
        <f>+F174*$R$2</f>
        <v>0</v>
      </c>
      <c r="H174" s="665">
        <f t="shared" si="285"/>
        <v>0</v>
      </c>
      <c r="I174" s="665">
        <f t="shared" si="286"/>
        <v>0</v>
      </c>
      <c r="J174" s="665">
        <f t="shared" si="287"/>
        <v>0</v>
      </c>
      <c r="K174" s="665">
        <f t="shared" si="288"/>
        <v>0</v>
      </c>
      <c r="L174" s="665">
        <f t="shared" si="289"/>
        <v>0</v>
      </c>
      <c r="M174" s="665">
        <f t="shared" si="290"/>
        <v>0</v>
      </c>
      <c r="N174" s="665">
        <f t="shared" si="291"/>
        <v>0</v>
      </c>
      <c r="O174" s="666">
        <f t="shared" si="292"/>
        <v>0</v>
      </c>
      <c r="P174" s="604"/>
      <c r="Q174" s="600"/>
      <c r="U174" s="916"/>
    </row>
    <row r="175" spans="1:21" ht="25.5" customHeight="1">
      <c r="A175" s="701" t="s">
        <v>27</v>
      </c>
      <c r="B175" s="702"/>
      <c r="C175" s="703"/>
      <c r="D175" s="704"/>
      <c r="E175" s="705"/>
      <c r="F175" s="705"/>
      <c r="G175" s="705"/>
      <c r="H175" s="705"/>
      <c r="I175" s="705"/>
      <c r="J175" s="705"/>
      <c r="K175" s="705"/>
      <c r="L175" s="705"/>
      <c r="M175" s="705"/>
      <c r="N175" s="705"/>
      <c r="O175" s="706"/>
      <c r="P175" s="707"/>
      <c r="Q175" s="708"/>
      <c r="U175" s="917"/>
    </row>
    <row r="176" spans="1:21" ht="25.5" customHeight="1">
      <c r="A176" s="710" t="s">
        <v>17</v>
      </c>
      <c r="B176" s="711"/>
      <c r="C176" s="712"/>
      <c r="D176" s="713"/>
      <c r="E176" s="713"/>
      <c r="F176" s="713"/>
      <c r="G176" s="713">
        <f>+F176*$R$2</f>
        <v>0</v>
      </c>
      <c r="H176" s="713">
        <f t="shared" ref="H176:H180" si="293">+F176*$R$2</f>
        <v>0</v>
      </c>
      <c r="I176" s="713">
        <f t="shared" ref="I176:I180" si="294">+F176*$R$2</f>
        <v>0</v>
      </c>
      <c r="J176" s="713">
        <f t="shared" ref="J176:J180" si="295">+I176*$S$2</f>
        <v>0</v>
      </c>
      <c r="K176" s="713">
        <f t="shared" ref="K176:K180" si="296">+I176*$S$2</f>
        <v>0</v>
      </c>
      <c r="L176" s="713">
        <f t="shared" ref="L176:L180" si="297">+I176*$S$2</f>
        <v>0</v>
      </c>
      <c r="M176" s="713">
        <f t="shared" ref="M176:M180" si="298">+L176*$T$2</f>
        <v>0</v>
      </c>
      <c r="N176" s="713">
        <f t="shared" ref="N176:N180" si="299">+L176*$T$2</f>
        <v>0</v>
      </c>
      <c r="O176" s="713">
        <f t="shared" ref="O176:O180" si="300">+L176*$T$2</f>
        <v>0</v>
      </c>
      <c r="P176" s="716">
        <f t="shared" ref="P176" si="301">AVERAGE(D176:O176)</f>
        <v>0</v>
      </c>
      <c r="Q176" s="717"/>
      <c r="U176" s="918"/>
    </row>
    <row r="177" spans="1:21" ht="25.5" customHeight="1">
      <c r="A177" s="670" t="s">
        <v>81</v>
      </c>
      <c r="B177" s="602"/>
      <c r="C177" s="656"/>
      <c r="D177" s="657">
        <f>'Alış Fiyat'!D177*1.026</f>
        <v>0</v>
      </c>
      <c r="E177" s="657">
        <f>'Alış Fiyat'!E177*1.026</f>
        <v>0</v>
      </c>
      <c r="F177" s="657">
        <f>'Alış Fiyat'!F177*1.026</f>
        <v>0</v>
      </c>
      <c r="G177" s="671">
        <f>'Alış Fiyat'!G177*1.026</f>
        <v>21.016782098047234</v>
      </c>
      <c r="H177" s="671">
        <f>'Alış Fiyat'!H177*1.026</f>
        <v>21.401708791518182</v>
      </c>
      <c r="I177" s="671">
        <f>'Alış Fiyat'!I177*1.026</f>
        <v>22.282103063436651</v>
      </c>
      <c r="J177" s="671">
        <f>'Alış Fiyat'!J177*1.026</f>
        <v>23.267530335359503</v>
      </c>
      <c r="K177" s="671">
        <f>'Alış Fiyat'!K177*1.026</f>
        <v>23.808484099063001</v>
      </c>
      <c r="L177" s="671">
        <f>'Alış Fiyat'!L177*1.026</f>
        <v>23.625749105721408</v>
      </c>
      <c r="M177" s="671">
        <f>'Alış Fiyat'!M177*1.026</f>
        <v>24.308953714158466</v>
      </c>
      <c r="N177" s="671">
        <f>'Alış Fiyat'!N177*1.026</f>
        <v>23.596355627346075</v>
      </c>
      <c r="O177" s="671">
        <f>'Alış Fiyat'!O177*1.026</f>
        <v>24.102490526570396</v>
      </c>
      <c r="P177" s="605">
        <f>AVERAGE(D177:O177)</f>
        <v>17.284179780101741</v>
      </c>
      <c r="Q177" s="606" t="e">
        <f>SUM(P177-C177)/C177</f>
        <v>#DIV/0!</v>
      </c>
      <c r="U177" s="919"/>
    </row>
    <row r="178" spans="1:21" ht="25.5" hidden="1" customHeight="1">
      <c r="A178" s="672" t="s">
        <v>82</v>
      </c>
      <c r="B178" s="603"/>
      <c r="C178" s="662"/>
      <c r="D178" s="667"/>
      <c r="E178" s="667"/>
      <c r="F178" s="667"/>
      <c r="G178" s="668">
        <f>+F178*$R$2</f>
        <v>0</v>
      </c>
      <c r="H178" s="668">
        <f t="shared" si="293"/>
        <v>0</v>
      </c>
      <c r="I178" s="668">
        <f t="shared" si="294"/>
        <v>0</v>
      </c>
      <c r="J178" s="668">
        <f t="shared" si="295"/>
        <v>0</v>
      </c>
      <c r="K178" s="668">
        <f t="shared" si="296"/>
        <v>0</v>
      </c>
      <c r="L178" s="668">
        <f t="shared" si="297"/>
        <v>0</v>
      </c>
      <c r="M178" s="668">
        <f t="shared" si="298"/>
        <v>0</v>
      </c>
      <c r="N178" s="668">
        <f t="shared" si="299"/>
        <v>0</v>
      </c>
      <c r="O178" s="669">
        <f t="shared" si="300"/>
        <v>0</v>
      </c>
      <c r="P178" s="604"/>
      <c r="Q178" s="600"/>
      <c r="U178" s="920"/>
    </row>
    <row r="179" spans="1:21" ht="25.5" customHeight="1">
      <c r="A179" s="670" t="s">
        <v>83</v>
      </c>
      <c r="B179" s="673"/>
      <c r="C179" s="656"/>
      <c r="D179" s="674">
        <f>+D177</f>
        <v>0</v>
      </c>
      <c r="E179" s="674">
        <f t="shared" ref="E179:F179" si="302">+E177</f>
        <v>0</v>
      </c>
      <c r="F179" s="674">
        <f t="shared" si="302"/>
        <v>0</v>
      </c>
      <c r="G179" s="674">
        <f t="shared" ref="G179" si="303">+F179*$R$2</f>
        <v>0</v>
      </c>
      <c r="H179" s="674">
        <f t="shared" si="293"/>
        <v>0</v>
      </c>
      <c r="I179" s="674">
        <f t="shared" si="294"/>
        <v>0</v>
      </c>
      <c r="J179" s="674">
        <f t="shared" si="295"/>
        <v>0</v>
      </c>
      <c r="K179" s="674">
        <f t="shared" si="296"/>
        <v>0</v>
      </c>
      <c r="L179" s="674">
        <f t="shared" si="297"/>
        <v>0</v>
      </c>
      <c r="M179" s="674">
        <f t="shared" si="298"/>
        <v>0</v>
      </c>
      <c r="N179" s="674">
        <f t="shared" si="299"/>
        <v>0</v>
      </c>
      <c r="O179" s="674">
        <f t="shared" si="300"/>
        <v>0</v>
      </c>
      <c r="P179" s="605">
        <f>AVERAGE(D179:O179)</f>
        <v>0</v>
      </c>
      <c r="Q179" s="606" t="e">
        <f>SUM(P179-C179)/C179</f>
        <v>#DIV/0!</v>
      </c>
      <c r="U179" s="920"/>
    </row>
    <row r="180" spans="1:21" ht="25.5" hidden="1" customHeight="1">
      <c r="A180" s="672" t="s">
        <v>84</v>
      </c>
      <c r="B180" s="661"/>
      <c r="C180" s="675"/>
      <c r="D180" s="676"/>
      <c r="E180" s="665"/>
      <c r="F180" s="665"/>
      <c r="G180" s="665">
        <f t="shared" ref="G180" si="304">+F180*$R$2</f>
        <v>0</v>
      </c>
      <c r="H180" s="665">
        <f t="shared" si="293"/>
        <v>0</v>
      </c>
      <c r="I180" s="677">
        <f t="shared" si="294"/>
        <v>0</v>
      </c>
      <c r="J180" s="677">
        <f t="shared" si="295"/>
        <v>0</v>
      </c>
      <c r="K180" s="665">
        <f t="shared" si="296"/>
        <v>0</v>
      </c>
      <c r="L180" s="665">
        <f t="shared" si="297"/>
        <v>0</v>
      </c>
      <c r="M180" s="665">
        <f t="shared" si="298"/>
        <v>0</v>
      </c>
      <c r="N180" s="665">
        <f t="shared" si="299"/>
        <v>0</v>
      </c>
      <c r="O180" s="666">
        <f t="shared" si="300"/>
        <v>0</v>
      </c>
      <c r="P180" s="604"/>
      <c r="Q180" s="600"/>
      <c r="U180" s="920"/>
    </row>
    <row r="181" spans="1:21" ht="25.5" customHeight="1" thickBot="1">
      <c r="A181" s="718" t="s">
        <v>18</v>
      </c>
      <c r="B181" s="719"/>
      <c r="C181" s="720"/>
      <c r="D181" s="721"/>
      <c r="E181" s="722"/>
      <c r="F181" s="722"/>
      <c r="G181" s="722"/>
      <c r="H181" s="722"/>
      <c r="I181" s="722"/>
      <c r="J181" s="722"/>
      <c r="K181" s="722"/>
      <c r="L181" s="722"/>
      <c r="M181" s="722"/>
      <c r="N181" s="722"/>
      <c r="O181" s="723"/>
      <c r="P181" s="720"/>
      <c r="Q181" s="724"/>
      <c r="U181" s="921"/>
    </row>
    <row r="182" spans="1:21" ht="25.5" customHeight="1" thickBot="1">
      <c r="A182" s="693" t="s">
        <v>29</v>
      </c>
      <c r="B182" s="725"/>
      <c r="C182" s="726"/>
      <c r="D182" s="727"/>
      <c r="E182" s="728"/>
      <c r="F182" s="728"/>
      <c r="G182" s="728"/>
      <c r="H182" s="728"/>
      <c r="I182" s="728"/>
      <c r="J182" s="728"/>
      <c r="K182" s="728"/>
      <c r="L182" s="728"/>
      <c r="M182" s="728"/>
      <c r="N182" s="728"/>
      <c r="O182" s="729"/>
      <c r="P182" s="726"/>
      <c r="Q182" s="730"/>
      <c r="U182" s="910"/>
    </row>
    <row r="183" spans="1:21" ht="25.5" customHeight="1">
      <c r="A183" s="615" t="s">
        <v>19</v>
      </c>
      <c r="B183" s="607"/>
      <c r="C183" s="608"/>
      <c r="D183" s="681">
        <f>+'M.Yağ Alış Fiyat'!$G$2</f>
        <v>0</v>
      </c>
      <c r="E183" s="682">
        <f>+'M.Yağ Alış Fiyat'!$G$2</f>
        <v>0</v>
      </c>
      <c r="F183" s="683">
        <f>+'M.Yağ Alış Fiyat'!$G$2</f>
        <v>0</v>
      </c>
      <c r="G183" s="683">
        <f t="shared" ref="G183:G184" si="305">+F183*$R$2</f>
        <v>0</v>
      </c>
      <c r="H183" s="683">
        <f t="shared" ref="H183:H184" si="306">+F183*$R$2</f>
        <v>0</v>
      </c>
      <c r="I183" s="683">
        <f t="shared" ref="I183:I184" si="307">+F183*$R$2</f>
        <v>0</v>
      </c>
      <c r="J183" s="683">
        <f t="shared" ref="J183:J184" si="308">+I183*$S$2</f>
        <v>0</v>
      </c>
      <c r="K183" s="683">
        <f t="shared" ref="K183:K184" si="309">+I183*$S$2</f>
        <v>0</v>
      </c>
      <c r="L183" s="683">
        <f t="shared" ref="L183:L184" si="310">+I183*$S$2</f>
        <v>0</v>
      </c>
      <c r="M183" s="683">
        <f t="shared" ref="M183:M184" si="311">+L183*$T$2</f>
        <v>0</v>
      </c>
      <c r="N183" s="683">
        <f t="shared" ref="N183:N184" si="312">+L183*$T$2</f>
        <v>0</v>
      </c>
      <c r="O183" s="684">
        <f t="shared" ref="O183:O184" si="313">+L183*$T$2</f>
        <v>0</v>
      </c>
      <c r="P183" s="609">
        <f t="shared" ref="P183:P184" si="314">AVERAGE(D183:O183)</f>
        <v>0</v>
      </c>
      <c r="Q183" s="610" t="e">
        <f t="shared" ref="Q183:Q184" si="315">SUM(P183-C183)/C183</f>
        <v>#DIV/0!</v>
      </c>
      <c r="U183" s="904"/>
    </row>
    <row r="184" spans="1:21" ht="25.5" customHeight="1" thickBot="1">
      <c r="A184" s="616" t="s">
        <v>20</v>
      </c>
      <c r="B184" s="611"/>
      <c r="C184" s="612"/>
      <c r="D184" s="685">
        <f>+'M.Yağ Alış Fiyat'!$G$3</f>
        <v>0</v>
      </c>
      <c r="E184" s="685">
        <f>+'M.Yağ Alış Fiyat'!$G$3</f>
        <v>0</v>
      </c>
      <c r="F184" s="685">
        <f>+'M.Yağ Alış Fiyat'!$G$3</f>
        <v>0</v>
      </c>
      <c r="G184" s="685">
        <f t="shared" si="305"/>
        <v>0</v>
      </c>
      <c r="H184" s="685">
        <f t="shared" si="306"/>
        <v>0</v>
      </c>
      <c r="I184" s="685">
        <f t="shared" si="307"/>
        <v>0</v>
      </c>
      <c r="J184" s="685">
        <f t="shared" si="308"/>
        <v>0</v>
      </c>
      <c r="K184" s="685">
        <f t="shared" si="309"/>
        <v>0</v>
      </c>
      <c r="L184" s="685">
        <f t="shared" si="310"/>
        <v>0</v>
      </c>
      <c r="M184" s="685">
        <f t="shared" si="311"/>
        <v>0</v>
      </c>
      <c r="N184" s="685">
        <f t="shared" si="312"/>
        <v>0</v>
      </c>
      <c r="O184" s="685">
        <f t="shared" si="313"/>
        <v>0</v>
      </c>
      <c r="P184" s="613">
        <f t="shared" si="314"/>
        <v>0</v>
      </c>
      <c r="Q184" s="614" t="e">
        <f t="shared" si="315"/>
        <v>#DIV/0!</v>
      </c>
      <c r="U184" s="905"/>
    </row>
    <row r="185" spans="1:21" ht="25.5" customHeight="1" thickBot="1">
      <c r="A185" s="693" t="s">
        <v>30</v>
      </c>
      <c r="B185" s="694"/>
      <c r="C185" s="726"/>
      <c r="D185" s="727"/>
      <c r="E185" s="728"/>
      <c r="F185" s="728"/>
      <c r="G185" s="728"/>
      <c r="H185" s="728"/>
      <c r="I185" s="728"/>
      <c r="J185" s="728"/>
      <c r="K185" s="728"/>
      <c r="L185" s="728"/>
      <c r="M185" s="728"/>
      <c r="N185" s="728"/>
      <c r="O185" s="729"/>
      <c r="P185" s="726"/>
      <c r="Q185" s="730"/>
      <c r="U185" s="910"/>
    </row>
    <row r="186" spans="1:21" ht="25.5" customHeight="1">
      <c r="A186" s="615" t="s">
        <v>106</v>
      </c>
      <c r="B186" s="607"/>
      <c r="C186" s="608"/>
      <c r="D186" s="687">
        <f>D18</f>
        <v>0</v>
      </c>
      <c r="E186" s="687">
        <f t="shared" ref="E186:O186" si="316">E18</f>
        <v>0</v>
      </c>
      <c r="F186" s="687">
        <f t="shared" si="316"/>
        <v>0</v>
      </c>
      <c r="G186" s="687">
        <f t="shared" si="316"/>
        <v>0</v>
      </c>
      <c r="H186" s="687">
        <f t="shared" si="316"/>
        <v>0</v>
      </c>
      <c r="I186" s="687">
        <f t="shared" si="316"/>
        <v>0</v>
      </c>
      <c r="J186" s="687">
        <f t="shared" si="316"/>
        <v>0</v>
      </c>
      <c r="K186" s="687">
        <f t="shared" si="316"/>
        <v>0</v>
      </c>
      <c r="L186" s="687">
        <f t="shared" si="316"/>
        <v>0</v>
      </c>
      <c r="M186" s="687">
        <f t="shared" si="316"/>
        <v>0</v>
      </c>
      <c r="N186" s="687">
        <f t="shared" si="316"/>
        <v>0</v>
      </c>
      <c r="O186" s="687">
        <f t="shared" si="316"/>
        <v>0</v>
      </c>
      <c r="P186" s="609">
        <f t="shared" ref="P186:P187" si="317">AVERAGE(D186:O186)</f>
        <v>0</v>
      </c>
      <c r="Q186" s="610" t="e">
        <f t="shared" ref="Q186:Q187" si="318">SUM(P186-C186)/C186</f>
        <v>#DIV/0!</v>
      </c>
      <c r="U186" s="904"/>
    </row>
    <row r="187" spans="1:21" ht="25.5" customHeight="1" thickBot="1">
      <c r="A187" s="616" t="s">
        <v>105</v>
      </c>
      <c r="B187" s="617"/>
      <c r="C187" s="618"/>
      <c r="D187" s="688">
        <f>D19</f>
        <v>0</v>
      </c>
      <c r="E187" s="688">
        <f t="shared" ref="E187:O187" si="319">E19</f>
        <v>0</v>
      </c>
      <c r="F187" s="688">
        <f t="shared" si="319"/>
        <v>0</v>
      </c>
      <c r="G187" s="688">
        <f t="shared" si="319"/>
        <v>0</v>
      </c>
      <c r="H187" s="688">
        <f t="shared" si="319"/>
        <v>0</v>
      </c>
      <c r="I187" s="688">
        <f t="shared" si="319"/>
        <v>0</v>
      </c>
      <c r="J187" s="688">
        <f t="shared" si="319"/>
        <v>0</v>
      </c>
      <c r="K187" s="688">
        <f t="shared" si="319"/>
        <v>0</v>
      </c>
      <c r="L187" s="688">
        <f t="shared" si="319"/>
        <v>0</v>
      </c>
      <c r="M187" s="688">
        <f t="shared" si="319"/>
        <v>0</v>
      </c>
      <c r="N187" s="688">
        <f t="shared" si="319"/>
        <v>0</v>
      </c>
      <c r="O187" s="688">
        <f t="shared" si="319"/>
        <v>0</v>
      </c>
      <c r="P187" s="619">
        <f t="shared" si="317"/>
        <v>0</v>
      </c>
      <c r="Q187" s="620" t="e">
        <f t="shared" si="318"/>
        <v>#DIV/0!</v>
      </c>
      <c r="U187" s="906"/>
    </row>
    <row r="188" spans="1:21" ht="25.5" customHeight="1" thickBot="1">
      <c r="B188" s="601"/>
      <c r="C188" s="621"/>
      <c r="D188" s="689"/>
      <c r="E188" s="689"/>
      <c r="F188" s="689"/>
      <c r="G188" s="689"/>
      <c r="H188" s="689"/>
      <c r="I188" s="689"/>
      <c r="J188" s="689"/>
      <c r="K188" s="689"/>
      <c r="L188" s="689"/>
      <c r="M188" s="689"/>
      <c r="N188" s="689"/>
      <c r="O188" s="689"/>
      <c r="P188" s="622"/>
      <c r="Q188" s="623"/>
      <c r="U188" s="907"/>
    </row>
    <row r="189" spans="1:21" ht="25.5" customHeight="1" thickBot="1">
      <c r="A189" s="693" t="s">
        <v>86</v>
      </c>
      <c r="B189" s="694"/>
      <c r="C189" s="695"/>
      <c r="D189" s="696">
        <v>14.451305</v>
      </c>
      <c r="E189" s="696">
        <v>14.451305</v>
      </c>
      <c r="F189" s="696">
        <v>14.451305</v>
      </c>
      <c r="G189" s="696">
        <f>+F189*$R$2</f>
        <v>16.474487699999997</v>
      </c>
      <c r="H189" s="696">
        <f t="shared" ref="H189" si="320">+F189*$R$2</f>
        <v>16.474487699999997</v>
      </c>
      <c r="I189" s="696">
        <f t="shared" ref="I189" si="321">+F189*$R$2</f>
        <v>16.474487699999997</v>
      </c>
      <c r="J189" s="696">
        <f t="shared" ref="J189" si="322">+I189*$S$2</f>
        <v>18.945660854999996</v>
      </c>
      <c r="K189" s="696">
        <f t="shared" ref="K189" si="323">+I189*$S$2</f>
        <v>18.945660854999996</v>
      </c>
      <c r="L189" s="696">
        <f t="shared" ref="L189" si="324">+I189*$S$2</f>
        <v>18.945660854999996</v>
      </c>
      <c r="M189" s="696">
        <f t="shared" ref="M189" si="325">+L189*$T$2</f>
        <v>21.976966591799993</v>
      </c>
      <c r="N189" s="696">
        <f t="shared" ref="N189" si="326">+L189*$T$2</f>
        <v>21.976966591799993</v>
      </c>
      <c r="O189" s="696">
        <f t="shared" ref="O189" si="327">+L189*$T$2</f>
        <v>21.976966591799993</v>
      </c>
      <c r="P189" s="2270">
        <f>AVERAGE(D189:O189)</f>
        <v>17.962105036699999</v>
      </c>
      <c r="Q189" s="699" t="e">
        <f>SUM(P189-C189)/C189</f>
        <v>#DIV/0!</v>
      </c>
      <c r="U189" s="911"/>
    </row>
    <row r="190" spans="1:21" ht="25.5" customHeight="1" thickBot="1">
      <c r="A190" s="624"/>
      <c r="B190" s="625"/>
      <c r="C190" s="626"/>
      <c r="D190" s="690"/>
      <c r="E190" s="690"/>
      <c r="F190" s="690"/>
      <c r="G190" s="690"/>
      <c r="H190" s="690"/>
      <c r="I190" s="690"/>
      <c r="J190" s="690"/>
      <c r="K190" s="690"/>
      <c r="L190" s="690"/>
      <c r="M190" s="690"/>
      <c r="N190" s="690"/>
      <c r="O190" s="690"/>
      <c r="P190" s="626"/>
      <c r="Q190" s="627"/>
    </row>
    <row r="191" spans="1:21" ht="25.5" customHeight="1" thickBot="1">
      <c r="A191" s="693" t="s">
        <v>31</v>
      </c>
      <c r="B191" s="694"/>
      <c r="C191" s="695"/>
      <c r="D191" s="696"/>
      <c r="E191" s="697"/>
      <c r="F191" s="697"/>
      <c r="G191" s="697"/>
      <c r="H191" s="697"/>
      <c r="I191" s="697"/>
      <c r="J191" s="697"/>
      <c r="K191" s="697"/>
      <c r="L191" s="697"/>
      <c r="M191" s="697"/>
      <c r="N191" s="697"/>
      <c r="O191" s="698"/>
      <c r="P191" s="695"/>
      <c r="Q191" s="699"/>
    </row>
    <row r="193" spans="1:21" ht="16.2" thickBot="1"/>
    <row r="194" spans="1:21" ht="32.1" customHeight="1" thickBot="1">
      <c r="A194" s="649"/>
      <c r="B194" s="2390"/>
      <c r="C194" s="2392" t="s">
        <v>695</v>
      </c>
      <c r="D194" s="2394" t="s">
        <v>584</v>
      </c>
      <c r="E194" s="2395"/>
      <c r="F194" s="2395"/>
      <c r="G194" s="2395"/>
      <c r="H194" s="2395"/>
      <c r="I194" s="2395"/>
      <c r="J194" s="2395"/>
      <c r="K194" s="2395"/>
      <c r="L194" s="2395"/>
      <c r="M194" s="2395"/>
      <c r="N194" s="2395"/>
      <c r="O194" s="2395"/>
      <c r="P194" s="2396"/>
      <c r="Q194" s="937" t="s">
        <v>605</v>
      </c>
    </row>
    <row r="195" spans="1:21" ht="32.1" customHeight="1" thickBot="1">
      <c r="A195" s="650"/>
      <c r="B195" s="2391"/>
      <c r="C195" s="2393"/>
      <c r="D195" s="678" t="s">
        <v>1</v>
      </c>
      <c r="E195" s="679" t="s">
        <v>2</v>
      </c>
      <c r="F195" s="679" t="s">
        <v>3</v>
      </c>
      <c r="G195" s="679" t="s">
        <v>4</v>
      </c>
      <c r="H195" s="679" t="s">
        <v>5</v>
      </c>
      <c r="I195" s="679" t="s">
        <v>6</v>
      </c>
      <c r="J195" s="679" t="s">
        <v>7</v>
      </c>
      <c r="K195" s="679" t="s">
        <v>8</v>
      </c>
      <c r="L195" s="679" t="s">
        <v>9</v>
      </c>
      <c r="M195" s="679" t="s">
        <v>10</v>
      </c>
      <c r="N195" s="679" t="s">
        <v>11</v>
      </c>
      <c r="O195" s="680" t="s">
        <v>12</v>
      </c>
      <c r="P195" s="651" t="s">
        <v>281</v>
      </c>
      <c r="Q195" s="941" t="s">
        <v>693</v>
      </c>
      <c r="R195" s="913" t="s">
        <v>509</v>
      </c>
      <c r="S195" s="913" t="s">
        <v>150</v>
      </c>
      <c r="T195" s="913" t="s">
        <v>151</v>
      </c>
    </row>
    <row r="196" spans="1:21" ht="25.5" customHeight="1" thickBot="1">
      <c r="A196" s="693" t="s">
        <v>28</v>
      </c>
      <c r="B196" s="694"/>
      <c r="C196" s="695"/>
      <c r="D196" s="696"/>
      <c r="E196" s="697"/>
      <c r="F196" s="697"/>
      <c r="G196" s="697"/>
      <c r="H196" s="697"/>
      <c r="I196" s="697"/>
      <c r="J196" s="697"/>
      <c r="K196" s="697"/>
      <c r="L196" s="697"/>
      <c r="M196" s="697"/>
      <c r="N196" s="697"/>
      <c r="O196" s="698"/>
      <c r="P196" s="695"/>
      <c r="Q196" s="699"/>
      <c r="R196" s="914" t="s">
        <v>487</v>
      </c>
      <c r="S196" s="914"/>
      <c r="T196" s="914" t="s">
        <v>320</v>
      </c>
      <c r="U196" s="914" t="s">
        <v>501</v>
      </c>
    </row>
    <row r="197" spans="1:21" ht="25.5" customHeight="1">
      <c r="A197" s="654" t="s">
        <v>15</v>
      </c>
      <c r="B197" s="655"/>
      <c r="C197" s="656"/>
      <c r="D197" s="657">
        <f>'Alış Fiyat'!D197*1.026</f>
        <v>0</v>
      </c>
      <c r="E197" s="657">
        <f>'Alış Fiyat'!E197*1.026</f>
        <v>0</v>
      </c>
      <c r="F197" s="657">
        <f>'Alış Fiyat'!F197*1.026</f>
        <v>0</v>
      </c>
      <c r="G197" s="657">
        <f>+F197*$R$2</f>
        <v>0</v>
      </c>
      <c r="H197" s="657">
        <f t="shared" ref="H197:H198" si="328">+F197*$R$2</f>
        <v>0</v>
      </c>
      <c r="I197" s="657">
        <f t="shared" ref="I197:I198" si="329">+F197*$R$2</f>
        <v>0</v>
      </c>
      <c r="J197" s="657">
        <f t="shared" ref="J197:J198" si="330">+I197*$S$2</f>
        <v>0</v>
      </c>
      <c r="K197" s="657">
        <f t="shared" ref="K197:K198" si="331">+I197*$S$2</f>
        <v>0</v>
      </c>
      <c r="L197" s="657">
        <f t="shared" ref="L197:L198" si="332">+I197*$S$2</f>
        <v>0</v>
      </c>
      <c r="M197" s="657">
        <f t="shared" ref="M197:M198" si="333">+L197*$T$2</f>
        <v>0</v>
      </c>
      <c r="N197" s="657">
        <f t="shared" ref="N197:N198" si="334">+L197*$T$2</f>
        <v>0</v>
      </c>
      <c r="O197" s="657">
        <f t="shared" ref="O197:O198" si="335">+L197*$T$2</f>
        <v>0</v>
      </c>
      <c r="P197" s="658">
        <f t="shared" ref="P197:P200" si="336">AVERAGE(D197:O197)</f>
        <v>0</v>
      </c>
      <c r="Q197" s="659" t="e">
        <f t="shared" ref="Q197:Q198" si="337">SUM(P197-C197)/C197</f>
        <v>#DIV/0!</v>
      </c>
      <c r="U197" s="915"/>
    </row>
    <row r="198" spans="1:21" ht="25.5" hidden="1" customHeight="1">
      <c r="A198" s="660" t="s">
        <v>16</v>
      </c>
      <c r="B198" s="661"/>
      <c r="C198" s="662"/>
      <c r="D198" s="663"/>
      <c r="E198" s="664"/>
      <c r="F198" s="664"/>
      <c r="G198" s="664">
        <f>+F198*$R$2</f>
        <v>0</v>
      </c>
      <c r="H198" s="665">
        <f t="shared" si="328"/>
        <v>0</v>
      </c>
      <c r="I198" s="665">
        <f t="shared" si="329"/>
        <v>0</v>
      </c>
      <c r="J198" s="665">
        <f t="shared" si="330"/>
        <v>0</v>
      </c>
      <c r="K198" s="665">
        <f t="shared" si="331"/>
        <v>0</v>
      </c>
      <c r="L198" s="665">
        <f t="shared" si="332"/>
        <v>0</v>
      </c>
      <c r="M198" s="665">
        <f t="shared" si="333"/>
        <v>0</v>
      </c>
      <c r="N198" s="665">
        <f t="shared" si="334"/>
        <v>0</v>
      </c>
      <c r="O198" s="666">
        <f t="shared" si="335"/>
        <v>0</v>
      </c>
      <c r="P198" s="604">
        <f t="shared" si="336"/>
        <v>0</v>
      </c>
      <c r="Q198" s="600" t="e">
        <f t="shared" si="337"/>
        <v>#DIV/0!</v>
      </c>
      <c r="U198" s="916"/>
    </row>
    <row r="199" spans="1:21" ht="25.5" customHeight="1">
      <c r="A199" s="701" t="s">
        <v>27</v>
      </c>
      <c r="B199" s="702"/>
      <c r="C199" s="703"/>
      <c r="E199" s="705"/>
      <c r="F199" s="704"/>
      <c r="G199" s="705"/>
      <c r="H199" s="705"/>
      <c r="I199" s="705"/>
      <c r="J199" s="705"/>
      <c r="K199" s="705"/>
      <c r="L199" s="705"/>
      <c r="M199" s="705"/>
      <c r="N199" s="705"/>
      <c r="O199" s="706"/>
      <c r="P199" s="707"/>
      <c r="Q199" s="708"/>
      <c r="U199" s="917"/>
    </row>
    <row r="200" spans="1:21" ht="25.5" customHeight="1">
      <c r="A200" s="710" t="s">
        <v>17</v>
      </c>
      <c r="B200" s="711"/>
      <c r="C200" s="712"/>
      <c r="D200" s="713"/>
      <c r="E200" s="713"/>
      <c r="F200" s="713"/>
      <c r="G200" s="713">
        <f>+F200*$R$2</f>
        <v>0</v>
      </c>
      <c r="H200" s="713">
        <f t="shared" ref="H200:H204" si="338">+F200*$R$2</f>
        <v>0</v>
      </c>
      <c r="I200" s="713">
        <f t="shared" ref="I200:I204" si="339">+F200*$R$2</f>
        <v>0</v>
      </c>
      <c r="J200" s="713">
        <f t="shared" ref="J200:J204" si="340">+I200*$S$2</f>
        <v>0</v>
      </c>
      <c r="K200" s="713">
        <f t="shared" ref="K200:K204" si="341">+I200*$S$2</f>
        <v>0</v>
      </c>
      <c r="L200" s="713">
        <f t="shared" ref="L200:L204" si="342">+I200*$S$2</f>
        <v>0</v>
      </c>
      <c r="M200" s="713">
        <f t="shared" ref="M200:M204" si="343">+L200*$T$2</f>
        <v>0</v>
      </c>
      <c r="N200" s="713">
        <f t="shared" ref="N200:N204" si="344">+L200*$T$2</f>
        <v>0</v>
      </c>
      <c r="O200" s="713">
        <f t="shared" ref="O200:O204" si="345">+L200*$T$2</f>
        <v>0</v>
      </c>
      <c r="P200" s="716">
        <f t="shared" si="336"/>
        <v>0</v>
      </c>
      <c r="Q200" s="717"/>
      <c r="U200" s="918"/>
    </row>
    <row r="201" spans="1:21" ht="25.5" customHeight="1">
      <c r="A201" s="670" t="s">
        <v>81</v>
      </c>
      <c r="B201" s="602"/>
      <c r="C201" s="656"/>
      <c r="D201" s="657">
        <f>'Alış Fiyat'!D201*1.026</f>
        <v>0</v>
      </c>
      <c r="E201" s="657">
        <f>'Alış Fiyat'!E201*1.026</f>
        <v>0</v>
      </c>
      <c r="F201" s="657">
        <f>'Alış Fiyat'!F201*1.026</f>
        <v>0</v>
      </c>
      <c r="G201" s="671">
        <f>'Alış Fiyat'!G201*1.026</f>
        <v>21.016782098047234</v>
      </c>
      <c r="H201" s="671">
        <f>'Alış Fiyat'!H201*1.026</f>
        <v>21.401708791518182</v>
      </c>
      <c r="I201" s="671">
        <f>'Alış Fiyat'!I201*1.026</f>
        <v>22.282103063436651</v>
      </c>
      <c r="J201" s="671">
        <f>'Alış Fiyat'!J201*1.026</f>
        <v>23.267530335359503</v>
      </c>
      <c r="K201" s="671">
        <f>'Alış Fiyat'!K201*1.026</f>
        <v>23.808484099063001</v>
      </c>
      <c r="L201" s="671">
        <f>'Alış Fiyat'!L201*1.026</f>
        <v>23.625749105721408</v>
      </c>
      <c r="M201" s="671">
        <f>'Alış Fiyat'!M201*1.026</f>
        <v>24.308953714158466</v>
      </c>
      <c r="N201" s="671">
        <f>'Alış Fiyat'!N201*1.026</f>
        <v>23.596355627346075</v>
      </c>
      <c r="O201" s="671">
        <f>'Alış Fiyat'!O201*1.026</f>
        <v>24.102490526570396</v>
      </c>
      <c r="P201" s="605">
        <f>AVERAGE(D201:O201)</f>
        <v>17.284179780101741</v>
      </c>
      <c r="Q201" s="606" t="e">
        <f>SUM(P201-C201)/C201</f>
        <v>#DIV/0!</v>
      </c>
      <c r="U201" s="919"/>
    </row>
    <row r="202" spans="1:21" ht="25.5" hidden="1" customHeight="1">
      <c r="A202" s="672" t="s">
        <v>82</v>
      </c>
      <c r="B202" s="603"/>
      <c r="C202" s="662"/>
      <c r="D202" s="667"/>
      <c r="E202" s="667"/>
      <c r="F202" s="667"/>
      <c r="G202" s="668">
        <f>+F202*$R$2</f>
        <v>0</v>
      </c>
      <c r="H202" s="668">
        <f t="shared" si="338"/>
        <v>0</v>
      </c>
      <c r="I202" s="668">
        <f t="shared" si="339"/>
        <v>0</v>
      </c>
      <c r="J202" s="668">
        <f t="shared" si="340"/>
        <v>0</v>
      </c>
      <c r="K202" s="668">
        <f t="shared" si="341"/>
        <v>0</v>
      </c>
      <c r="L202" s="668">
        <f t="shared" si="342"/>
        <v>0</v>
      </c>
      <c r="M202" s="668">
        <f t="shared" si="343"/>
        <v>0</v>
      </c>
      <c r="N202" s="668">
        <f t="shared" si="344"/>
        <v>0</v>
      </c>
      <c r="O202" s="669">
        <f t="shared" si="345"/>
        <v>0</v>
      </c>
      <c r="P202" s="604"/>
      <c r="Q202" s="600"/>
      <c r="U202" s="920"/>
    </row>
    <row r="203" spans="1:21" ht="25.5" customHeight="1">
      <c r="A203" s="670" t="s">
        <v>83</v>
      </c>
      <c r="B203" s="673"/>
      <c r="C203" s="656"/>
      <c r="D203" s="674">
        <f>+D201</f>
        <v>0</v>
      </c>
      <c r="E203" s="674">
        <f t="shared" ref="E203:F203" si="346">+E201</f>
        <v>0</v>
      </c>
      <c r="F203" s="674">
        <f t="shared" si="346"/>
        <v>0</v>
      </c>
      <c r="G203" s="674">
        <f t="shared" ref="G203:G204" si="347">+F203*$R$2</f>
        <v>0</v>
      </c>
      <c r="H203" s="674">
        <f t="shared" si="338"/>
        <v>0</v>
      </c>
      <c r="I203" s="674">
        <f t="shared" si="339"/>
        <v>0</v>
      </c>
      <c r="J203" s="674">
        <f t="shared" si="340"/>
        <v>0</v>
      </c>
      <c r="K203" s="674">
        <f t="shared" si="341"/>
        <v>0</v>
      </c>
      <c r="L203" s="674">
        <f t="shared" si="342"/>
        <v>0</v>
      </c>
      <c r="M203" s="674">
        <f t="shared" si="343"/>
        <v>0</v>
      </c>
      <c r="N203" s="674">
        <f t="shared" si="344"/>
        <v>0</v>
      </c>
      <c r="O203" s="674">
        <f t="shared" si="345"/>
        <v>0</v>
      </c>
      <c r="P203" s="605">
        <f>AVERAGE(D203:O203)</f>
        <v>0</v>
      </c>
      <c r="Q203" s="606" t="e">
        <f>SUM(P203-C203)/C203</f>
        <v>#DIV/0!</v>
      </c>
      <c r="U203" s="920"/>
    </row>
    <row r="204" spans="1:21" ht="25.5" hidden="1" customHeight="1">
      <c r="A204" s="672" t="s">
        <v>84</v>
      </c>
      <c r="B204" s="661"/>
      <c r="C204" s="675"/>
      <c r="D204" s="676"/>
      <c r="E204" s="665"/>
      <c r="F204" s="665"/>
      <c r="G204" s="665">
        <f t="shared" si="347"/>
        <v>0</v>
      </c>
      <c r="H204" s="665">
        <f t="shared" si="338"/>
        <v>0</v>
      </c>
      <c r="I204" s="677">
        <f t="shared" si="339"/>
        <v>0</v>
      </c>
      <c r="J204" s="677">
        <f t="shared" si="340"/>
        <v>0</v>
      </c>
      <c r="K204" s="665">
        <f t="shared" si="341"/>
        <v>0</v>
      </c>
      <c r="L204" s="665">
        <f t="shared" si="342"/>
        <v>0</v>
      </c>
      <c r="M204" s="665">
        <f t="shared" si="343"/>
        <v>0</v>
      </c>
      <c r="N204" s="665">
        <f t="shared" si="344"/>
        <v>0</v>
      </c>
      <c r="O204" s="666">
        <f t="shared" si="345"/>
        <v>0</v>
      </c>
      <c r="P204" s="604"/>
      <c r="Q204" s="600"/>
      <c r="U204" s="920"/>
    </row>
    <row r="205" spans="1:21" ht="25.5" customHeight="1" thickBot="1">
      <c r="A205" s="718" t="s">
        <v>18</v>
      </c>
      <c r="B205" s="719"/>
      <c r="C205" s="720"/>
      <c r="D205" s="721"/>
      <c r="E205" s="722"/>
      <c r="F205" s="722"/>
      <c r="G205" s="722"/>
      <c r="H205" s="722"/>
      <c r="I205" s="722"/>
      <c r="J205" s="722"/>
      <c r="K205" s="722"/>
      <c r="L205" s="722"/>
      <c r="M205" s="722"/>
      <c r="N205" s="722"/>
      <c r="O205" s="723"/>
      <c r="P205" s="720"/>
      <c r="Q205" s="724"/>
      <c r="U205" s="921"/>
    </row>
    <row r="206" spans="1:21" ht="25.5" customHeight="1" thickBot="1">
      <c r="A206" s="693" t="s">
        <v>29</v>
      </c>
      <c r="B206" s="725"/>
      <c r="C206" s="726"/>
      <c r="D206" s="727"/>
      <c r="E206" s="728"/>
      <c r="F206" s="728"/>
      <c r="G206" s="728"/>
      <c r="H206" s="728"/>
      <c r="I206" s="728"/>
      <c r="J206" s="728"/>
      <c r="K206" s="728"/>
      <c r="L206" s="728"/>
      <c r="M206" s="728"/>
      <c r="N206" s="728"/>
      <c r="O206" s="729"/>
      <c r="P206" s="726"/>
      <c r="Q206" s="730"/>
      <c r="U206" s="910"/>
    </row>
    <row r="207" spans="1:21" ht="25.5" customHeight="1">
      <c r="A207" s="615" t="s">
        <v>19</v>
      </c>
      <c r="B207" s="607"/>
      <c r="C207" s="608"/>
      <c r="D207" s="681">
        <f>+'M.Yağ Alış Fiyat'!$G$2</f>
        <v>0</v>
      </c>
      <c r="E207" s="682">
        <f>+'M.Yağ Alış Fiyat'!$G$2</f>
        <v>0</v>
      </c>
      <c r="F207" s="683">
        <f>+'M.Yağ Alış Fiyat'!$G$2</f>
        <v>0</v>
      </c>
      <c r="G207" s="683">
        <f t="shared" ref="G207:G208" si="348">+F207*$R$2</f>
        <v>0</v>
      </c>
      <c r="H207" s="683">
        <f t="shared" ref="H207:H208" si="349">+F207*$R$2</f>
        <v>0</v>
      </c>
      <c r="I207" s="683">
        <f t="shared" ref="I207:I208" si="350">+F207*$R$2</f>
        <v>0</v>
      </c>
      <c r="J207" s="683">
        <f t="shared" ref="J207:J208" si="351">+I207*$S$2</f>
        <v>0</v>
      </c>
      <c r="K207" s="683">
        <f t="shared" ref="K207:K208" si="352">+I207*$S$2</f>
        <v>0</v>
      </c>
      <c r="L207" s="683">
        <f t="shared" ref="L207:L208" si="353">+I207*$S$2</f>
        <v>0</v>
      </c>
      <c r="M207" s="683">
        <f t="shared" ref="M207:M208" si="354">+L207*$T$2</f>
        <v>0</v>
      </c>
      <c r="N207" s="683">
        <f t="shared" ref="N207:N208" si="355">+L207*$T$2</f>
        <v>0</v>
      </c>
      <c r="O207" s="684">
        <f t="shared" ref="O207:O208" si="356">+L207*$T$2</f>
        <v>0</v>
      </c>
      <c r="P207" s="609">
        <f t="shared" ref="P207:P208" si="357">AVERAGE(D207:O207)</f>
        <v>0</v>
      </c>
      <c r="Q207" s="610" t="e">
        <f t="shared" ref="Q207:Q208" si="358">SUM(P207-C207)/C207</f>
        <v>#DIV/0!</v>
      </c>
      <c r="U207" s="904"/>
    </row>
    <row r="208" spans="1:21" ht="25.5" customHeight="1" thickBot="1">
      <c r="A208" s="616" t="s">
        <v>20</v>
      </c>
      <c r="B208" s="611"/>
      <c r="C208" s="612"/>
      <c r="D208" s="685">
        <f>+'M.Yağ Alış Fiyat'!$G$3</f>
        <v>0</v>
      </c>
      <c r="E208" s="685">
        <f>+'M.Yağ Alış Fiyat'!$G$3</f>
        <v>0</v>
      </c>
      <c r="F208" s="685">
        <f>+'M.Yağ Alış Fiyat'!$G$3</f>
        <v>0</v>
      </c>
      <c r="G208" s="685">
        <f t="shared" si="348"/>
        <v>0</v>
      </c>
      <c r="H208" s="685">
        <f t="shared" si="349"/>
        <v>0</v>
      </c>
      <c r="I208" s="685">
        <f t="shared" si="350"/>
        <v>0</v>
      </c>
      <c r="J208" s="685">
        <f t="shared" si="351"/>
        <v>0</v>
      </c>
      <c r="K208" s="685">
        <f t="shared" si="352"/>
        <v>0</v>
      </c>
      <c r="L208" s="685">
        <f t="shared" si="353"/>
        <v>0</v>
      </c>
      <c r="M208" s="685">
        <f t="shared" si="354"/>
        <v>0</v>
      </c>
      <c r="N208" s="685">
        <f t="shared" si="355"/>
        <v>0</v>
      </c>
      <c r="O208" s="685">
        <f t="shared" si="356"/>
        <v>0</v>
      </c>
      <c r="P208" s="613">
        <f t="shared" si="357"/>
        <v>0</v>
      </c>
      <c r="Q208" s="614" t="e">
        <f t="shared" si="358"/>
        <v>#DIV/0!</v>
      </c>
      <c r="U208" s="905"/>
    </row>
    <row r="209" spans="1:21" ht="25.5" customHeight="1" thickBot="1">
      <c r="A209" s="693" t="s">
        <v>30</v>
      </c>
      <c r="B209" s="694"/>
      <c r="C209" s="726"/>
      <c r="D209" s="727"/>
      <c r="E209" s="728"/>
      <c r="F209" s="728"/>
      <c r="G209" s="728"/>
      <c r="H209" s="728"/>
      <c r="I209" s="728"/>
      <c r="J209" s="728"/>
      <c r="K209" s="728"/>
      <c r="L209" s="728"/>
      <c r="M209" s="728"/>
      <c r="N209" s="728"/>
      <c r="O209" s="729"/>
      <c r="P209" s="726"/>
      <c r="Q209" s="730"/>
      <c r="U209" s="910"/>
    </row>
    <row r="210" spans="1:21" ht="25.5" customHeight="1">
      <c r="A210" s="615" t="s">
        <v>106</v>
      </c>
      <c r="B210" s="607"/>
      <c r="C210" s="608"/>
      <c r="D210" s="687">
        <f>D18</f>
        <v>0</v>
      </c>
      <c r="E210" s="687">
        <f t="shared" ref="E210:O210" si="359">E18</f>
        <v>0</v>
      </c>
      <c r="F210" s="687">
        <f t="shared" si="359"/>
        <v>0</v>
      </c>
      <c r="G210" s="687">
        <f t="shared" si="359"/>
        <v>0</v>
      </c>
      <c r="H210" s="687">
        <f t="shared" si="359"/>
        <v>0</v>
      </c>
      <c r="I210" s="687">
        <f t="shared" si="359"/>
        <v>0</v>
      </c>
      <c r="J210" s="687">
        <f t="shared" si="359"/>
        <v>0</v>
      </c>
      <c r="K210" s="687">
        <f t="shared" si="359"/>
        <v>0</v>
      </c>
      <c r="L210" s="687">
        <f t="shared" si="359"/>
        <v>0</v>
      </c>
      <c r="M210" s="687">
        <f t="shared" si="359"/>
        <v>0</v>
      </c>
      <c r="N210" s="687">
        <f t="shared" si="359"/>
        <v>0</v>
      </c>
      <c r="O210" s="687">
        <f t="shared" si="359"/>
        <v>0</v>
      </c>
      <c r="P210" s="609">
        <f t="shared" ref="P210:P211" si="360">AVERAGE(D210:O210)</f>
        <v>0</v>
      </c>
      <c r="Q210" s="610" t="e">
        <f t="shared" ref="Q210:Q211" si="361">SUM(P210-C210)/C210</f>
        <v>#DIV/0!</v>
      </c>
      <c r="U210" s="904"/>
    </row>
    <row r="211" spans="1:21" ht="25.5" customHeight="1" thickBot="1">
      <c r="A211" s="616" t="s">
        <v>105</v>
      </c>
      <c r="B211" s="617"/>
      <c r="C211" s="618"/>
      <c r="D211" s="688">
        <f>D19</f>
        <v>0</v>
      </c>
      <c r="E211" s="688">
        <f t="shared" ref="E211:O211" si="362">E19</f>
        <v>0</v>
      </c>
      <c r="F211" s="688">
        <f t="shared" si="362"/>
        <v>0</v>
      </c>
      <c r="G211" s="688">
        <f t="shared" si="362"/>
        <v>0</v>
      </c>
      <c r="H211" s="688">
        <f t="shared" si="362"/>
        <v>0</v>
      </c>
      <c r="I211" s="688">
        <f t="shared" si="362"/>
        <v>0</v>
      </c>
      <c r="J211" s="688">
        <f t="shared" si="362"/>
        <v>0</v>
      </c>
      <c r="K211" s="688">
        <f t="shared" si="362"/>
        <v>0</v>
      </c>
      <c r="L211" s="688">
        <f t="shared" si="362"/>
        <v>0</v>
      </c>
      <c r="M211" s="688">
        <f t="shared" si="362"/>
        <v>0</v>
      </c>
      <c r="N211" s="688">
        <f t="shared" si="362"/>
        <v>0</v>
      </c>
      <c r="O211" s="688">
        <f t="shared" si="362"/>
        <v>0</v>
      </c>
      <c r="P211" s="619">
        <f t="shared" si="360"/>
        <v>0</v>
      </c>
      <c r="Q211" s="620" t="e">
        <f t="shared" si="361"/>
        <v>#DIV/0!</v>
      </c>
      <c r="U211" s="906"/>
    </row>
    <row r="212" spans="1:21" ht="25.5" customHeight="1" thickBot="1">
      <c r="B212" s="601"/>
      <c r="C212" s="621"/>
      <c r="D212" s="689"/>
      <c r="E212" s="689"/>
      <c r="F212" s="689"/>
      <c r="G212" s="689"/>
      <c r="H212" s="689"/>
      <c r="I212" s="689"/>
      <c r="J212" s="689"/>
      <c r="K212" s="689"/>
      <c r="L212" s="689"/>
      <c r="M212" s="689"/>
      <c r="N212" s="689"/>
      <c r="O212" s="689"/>
      <c r="P212" s="622"/>
      <c r="Q212" s="623"/>
      <c r="U212" s="907"/>
    </row>
    <row r="213" spans="1:21" ht="25.5" customHeight="1" thickBot="1">
      <c r="A213" s="693" t="s">
        <v>86</v>
      </c>
      <c r="B213" s="694"/>
      <c r="C213" s="695"/>
      <c r="D213" s="696">
        <v>14.451305</v>
      </c>
      <c r="E213" s="696">
        <v>14.451305</v>
      </c>
      <c r="F213" s="696">
        <v>14.451305</v>
      </c>
      <c r="G213" s="696">
        <f>+F213*$R$2</f>
        <v>16.474487699999997</v>
      </c>
      <c r="H213" s="696">
        <f t="shared" ref="H213" si="363">+F213*$R$2</f>
        <v>16.474487699999997</v>
      </c>
      <c r="I213" s="696">
        <f t="shared" ref="I213" si="364">+F213*$R$2</f>
        <v>16.474487699999997</v>
      </c>
      <c r="J213" s="696">
        <f t="shared" ref="J213" si="365">+I213*$S$2</f>
        <v>18.945660854999996</v>
      </c>
      <c r="K213" s="696">
        <f t="shared" ref="K213" si="366">+I213*$S$2</f>
        <v>18.945660854999996</v>
      </c>
      <c r="L213" s="696">
        <f t="shared" ref="L213" si="367">+I213*$S$2</f>
        <v>18.945660854999996</v>
      </c>
      <c r="M213" s="696">
        <f t="shared" ref="M213" si="368">+L213*$T$2</f>
        <v>21.976966591799993</v>
      </c>
      <c r="N213" s="696">
        <f t="shared" ref="N213" si="369">+L213*$T$2</f>
        <v>21.976966591799993</v>
      </c>
      <c r="O213" s="696">
        <f t="shared" ref="O213" si="370">+L213*$T$2</f>
        <v>21.976966591799993</v>
      </c>
      <c r="P213" s="2270">
        <f>AVERAGE(D213:O213)</f>
        <v>17.962105036699999</v>
      </c>
      <c r="Q213" s="699" t="e">
        <f>SUM(P213-C213)/C213</f>
        <v>#DIV/0!</v>
      </c>
      <c r="U213" s="911"/>
    </row>
    <row r="214" spans="1:21" ht="25.5" customHeight="1" thickBot="1">
      <c r="A214" s="624"/>
      <c r="B214" s="625"/>
      <c r="C214" s="626"/>
      <c r="D214" s="690"/>
      <c r="E214" s="690"/>
      <c r="F214" s="690"/>
      <c r="G214" s="690"/>
      <c r="H214" s="690"/>
      <c r="I214" s="690"/>
      <c r="J214" s="690"/>
      <c r="K214" s="690"/>
      <c r="L214" s="690"/>
      <c r="M214" s="690"/>
      <c r="N214" s="690"/>
      <c r="O214" s="690"/>
      <c r="P214" s="626"/>
      <c r="Q214" s="627"/>
    </row>
    <row r="215" spans="1:21" ht="25.5" customHeight="1" thickBot="1">
      <c r="A215" s="693" t="s">
        <v>31</v>
      </c>
      <c r="B215" s="694"/>
      <c r="C215" s="695"/>
      <c r="D215" s="696"/>
      <c r="E215" s="697"/>
      <c r="F215" s="697"/>
      <c r="G215" s="697"/>
      <c r="H215" s="697"/>
      <c r="I215" s="697"/>
      <c r="J215" s="697"/>
      <c r="K215" s="697"/>
      <c r="L215" s="697"/>
      <c r="M215" s="697"/>
      <c r="N215" s="697"/>
      <c r="O215" s="698"/>
      <c r="P215" s="695"/>
      <c r="Q215" s="699"/>
    </row>
    <row r="217" spans="1:21" ht="16.2" thickBot="1"/>
    <row r="218" spans="1:21" ht="32.1" customHeight="1" thickBot="1">
      <c r="A218" s="649"/>
      <c r="B218" s="2390"/>
      <c r="C218" s="2392" t="s">
        <v>695</v>
      </c>
      <c r="D218" s="2394" t="s">
        <v>561</v>
      </c>
      <c r="E218" s="2395"/>
      <c r="F218" s="2395"/>
      <c r="G218" s="2395"/>
      <c r="H218" s="2395"/>
      <c r="I218" s="2395"/>
      <c r="J218" s="2395"/>
      <c r="K218" s="2395"/>
      <c r="L218" s="2395"/>
      <c r="M218" s="2395"/>
      <c r="N218" s="2395"/>
      <c r="O218" s="2395"/>
      <c r="P218" s="2396"/>
      <c r="Q218" s="937" t="s">
        <v>605</v>
      </c>
    </row>
    <row r="219" spans="1:21" ht="32.1" customHeight="1" thickBot="1">
      <c r="A219" s="650"/>
      <c r="B219" s="2391"/>
      <c r="C219" s="2393"/>
      <c r="D219" s="678" t="s">
        <v>1</v>
      </c>
      <c r="E219" s="679" t="s">
        <v>2</v>
      </c>
      <c r="F219" s="679" t="s">
        <v>3</v>
      </c>
      <c r="G219" s="679" t="s">
        <v>4</v>
      </c>
      <c r="H219" s="679" t="s">
        <v>5</v>
      </c>
      <c r="I219" s="679" t="s">
        <v>6</v>
      </c>
      <c r="J219" s="679" t="s">
        <v>7</v>
      </c>
      <c r="K219" s="679" t="s">
        <v>8</v>
      </c>
      <c r="L219" s="679" t="s">
        <v>9</v>
      </c>
      <c r="M219" s="679" t="s">
        <v>10</v>
      </c>
      <c r="N219" s="679" t="s">
        <v>11</v>
      </c>
      <c r="O219" s="680" t="s">
        <v>12</v>
      </c>
      <c r="P219" s="651" t="s">
        <v>281</v>
      </c>
      <c r="Q219" s="941" t="s">
        <v>693</v>
      </c>
      <c r="R219" s="913" t="s">
        <v>509</v>
      </c>
      <c r="S219" s="913" t="s">
        <v>150</v>
      </c>
      <c r="T219" s="913" t="s">
        <v>151</v>
      </c>
    </row>
    <row r="220" spans="1:21" ht="25.5" customHeight="1" thickBot="1">
      <c r="A220" s="693" t="s">
        <v>28</v>
      </c>
      <c r="B220" s="694"/>
      <c r="C220" s="695"/>
      <c r="D220" s="696"/>
      <c r="E220" s="697"/>
      <c r="F220" s="697"/>
      <c r="G220" s="697"/>
      <c r="H220" s="697"/>
      <c r="I220" s="697"/>
      <c r="J220" s="697"/>
      <c r="K220" s="697"/>
      <c r="L220" s="697"/>
      <c r="M220" s="697"/>
      <c r="N220" s="697"/>
      <c r="O220" s="698"/>
      <c r="P220" s="695"/>
      <c r="Q220" s="699"/>
      <c r="R220" s="914" t="s">
        <v>163</v>
      </c>
      <c r="S220" s="914"/>
      <c r="T220" s="914" t="s">
        <v>320</v>
      </c>
      <c r="U220" s="914" t="s">
        <v>502</v>
      </c>
    </row>
    <row r="221" spans="1:21" ht="25.5" customHeight="1">
      <c r="A221" s="654" t="s">
        <v>15</v>
      </c>
      <c r="B221" s="655"/>
      <c r="C221" s="656"/>
      <c r="D221" s="657">
        <f>'Alış Fiyat'!D221*1.026</f>
        <v>0</v>
      </c>
      <c r="E221" s="657">
        <f>'Alış Fiyat'!E221*1.026</f>
        <v>0</v>
      </c>
      <c r="F221" s="657">
        <f>'Alış Fiyat'!F221*1.026</f>
        <v>0</v>
      </c>
      <c r="G221" s="657">
        <f>+F221*$R$2</f>
        <v>0</v>
      </c>
      <c r="H221" s="657">
        <f t="shared" ref="H221:H222" si="371">+F221*$R$2</f>
        <v>0</v>
      </c>
      <c r="I221" s="657">
        <f t="shared" ref="I221:I222" si="372">+F221*$R$2</f>
        <v>0</v>
      </c>
      <c r="J221" s="657">
        <f t="shared" ref="J221:J222" si="373">+I221*$S$2</f>
        <v>0</v>
      </c>
      <c r="K221" s="657">
        <f t="shared" ref="K221:K222" si="374">+I221*$S$2</f>
        <v>0</v>
      </c>
      <c r="L221" s="657">
        <f t="shared" ref="L221:L222" si="375">+I221*$S$2</f>
        <v>0</v>
      </c>
      <c r="M221" s="657">
        <f t="shared" ref="M221:M222" si="376">+L221*$T$2</f>
        <v>0</v>
      </c>
      <c r="N221" s="657">
        <f t="shared" ref="N221:N222" si="377">+L221*$T$2</f>
        <v>0</v>
      </c>
      <c r="O221" s="657">
        <f t="shared" ref="O221:O222" si="378">+L221*$T$2</f>
        <v>0</v>
      </c>
      <c r="P221" s="658">
        <f t="shared" ref="P221:P224" si="379">AVERAGE(D221:O221)</f>
        <v>0</v>
      </c>
      <c r="Q221" s="659" t="e">
        <f t="shared" ref="Q221:Q222" si="380">SUM(P221-C221)/C221</f>
        <v>#DIV/0!</v>
      </c>
      <c r="U221" s="915"/>
    </row>
    <row r="222" spans="1:21" ht="25.5" hidden="1" customHeight="1">
      <c r="A222" s="660" t="s">
        <v>16</v>
      </c>
      <c r="B222" s="661"/>
      <c r="C222" s="662"/>
      <c r="D222" s="663"/>
      <c r="E222" s="664"/>
      <c r="F222" s="664"/>
      <c r="G222" s="664">
        <f>+F222*$R$2</f>
        <v>0</v>
      </c>
      <c r="H222" s="665">
        <f t="shared" si="371"/>
        <v>0</v>
      </c>
      <c r="I222" s="665">
        <f t="shared" si="372"/>
        <v>0</v>
      </c>
      <c r="J222" s="665">
        <f t="shared" si="373"/>
        <v>0</v>
      </c>
      <c r="K222" s="665">
        <f t="shared" si="374"/>
        <v>0</v>
      </c>
      <c r="L222" s="665">
        <f t="shared" si="375"/>
        <v>0</v>
      </c>
      <c r="M222" s="665">
        <f t="shared" si="376"/>
        <v>0</v>
      </c>
      <c r="N222" s="665">
        <f t="shared" si="377"/>
        <v>0</v>
      </c>
      <c r="O222" s="666">
        <f t="shared" si="378"/>
        <v>0</v>
      </c>
      <c r="P222" s="604">
        <f t="shared" si="379"/>
        <v>0</v>
      </c>
      <c r="Q222" s="600" t="e">
        <f t="shared" si="380"/>
        <v>#DIV/0!</v>
      </c>
      <c r="U222" s="916"/>
    </row>
    <row r="223" spans="1:21" ht="25.5" customHeight="1">
      <c r="A223" s="701" t="s">
        <v>27</v>
      </c>
      <c r="B223" s="702"/>
      <c r="C223" s="703"/>
      <c r="D223" s="704"/>
      <c r="E223" s="705"/>
      <c r="F223" s="705"/>
      <c r="G223" s="705"/>
      <c r="H223" s="705"/>
      <c r="I223" s="705"/>
      <c r="J223" s="705"/>
      <c r="K223" s="705"/>
      <c r="L223" s="705"/>
      <c r="M223" s="705"/>
      <c r="N223" s="705"/>
      <c r="O223" s="706"/>
      <c r="P223" s="707"/>
      <c r="Q223" s="708"/>
      <c r="U223" s="917"/>
    </row>
    <row r="224" spans="1:21" ht="25.5" customHeight="1">
      <c r="A224" s="710" t="s">
        <v>17</v>
      </c>
      <c r="B224" s="711"/>
      <c r="C224" s="712"/>
      <c r="D224" s="713"/>
      <c r="E224" s="713"/>
      <c r="F224" s="713"/>
      <c r="G224" s="713">
        <f>+F224*$R$2</f>
        <v>0</v>
      </c>
      <c r="H224" s="713">
        <f t="shared" ref="H224:H228" si="381">+F224*$R$2</f>
        <v>0</v>
      </c>
      <c r="I224" s="713">
        <f t="shared" ref="I224:I228" si="382">+F224*$R$2</f>
        <v>0</v>
      </c>
      <c r="J224" s="713">
        <f t="shared" ref="J224:J228" si="383">+I224*$S$2</f>
        <v>0</v>
      </c>
      <c r="K224" s="713">
        <f t="shared" ref="K224:K228" si="384">+I224*$S$2</f>
        <v>0</v>
      </c>
      <c r="L224" s="713">
        <f t="shared" ref="L224:L228" si="385">+I224*$S$2</f>
        <v>0</v>
      </c>
      <c r="M224" s="713">
        <f t="shared" ref="M224:M228" si="386">+L224*$T$2</f>
        <v>0</v>
      </c>
      <c r="N224" s="713">
        <f t="shared" ref="N224:N228" si="387">+L224*$T$2</f>
        <v>0</v>
      </c>
      <c r="O224" s="713">
        <f t="shared" ref="O224:O228" si="388">+L224*$T$2</f>
        <v>0</v>
      </c>
      <c r="P224" s="716">
        <f t="shared" si="379"/>
        <v>0</v>
      </c>
      <c r="Q224" s="717"/>
      <c r="U224" s="918"/>
    </row>
    <row r="225" spans="1:21" ht="25.5" customHeight="1">
      <c r="A225" s="670" t="s">
        <v>81</v>
      </c>
      <c r="B225" s="602"/>
      <c r="C225" s="656"/>
      <c r="D225" s="657">
        <f>'Alış Fiyat'!D225*1.026</f>
        <v>0</v>
      </c>
      <c r="E225" s="657">
        <f>'Alış Fiyat'!E225*1.026</f>
        <v>0</v>
      </c>
      <c r="F225" s="657">
        <f>'Alış Fiyat'!F225*1.026</f>
        <v>0</v>
      </c>
      <c r="G225" s="671">
        <f>'Alış Fiyat'!G225*1.026</f>
        <v>21.016782098047234</v>
      </c>
      <c r="H225" s="671">
        <f>'Alış Fiyat'!H225*1.026</f>
        <v>21.401708791518182</v>
      </c>
      <c r="I225" s="671">
        <f>'Alış Fiyat'!I225*1.026</f>
        <v>22.282103063436651</v>
      </c>
      <c r="J225" s="671">
        <f>'Alış Fiyat'!J225*1.026</f>
        <v>23.267530335359503</v>
      </c>
      <c r="K225" s="671">
        <f>'Alış Fiyat'!K225*1.026</f>
        <v>23.808484099063001</v>
      </c>
      <c r="L225" s="671">
        <f>'Alış Fiyat'!L225*1.026</f>
        <v>23.625749105721408</v>
      </c>
      <c r="M225" s="671">
        <f>'Alış Fiyat'!M225*1.026</f>
        <v>24.308953714158466</v>
      </c>
      <c r="N225" s="671">
        <f>'Alış Fiyat'!N225*1.026</f>
        <v>23.596355627346075</v>
      </c>
      <c r="O225" s="671">
        <f>'Alış Fiyat'!O225*1.026</f>
        <v>24.102490526570396</v>
      </c>
      <c r="P225" s="605">
        <f>AVERAGE(D225:O225)</f>
        <v>17.284179780101741</v>
      </c>
      <c r="Q225" s="606" t="e">
        <f>SUM(P225-C225)/C225</f>
        <v>#DIV/0!</v>
      </c>
      <c r="U225" s="919"/>
    </row>
    <row r="226" spans="1:21" ht="25.5" hidden="1" customHeight="1">
      <c r="A226" s="672" t="s">
        <v>82</v>
      </c>
      <c r="B226" s="603"/>
      <c r="C226" s="662"/>
      <c r="D226" s="667"/>
      <c r="E226" s="667"/>
      <c r="F226" s="667"/>
      <c r="G226" s="668">
        <f>+F226*$R$2</f>
        <v>0</v>
      </c>
      <c r="H226" s="668">
        <f t="shared" si="381"/>
        <v>0</v>
      </c>
      <c r="I226" s="668">
        <f t="shared" si="382"/>
        <v>0</v>
      </c>
      <c r="J226" s="668">
        <f t="shared" si="383"/>
        <v>0</v>
      </c>
      <c r="K226" s="668">
        <f t="shared" si="384"/>
        <v>0</v>
      </c>
      <c r="L226" s="668">
        <f t="shared" si="385"/>
        <v>0</v>
      </c>
      <c r="M226" s="668">
        <f t="shared" si="386"/>
        <v>0</v>
      </c>
      <c r="N226" s="668">
        <f t="shared" si="387"/>
        <v>0</v>
      </c>
      <c r="O226" s="669">
        <f t="shared" si="388"/>
        <v>0</v>
      </c>
      <c r="P226" s="604"/>
      <c r="Q226" s="600"/>
      <c r="U226" s="920"/>
    </row>
    <row r="227" spans="1:21" ht="25.5" customHeight="1">
      <c r="A227" s="670" t="s">
        <v>83</v>
      </c>
      <c r="B227" s="673"/>
      <c r="C227" s="656"/>
      <c r="D227" s="674">
        <f>+D225</f>
        <v>0</v>
      </c>
      <c r="E227" s="674">
        <f t="shared" ref="E227:F227" si="389">+E225</f>
        <v>0</v>
      </c>
      <c r="F227" s="674">
        <f t="shared" si="389"/>
        <v>0</v>
      </c>
      <c r="G227" s="674">
        <f t="shared" ref="G227:G228" si="390">+F227*$R$2</f>
        <v>0</v>
      </c>
      <c r="H227" s="674">
        <f t="shared" si="381"/>
        <v>0</v>
      </c>
      <c r="I227" s="674">
        <f t="shared" si="382"/>
        <v>0</v>
      </c>
      <c r="J227" s="674">
        <f t="shared" si="383"/>
        <v>0</v>
      </c>
      <c r="K227" s="674">
        <f t="shared" si="384"/>
        <v>0</v>
      </c>
      <c r="L227" s="674">
        <f t="shared" si="385"/>
        <v>0</v>
      </c>
      <c r="M227" s="674">
        <f t="shared" si="386"/>
        <v>0</v>
      </c>
      <c r="N227" s="674">
        <f t="shared" si="387"/>
        <v>0</v>
      </c>
      <c r="O227" s="674">
        <f t="shared" si="388"/>
        <v>0</v>
      </c>
      <c r="P227" s="605">
        <f>AVERAGE(D227:O227)</f>
        <v>0</v>
      </c>
      <c r="Q227" s="606" t="e">
        <f>SUM(P227-C227)/C227</f>
        <v>#DIV/0!</v>
      </c>
      <c r="U227" s="920"/>
    </row>
    <row r="228" spans="1:21" ht="25.5" hidden="1" customHeight="1">
      <c r="A228" s="672" t="s">
        <v>84</v>
      </c>
      <c r="B228" s="661"/>
      <c r="C228" s="675"/>
      <c r="D228" s="676"/>
      <c r="E228" s="665"/>
      <c r="F228" s="665"/>
      <c r="G228" s="665">
        <f t="shared" si="390"/>
        <v>0</v>
      </c>
      <c r="H228" s="665">
        <f t="shared" si="381"/>
        <v>0</v>
      </c>
      <c r="I228" s="677">
        <f t="shared" si="382"/>
        <v>0</v>
      </c>
      <c r="J228" s="677">
        <f t="shared" si="383"/>
        <v>0</v>
      </c>
      <c r="K228" s="665">
        <f t="shared" si="384"/>
        <v>0</v>
      </c>
      <c r="L228" s="665">
        <f t="shared" si="385"/>
        <v>0</v>
      </c>
      <c r="M228" s="665">
        <f t="shared" si="386"/>
        <v>0</v>
      </c>
      <c r="N228" s="665">
        <f t="shared" si="387"/>
        <v>0</v>
      </c>
      <c r="O228" s="666">
        <f t="shared" si="388"/>
        <v>0</v>
      </c>
      <c r="P228" s="604"/>
      <c r="Q228" s="600"/>
      <c r="U228" s="920"/>
    </row>
    <row r="229" spans="1:21" ht="25.5" customHeight="1" thickBot="1">
      <c r="A229" s="718" t="s">
        <v>18</v>
      </c>
      <c r="B229" s="719"/>
      <c r="C229" s="720"/>
      <c r="D229" s="721"/>
      <c r="E229" s="722"/>
      <c r="F229" s="722"/>
      <c r="G229" s="722"/>
      <c r="H229" s="722"/>
      <c r="I229" s="722"/>
      <c r="J229" s="722"/>
      <c r="K229" s="722"/>
      <c r="L229" s="722"/>
      <c r="M229" s="722"/>
      <c r="N229" s="722"/>
      <c r="O229" s="723"/>
      <c r="P229" s="720"/>
      <c r="Q229" s="724"/>
      <c r="U229" s="921"/>
    </row>
    <row r="230" spans="1:21" ht="25.5" customHeight="1" thickBot="1">
      <c r="A230" s="693" t="s">
        <v>29</v>
      </c>
      <c r="B230" s="725"/>
      <c r="C230" s="726"/>
      <c r="D230" s="727"/>
      <c r="E230" s="728"/>
      <c r="F230" s="728"/>
      <c r="G230" s="728"/>
      <c r="H230" s="728"/>
      <c r="I230" s="728"/>
      <c r="J230" s="728"/>
      <c r="K230" s="728"/>
      <c r="L230" s="728"/>
      <c r="M230" s="728"/>
      <c r="N230" s="728"/>
      <c r="O230" s="729"/>
      <c r="P230" s="726"/>
      <c r="Q230" s="730"/>
      <c r="U230" s="910"/>
    </row>
    <row r="231" spans="1:21" ht="25.5" customHeight="1">
      <c r="A231" s="615" t="s">
        <v>19</v>
      </c>
      <c r="B231" s="607"/>
      <c r="C231" s="608"/>
      <c r="D231" s="681">
        <f>+'M.Yağ Alış Fiyat'!$G$2</f>
        <v>0</v>
      </c>
      <c r="E231" s="682">
        <f>+'M.Yağ Alış Fiyat'!$G$2</f>
        <v>0</v>
      </c>
      <c r="F231" s="683">
        <f>+'M.Yağ Alış Fiyat'!$G$2</f>
        <v>0</v>
      </c>
      <c r="G231" s="683">
        <f t="shared" ref="G231:G232" si="391">+F231*$R$2</f>
        <v>0</v>
      </c>
      <c r="H231" s="683">
        <f t="shared" ref="H231:H232" si="392">+F231*$R$2</f>
        <v>0</v>
      </c>
      <c r="I231" s="683">
        <f t="shared" ref="I231:I232" si="393">+F231*$R$2</f>
        <v>0</v>
      </c>
      <c r="J231" s="683">
        <f t="shared" ref="J231:J232" si="394">+I231*$S$2</f>
        <v>0</v>
      </c>
      <c r="K231" s="683">
        <f t="shared" ref="K231:K232" si="395">+I231*$S$2</f>
        <v>0</v>
      </c>
      <c r="L231" s="683">
        <f t="shared" ref="L231:L232" si="396">+I231*$S$2</f>
        <v>0</v>
      </c>
      <c r="M231" s="683">
        <f t="shared" ref="M231:M232" si="397">+L231*$T$2</f>
        <v>0</v>
      </c>
      <c r="N231" s="683">
        <f t="shared" ref="N231:N232" si="398">+L231*$T$2</f>
        <v>0</v>
      </c>
      <c r="O231" s="684">
        <f t="shared" ref="O231:O232" si="399">+L231*$T$2</f>
        <v>0</v>
      </c>
      <c r="P231" s="609">
        <f t="shared" ref="P231:P232" si="400">AVERAGE(D231:O231)</f>
        <v>0</v>
      </c>
      <c r="Q231" s="610" t="e">
        <f t="shared" ref="Q231:Q232" si="401">SUM(P231-C231)/C231</f>
        <v>#DIV/0!</v>
      </c>
      <c r="U231" s="904"/>
    </row>
    <row r="232" spans="1:21" ht="25.5" customHeight="1" thickBot="1">
      <c r="A232" s="616" t="s">
        <v>20</v>
      </c>
      <c r="B232" s="611"/>
      <c r="C232" s="612"/>
      <c r="D232" s="685">
        <f>+'M.Yağ Alış Fiyat'!$G$3</f>
        <v>0</v>
      </c>
      <c r="E232" s="685">
        <f>+'M.Yağ Alış Fiyat'!$G$3</f>
        <v>0</v>
      </c>
      <c r="F232" s="685">
        <f>+'M.Yağ Alış Fiyat'!$G$3</f>
        <v>0</v>
      </c>
      <c r="G232" s="685">
        <f t="shared" si="391"/>
        <v>0</v>
      </c>
      <c r="H232" s="685">
        <f t="shared" si="392"/>
        <v>0</v>
      </c>
      <c r="I232" s="685">
        <f t="shared" si="393"/>
        <v>0</v>
      </c>
      <c r="J232" s="685">
        <f t="shared" si="394"/>
        <v>0</v>
      </c>
      <c r="K232" s="685">
        <f t="shared" si="395"/>
        <v>0</v>
      </c>
      <c r="L232" s="685">
        <f t="shared" si="396"/>
        <v>0</v>
      </c>
      <c r="M232" s="685">
        <f t="shared" si="397"/>
        <v>0</v>
      </c>
      <c r="N232" s="685">
        <f t="shared" si="398"/>
        <v>0</v>
      </c>
      <c r="O232" s="685">
        <f t="shared" si="399"/>
        <v>0</v>
      </c>
      <c r="P232" s="613">
        <f t="shared" si="400"/>
        <v>0</v>
      </c>
      <c r="Q232" s="614" t="e">
        <f t="shared" si="401"/>
        <v>#DIV/0!</v>
      </c>
      <c r="U232" s="905"/>
    </row>
    <row r="233" spans="1:21" ht="25.5" customHeight="1" thickBot="1">
      <c r="A233" s="693" t="s">
        <v>30</v>
      </c>
      <c r="B233" s="694"/>
      <c r="C233" s="726"/>
      <c r="D233" s="727"/>
      <c r="E233" s="728"/>
      <c r="F233" s="728"/>
      <c r="G233" s="728"/>
      <c r="H233" s="728"/>
      <c r="I233" s="728"/>
      <c r="J233" s="728"/>
      <c r="K233" s="728"/>
      <c r="L233" s="728"/>
      <c r="M233" s="728"/>
      <c r="N233" s="728"/>
      <c r="O233" s="729"/>
      <c r="P233" s="726"/>
      <c r="Q233" s="730"/>
      <c r="U233" s="910"/>
    </row>
    <row r="234" spans="1:21" ht="25.5" customHeight="1">
      <c r="A234" s="615" t="s">
        <v>106</v>
      </c>
      <c r="B234" s="607"/>
      <c r="C234" s="608"/>
      <c r="D234" s="687">
        <f>D18</f>
        <v>0</v>
      </c>
      <c r="E234" s="687">
        <f t="shared" ref="E234:O234" si="402">E18</f>
        <v>0</v>
      </c>
      <c r="F234" s="687">
        <f t="shared" si="402"/>
        <v>0</v>
      </c>
      <c r="G234" s="687">
        <f t="shared" si="402"/>
        <v>0</v>
      </c>
      <c r="H234" s="687">
        <f t="shared" si="402"/>
        <v>0</v>
      </c>
      <c r="I234" s="687">
        <f t="shared" si="402"/>
        <v>0</v>
      </c>
      <c r="J234" s="687">
        <f t="shared" si="402"/>
        <v>0</v>
      </c>
      <c r="K234" s="687">
        <f t="shared" si="402"/>
        <v>0</v>
      </c>
      <c r="L234" s="687">
        <f t="shared" si="402"/>
        <v>0</v>
      </c>
      <c r="M234" s="687">
        <f t="shared" si="402"/>
        <v>0</v>
      </c>
      <c r="N234" s="687">
        <f t="shared" si="402"/>
        <v>0</v>
      </c>
      <c r="O234" s="687">
        <f t="shared" si="402"/>
        <v>0</v>
      </c>
      <c r="P234" s="609">
        <f t="shared" ref="P234:P235" si="403">AVERAGE(D234:O234)</f>
        <v>0</v>
      </c>
      <c r="Q234" s="610" t="e">
        <f t="shared" ref="Q234:Q235" si="404">SUM(P234-C234)/C234</f>
        <v>#DIV/0!</v>
      </c>
      <c r="U234" s="904"/>
    </row>
    <row r="235" spans="1:21" ht="25.5" customHeight="1" thickBot="1">
      <c r="A235" s="616" t="s">
        <v>105</v>
      </c>
      <c r="B235" s="617"/>
      <c r="C235" s="618"/>
      <c r="D235" s="688">
        <f>D19</f>
        <v>0</v>
      </c>
      <c r="E235" s="688">
        <f t="shared" ref="E235:O235" si="405">E19</f>
        <v>0</v>
      </c>
      <c r="F235" s="688">
        <f t="shared" si="405"/>
        <v>0</v>
      </c>
      <c r="G235" s="688">
        <f t="shared" si="405"/>
        <v>0</v>
      </c>
      <c r="H235" s="688">
        <f t="shared" si="405"/>
        <v>0</v>
      </c>
      <c r="I235" s="688">
        <f t="shared" si="405"/>
        <v>0</v>
      </c>
      <c r="J235" s="688">
        <f t="shared" si="405"/>
        <v>0</v>
      </c>
      <c r="K235" s="688">
        <f t="shared" si="405"/>
        <v>0</v>
      </c>
      <c r="L235" s="688">
        <f t="shared" si="405"/>
        <v>0</v>
      </c>
      <c r="M235" s="688">
        <f t="shared" si="405"/>
        <v>0</v>
      </c>
      <c r="N235" s="688">
        <f t="shared" si="405"/>
        <v>0</v>
      </c>
      <c r="O235" s="688">
        <f t="shared" si="405"/>
        <v>0</v>
      </c>
      <c r="P235" s="619">
        <f t="shared" si="403"/>
        <v>0</v>
      </c>
      <c r="Q235" s="620" t="e">
        <f t="shared" si="404"/>
        <v>#DIV/0!</v>
      </c>
      <c r="U235" s="906"/>
    </row>
    <row r="236" spans="1:21" ht="25.5" customHeight="1" thickBot="1">
      <c r="B236" s="601"/>
      <c r="C236" s="621"/>
      <c r="D236" s="689"/>
      <c r="E236" s="689"/>
      <c r="F236" s="689"/>
      <c r="G236" s="689"/>
      <c r="H236" s="689"/>
      <c r="I236" s="689"/>
      <c r="J236" s="689"/>
      <c r="K236" s="689"/>
      <c r="L236" s="689"/>
      <c r="M236" s="689"/>
      <c r="N236" s="689"/>
      <c r="O236" s="689"/>
      <c r="P236" s="622"/>
      <c r="Q236" s="623"/>
      <c r="U236" s="907"/>
    </row>
    <row r="237" spans="1:21" ht="25.5" customHeight="1" thickBot="1">
      <c r="A237" s="693" t="s">
        <v>86</v>
      </c>
      <c r="B237" s="694"/>
      <c r="C237" s="695"/>
      <c r="D237" s="696">
        <v>14.451305</v>
      </c>
      <c r="E237" s="696">
        <v>14.451305</v>
      </c>
      <c r="F237" s="696">
        <v>14.451305</v>
      </c>
      <c r="G237" s="696">
        <f>+F237*$R$2</f>
        <v>16.474487699999997</v>
      </c>
      <c r="H237" s="696">
        <f t="shared" ref="H237" si="406">+F237*$R$2</f>
        <v>16.474487699999997</v>
      </c>
      <c r="I237" s="696">
        <f t="shared" ref="I237" si="407">+F237*$R$2</f>
        <v>16.474487699999997</v>
      </c>
      <c r="J237" s="696">
        <f t="shared" ref="J237" si="408">+I237*$S$2</f>
        <v>18.945660854999996</v>
      </c>
      <c r="K237" s="696">
        <f t="shared" ref="K237" si="409">+I237*$S$2</f>
        <v>18.945660854999996</v>
      </c>
      <c r="L237" s="696">
        <f t="shared" ref="L237" si="410">+I237*$S$2</f>
        <v>18.945660854999996</v>
      </c>
      <c r="M237" s="696">
        <f t="shared" ref="M237" si="411">+L237*$T$2</f>
        <v>21.976966591799993</v>
      </c>
      <c r="N237" s="696">
        <f t="shared" ref="N237" si="412">+L237*$T$2</f>
        <v>21.976966591799993</v>
      </c>
      <c r="O237" s="696">
        <f t="shared" ref="O237" si="413">+L237*$T$2</f>
        <v>21.976966591799993</v>
      </c>
      <c r="P237" s="2270">
        <f>AVERAGE(D237:O237)</f>
        <v>17.962105036699999</v>
      </c>
      <c r="Q237" s="699" t="e">
        <f>SUM(P237-C237)/C237</f>
        <v>#DIV/0!</v>
      </c>
      <c r="U237" s="911"/>
    </row>
    <row r="238" spans="1:21" ht="25.5" customHeight="1" thickBot="1">
      <c r="A238" s="624"/>
      <c r="B238" s="625"/>
      <c r="C238" s="626"/>
      <c r="D238" s="690"/>
      <c r="E238" s="690"/>
      <c r="F238" s="690"/>
      <c r="G238" s="690"/>
      <c r="H238" s="690"/>
      <c r="I238" s="690"/>
      <c r="J238" s="690"/>
      <c r="K238" s="690"/>
      <c r="L238" s="690"/>
      <c r="M238" s="690"/>
      <c r="N238" s="690"/>
      <c r="O238" s="690"/>
      <c r="P238" s="626"/>
      <c r="Q238" s="627"/>
    </row>
    <row r="239" spans="1:21" ht="25.5" customHeight="1" thickBot="1">
      <c r="A239" s="693" t="s">
        <v>31</v>
      </c>
      <c r="B239" s="694"/>
      <c r="C239" s="695"/>
      <c r="D239" s="696"/>
      <c r="E239" s="697"/>
      <c r="F239" s="697"/>
      <c r="G239" s="697"/>
      <c r="H239" s="697"/>
      <c r="I239" s="697"/>
      <c r="J239" s="697"/>
      <c r="K239" s="697"/>
      <c r="L239" s="697"/>
      <c r="M239" s="697"/>
      <c r="N239" s="697"/>
      <c r="O239" s="698"/>
      <c r="P239" s="695"/>
      <c r="Q239" s="699"/>
    </row>
    <row r="241" spans="1:21" ht="16.2" thickBot="1"/>
    <row r="242" spans="1:21" ht="32.1" customHeight="1" thickBot="1">
      <c r="A242" s="649"/>
      <c r="B242" s="2390"/>
      <c r="C242" s="2392" t="s">
        <v>695</v>
      </c>
      <c r="D242" s="2394" t="s">
        <v>488</v>
      </c>
      <c r="E242" s="2395"/>
      <c r="F242" s="2395"/>
      <c r="G242" s="2395"/>
      <c r="H242" s="2395"/>
      <c r="I242" s="2395"/>
      <c r="J242" s="2395"/>
      <c r="K242" s="2395"/>
      <c r="L242" s="2395"/>
      <c r="M242" s="2395"/>
      <c r="N242" s="2395"/>
      <c r="O242" s="2395"/>
      <c r="P242" s="2396"/>
      <c r="Q242" s="937" t="s">
        <v>605</v>
      </c>
    </row>
    <row r="243" spans="1:21" ht="32.1" customHeight="1" thickBot="1">
      <c r="A243" s="650"/>
      <c r="B243" s="2391"/>
      <c r="C243" s="2393"/>
      <c r="D243" s="678" t="s">
        <v>1</v>
      </c>
      <c r="E243" s="679" t="s">
        <v>2</v>
      </c>
      <c r="F243" s="679" t="s">
        <v>3</v>
      </c>
      <c r="G243" s="679" t="s">
        <v>4</v>
      </c>
      <c r="H243" s="679" t="s">
        <v>5</v>
      </c>
      <c r="I243" s="679" t="s">
        <v>6</v>
      </c>
      <c r="J243" s="679" t="s">
        <v>7</v>
      </c>
      <c r="K243" s="679" t="s">
        <v>8</v>
      </c>
      <c r="L243" s="679" t="s">
        <v>9</v>
      </c>
      <c r="M243" s="679" t="s">
        <v>10</v>
      </c>
      <c r="N243" s="679" t="s">
        <v>11</v>
      </c>
      <c r="O243" s="680" t="s">
        <v>12</v>
      </c>
      <c r="P243" s="651" t="s">
        <v>281</v>
      </c>
      <c r="Q243" s="941" t="s">
        <v>693</v>
      </c>
      <c r="R243" s="913" t="s">
        <v>509</v>
      </c>
      <c r="S243" s="913" t="s">
        <v>150</v>
      </c>
      <c r="T243" s="913" t="s">
        <v>151</v>
      </c>
    </row>
    <row r="244" spans="1:21" ht="25.5" customHeight="1" thickBot="1">
      <c r="A244" s="693" t="s">
        <v>28</v>
      </c>
      <c r="B244" s="694"/>
      <c r="C244" s="695"/>
      <c r="D244" s="696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8"/>
      <c r="P244" s="695"/>
      <c r="Q244" s="699"/>
      <c r="R244" s="1795" t="s">
        <v>159</v>
      </c>
      <c r="S244" s="914"/>
      <c r="T244" s="914" t="s">
        <v>320</v>
      </c>
      <c r="U244" s="914" t="s">
        <v>495</v>
      </c>
    </row>
    <row r="245" spans="1:21" ht="25.5" customHeight="1">
      <c r="A245" s="654" t="s">
        <v>15</v>
      </c>
      <c r="B245" s="655"/>
      <c r="C245" s="656"/>
      <c r="D245" s="657">
        <f>'Alış Fiyat'!D245*1.026</f>
        <v>0</v>
      </c>
      <c r="E245" s="657">
        <f>'Alış Fiyat'!E245*1.026</f>
        <v>0</v>
      </c>
      <c r="F245" s="657">
        <f>'Alış Fiyat'!F245*1.026</f>
        <v>0</v>
      </c>
      <c r="G245" s="657">
        <f>+F245*$R$2</f>
        <v>0</v>
      </c>
      <c r="H245" s="657">
        <f t="shared" ref="H245:H246" si="414">+F245*$R$2</f>
        <v>0</v>
      </c>
      <c r="I245" s="657">
        <f t="shared" ref="I245:I246" si="415">+F245*$R$2</f>
        <v>0</v>
      </c>
      <c r="J245" s="657">
        <f t="shared" ref="J245:J246" si="416">+I245*$S$2</f>
        <v>0</v>
      </c>
      <c r="K245" s="657">
        <f t="shared" ref="K245:K246" si="417">+I245*$S$2</f>
        <v>0</v>
      </c>
      <c r="L245" s="657">
        <f t="shared" ref="L245:L246" si="418">+I245*$S$2</f>
        <v>0</v>
      </c>
      <c r="M245" s="657">
        <f t="shared" ref="M245:M246" si="419">+L245*$T$2</f>
        <v>0</v>
      </c>
      <c r="N245" s="657">
        <f t="shared" ref="N245:N246" si="420">+L245*$T$2</f>
        <v>0</v>
      </c>
      <c r="O245" s="657">
        <f t="shared" ref="O245:O246" si="421">+L245*$T$2</f>
        <v>0</v>
      </c>
      <c r="P245" s="658">
        <f>AVERAGE(D245:O245)</f>
        <v>0</v>
      </c>
      <c r="Q245" s="659" t="e">
        <f>SUM(P245-C245)/C245</f>
        <v>#DIV/0!</v>
      </c>
      <c r="U245" s="915"/>
    </row>
    <row r="246" spans="1:21" ht="25.5" hidden="1" customHeight="1">
      <c r="A246" s="660" t="s">
        <v>16</v>
      </c>
      <c r="B246" s="661"/>
      <c r="C246" s="662"/>
      <c r="D246" s="663"/>
      <c r="E246" s="663"/>
      <c r="F246" s="663"/>
      <c r="G246" s="663">
        <f>+F246*$R$2</f>
        <v>0</v>
      </c>
      <c r="H246" s="663">
        <f t="shared" si="414"/>
        <v>0</v>
      </c>
      <c r="I246" s="663">
        <f t="shared" si="415"/>
        <v>0</v>
      </c>
      <c r="J246" s="663">
        <f t="shared" si="416"/>
        <v>0</v>
      </c>
      <c r="K246" s="663">
        <f t="shared" si="417"/>
        <v>0</v>
      </c>
      <c r="L246" s="663">
        <f t="shared" si="418"/>
        <v>0</v>
      </c>
      <c r="M246" s="663">
        <f t="shared" si="419"/>
        <v>0</v>
      </c>
      <c r="N246" s="663">
        <f t="shared" si="420"/>
        <v>0</v>
      </c>
      <c r="O246" s="663">
        <f t="shared" si="421"/>
        <v>0</v>
      </c>
      <c r="P246" s="604"/>
      <c r="Q246" s="600"/>
      <c r="U246" s="916"/>
    </row>
    <row r="247" spans="1:21" ht="25.5" customHeight="1">
      <c r="A247" s="701" t="s">
        <v>27</v>
      </c>
      <c r="B247" s="702"/>
      <c r="C247" s="703"/>
      <c r="D247" s="704"/>
      <c r="E247" s="704"/>
      <c r="F247" s="704"/>
      <c r="G247" s="704"/>
      <c r="H247" s="704"/>
      <c r="I247" s="704"/>
      <c r="J247" s="704"/>
      <c r="K247" s="704"/>
      <c r="L247" s="704"/>
      <c r="M247" s="704"/>
      <c r="N247" s="704"/>
      <c r="O247" s="704"/>
      <c r="P247" s="707"/>
      <c r="Q247" s="708"/>
      <c r="U247" s="917"/>
    </row>
    <row r="248" spans="1:21" ht="25.5" customHeight="1">
      <c r="A248" s="710" t="s">
        <v>17</v>
      </c>
      <c r="B248" s="711"/>
      <c r="C248" s="712"/>
      <c r="D248" s="713"/>
      <c r="E248" s="713"/>
      <c r="F248" s="713"/>
      <c r="G248" s="713">
        <f>+F248*$R$2</f>
        <v>0</v>
      </c>
      <c r="H248" s="713">
        <f t="shared" ref="H248:H252" si="422">+F248*$R$2</f>
        <v>0</v>
      </c>
      <c r="I248" s="713">
        <f t="shared" ref="I248:I252" si="423">+F248*$R$2</f>
        <v>0</v>
      </c>
      <c r="J248" s="713">
        <f t="shared" ref="J248:J252" si="424">+I248*$S$2</f>
        <v>0</v>
      </c>
      <c r="K248" s="713">
        <f t="shared" ref="K248:K252" si="425">+I248*$S$2</f>
        <v>0</v>
      </c>
      <c r="L248" s="713">
        <f t="shared" ref="L248:L252" si="426">+I248*$S$2</f>
        <v>0</v>
      </c>
      <c r="M248" s="713">
        <f t="shared" ref="M248:M252" si="427">+L248*$T$2</f>
        <v>0</v>
      </c>
      <c r="N248" s="713">
        <f t="shared" ref="N248:N252" si="428">+L248*$T$2</f>
        <v>0</v>
      </c>
      <c r="O248" s="713">
        <f t="shared" ref="O248:O252" si="429">+L248*$T$2</f>
        <v>0</v>
      </c>
      <c r="P248" s="716">
        <f>AVERAGE(D248:O248)</f>
        <v>0</v>
      </c>
      <c r="Q248" s="717"/>
      <c r="U248" s="918"/>
    </row>
    <row r="249" spans="1:21" ht="25.5" customHeight="1">
      <c r="A249" s="670" t="s">
        <v>81</v>
      </c>
      <c r="B249" s="602"/>
      <c r="C249" s="656"/>
      <c r="D249" s="657">
        <f>'Alış Fiyat'!D249*1.026</f>
        <v>0</v>
      </c>
      <c r="E249" s="657">
        <f>'Alış Fiyat'!E249*1.026</f>
        <v>0</v>
      </c>
      <c r="F249" s="657">
        <f>'Alış Fiyat'!F249*1.026</f>
        <v>0</v>
      </c>
      <c r="G249" s="671">
        <f>'Alış Fiyat'!G249*1.026</f>
        <v>21.016782098047234</v>
      </c>
      <c r="H249" s="671">
        <f>'Alış Fiyat'!H249*1.026</f>
        <v>21.401708791518182</v>
      </c>
      <c r="I249" s="671">
        <f>'Alış Fiyat'!I249*1.026</f>
        <v>22.282103063436651</v>
      </c>
      <c r="J249" s="671">
        <f>'Alış Fiyat'!J249*1.026</f>
        <v>23.267530335359503</v>
      </c>
      <c r="K249" s="671">
        <f>'Alış Fiyat'!K249*1.026</f>
        <v>23.808484099063001</v>
      </c>
      <c r="L249" s="671">
        <f>'Alış Fiyat'!L249*1.026</f>
        <v>23.625749105721408</v>
      </c>
      <c r="M249" s="671">
        <f>'Alış Fiyat'!M249*1.026</f>
        <v>24.308953714158466</v>
      </c>
      <c r="N249" s="671">
        <f>'Alış Fiyat'!N249*1.026</f>
        <v>23.596355627346075</v>
      </c>
      <c r="O249" s="671">
        <f>'Alış Fiyat'!O249*1.026</f>
        <v>24.102490526570396</v>
      </c>
      <c r="P249" s="605">
        <f>AVERAGE(D249:O249)</f>
        <v>17.284179780101741</v>
      </c>
      <c r="Q249" s="606" t="e">
        <f>SUM(P249-C249)/C249</f>
        <v>#DIV/0!</v>
      </c>
      <c r="U249" s="919"/>
    </row>
    <row r="250" spans="1:21" ht="25.5" hidden="1" customHeight="1">
      <c r="A250" s="672" t="s">
        <v>82</v>
      </c>
      <c r="B250" s="603"/>
      <c r="C250" s="662"/>
      <c r="D250" s="667"/>
      <c r="E250" s="667"/>
      <c r="F250" s="667"/>
      <c r="G250" s="667">
        <f>+F250*$R$2</f>
        <v>0</v>
      </c>
      <c r="H250" s="667">
        <f t="shared" si="422"/>
        <v>0</v>
      </c>
      <c r="I250" s="667">
        <f t="shared" si="423"/>
        <v>0</v>
      </c>
      <c r="J250" s="667">
        <f t="shared" si="424"/>
        <v>0</v>
      </c>
      <c r="K250" s="667">
        <f t="shared" si="425"/>
        <v>0</v>
      </c>
      <c r="L250" s="667">
        <f t="shared" si="426"/>
        <v>0</v>
      </c>
      <c r="M250" s="667">
        <f t="shared" si="427"/>
        <v>0</v>
      </c>
      <c r="N250" s="667">
        <f t="shared" si="428"/>
        <v>0</v>
      </c>
      <c r="O250" s="667">
        <f t="shared" si="429"/>
        <v>0</v>
      </c>
      <c r="P250" s="604"/>
      <c r="Q250" s="600"/>
      <c r="U250" s="920"/>
    </row>
    <row r="251" spans="1:21" ht="25.5" customHeight="1">
      <c r="A251" s="670" t="s">
        <v>83</v>
      </c>
      <c r="B251" s="673"/>
      <c r="C251" s="656"/>
      <c r="D251" s="674">
        <f>+D249</f>
        <v>0</v>
      </c>
      <c r="E251" s="674">
        <f t="shared" ref="E251:F251" si="430">+E249</f>
        <v>0</v>
      </c>
      <c r="F251" s="674">
        <f t="shared" si="430"/>
        <v>0</v>
      </c>
      <c r="G251" s="674">
        <f t="shared" ref="G251:G252" si="431">+F251*$R$2</f>
        <v>0</v>
      </c>
      <c r="H251" s="674">
        <f t="shared" si="422"/>
        <v>0</v>
      </c>
      <c r="I251" s="674">
        <f t="shared" si="423"/>
        <v>0</v>
      </c>
      <c r="J251" s="674">
        <f t="shared" si="424"/>
        <v>0</v>
      </c>
      <c r="K251" s="674">
        <f t="shared" si="425"/>
        <v>0</v>
      </c>
      <c r="L251" s="674">
        <f t="shared" si="426"/>
        <v>0</v>
      </c>
      <c r="M251" s="674">
        <f t="shared" si="427"/>
        <v>0</v>
      </c>
      <c r="N251" s="674">
        <f t="shared" si="428"/>
        <v>0</v>
      </c>
      <c r="O251" s="674">
        <f t="shared" si="429"/>
        <v>0</v>
      </c>
      <c r="P251" s="605">
        <f>AVERAGE(D251:O251)</f>
        <v>0</v>
      </c>
      <c r="Q251" s="606" t="e">
        <f>SUM(P251-C251)/C251</f>
        <v>#DIV/0!</v>
      </c>
      <c r="U251" s="920"/>
    </row>
    <row r="252" spans="1:21" ht="25.5" hidden="1" customHeight="1">
      <c r="A252" s="672" t="s">
        <v>84</v>
      </c>
      <c r="B252" s="661"/>
      <c r="C252" s="675"/>
      <c r="D252" s="676"/>
      <c r="E252" s="676"/>
      <c r="F252" s="676"/>
      <c r="G252" s="676">
        <f t="shared" si="431"/>
        <v>0</v>
      </c>
      <c r="H252" s="676">
        <f t="shared" si="422"/>
        <v>0</v>
      </c>
      <c r="I252" s="676">
        <f t="shared" si="423"/>
        <v>0</v>
      </c>
      <c r="J252" s="676">
        <f t="shared" si="424"/>
        <v>0</v>
      </c>
      <c r="K252" s="676">
        <f t="shared" si="425"/>
        <v>0</v>
      </c>
      <c r="L252" s="676">
        <f t="shared" si="426"/>
        <v>0</v>
      </c>
      <c r="M252" s="676">
        <f t="shared" si="427"/>
        <v>0</v>
      </c>
      <c r="N252" s="676">
        <f t="shared" si="428"/>
        <v>0</v>
      </c>
      <c r="O252" s="676">
        <f t="shared" si="429"/>
        <v>0</v>
      </c>
      <c r="P252" s="604"/>
      <c r="Q252" s="600"/>
      <c r="U252" s="920"/>
    </row>
    <row r="253" spans="1:21" ht="25.5" customHeight="1" thickBot="1">
      <c r="A253" s="718" t="s">
        <v>18</v>
      </c>
      <c r="B253" s="719"/>
      <c r="C253" s="720"/>
      <c r="D253" s="721"/>
      <c r="E253" s="721"/>
      <c r="F253" s="721"/>
      <c r="G253" s="721"/>
      <c r="H253" s="721"/>
      <c r="I253" s="721"/>
      <c r="J253" s="721"/>
      <c r="K253" s="721"/>
      <c r="L253" s="721"/>
      <c r="M253" s="721"/>
      <c r="N253" s="721"/>
      <c r="O253" s="721"/>
      <c r="P253" s="720"/>
      <c r="Q253" s="724"/>
      <c r="U253" s="921"/>
    </row>
    <row r="254" spans="1:21" ht="25.5" customHeight="1" thickBot="1">
      <c r="A254" s="693" t="s">
        <v>29</v>
      </c>
      <c r="B254" s="725"/>
      <c r="C254" s="726"/>
      <c r="D254" s="727"/>
      <c r="E254" s="728"/>
      <c r="F254" s="728"/>
      <c r="G254" s="728"/>
      <c r="H254" s="728"/>
      <c r="I254" s="728"/>
      <c r="J254" s="728"/>
      <c r="K254" s="728"/>
      <c r="L254" s="728"/>
      <c r="M254" s="728"/>
      <c r="N254" s="728"/>
      <c r="O254" s="729"/>
      <c r="P254" s="726"/>
      <c r="Q254" s="730"/>
      <c r="U254" s="910"/>
    </row>
    <row r="255" spans="1:21" ht="25.5" customHeight="1">
      <c r="A255" s="615" t="s">
        <v>19</v>
      </c>
      <c r="B255" s="607"/>
      <c r="C255" s="608"/>
      <c r="D255" s="681">
        <f>+'M.Yağ Alış Fiyat'!$G$2</f>
        <v>0</v>
      </c>
      <c r="E255" s="682">
        <f>+'M.Yağ Alış Fiyat'!$G$2</f>
        <v>0</v>
      </c>
      <c r="F255" s="683">
        <f>+'M.Yağ Alış Fiyat'!$G$2</f>
        <v>0</v>
      </c>
      <c r="G255" s="683">
        <f t="shared" ref="G255:G256" si="432">+F255*$R$2</f>
        <v>0</v>
      </c>
      <c r="H255" s="683">
        <f t="shared" ref="H255:H256" si="433">+F255*$R$2</f>
        <v>0</v>
      </c>
      <c r="I255" s="683">
        <f t="shared" ref="I255:I256" si="434">+F255*$R$2</f>
        <v>0</v>
      </c>
      <c r="J255" s="683">
        <f t="shared" ref="J255:J256" si="435">+I255*$S$2</f>
        <v>0</v>
      </c>
      <c r="K255" s="683">
        <f t="shared" ref="K255:K256" si="436">+I255*$S$2</f>
        <v>0</v>
      </c>
      <c r="L255" s="683">
        <f t="shared" ref="L255:L256" si="437">+I255*$S$2</f>
        <v>0</v>
      </c>
      <c r="M255" s="683">
        <f t="shared" ref="M255:M256" si="438">+L255*$T$2</f>
        <v>0</v>
      </c>
      <c r="N255" s="683">
        <f t="shared" ref="N255:N256" si="439">+L255*$T$2</f>
        <v>0</v>
      </c>
      <c r="O255" s="684">
        <f t="shared" ref="O255:O256" si="440">+L255*$T$2</f>
        <v>0</v>
      </c>
      <c r="P255" s="609">
        <f t="shared" ref="P255:P256" si="441">AVERAGE(D255:O255)</f>
        <v>0</v>
      </c>
      <c r="Q255" s="610" t="e">
        <f t="shared" ref="Q255:Q256" si="442">SUM(P255-C255)/C255</f>
        <v>#DIV/0!</v>
      </c>
      <c r="U255" s="904"/>
    </row>
    <row r="256" spans="1:21" ht="25.5" customHeight="1" thickBot="1">
      <c r="A256" s="616" t="s">
        <v>20</v>
      </c>
      <c r="B256" s="611"/>
      <c r="C256" s="612"/>
      <c r="D256" s="685">
        <f>+'M.Yağ Alış Fiyat'!$G$3</f>
        <v>0</v>
      </c>
      <c r="E256" s="685">
        <f>+'M.Yağ Alış Fiyat'!$G$3</f>
        <v>0</v>
      </c>
      <c r="F256" s="685">
        <f>+'M.Yağ Alış Fiyat'!$G$3</f>
        <v>0</v>
      </c>
      <c r="G256" s="685">
        <f t="shared" si="432"/>
        <v>0</v>
      </c>
      <c r="H256" s="685">
        <f t="shared" si="433"/>
        <v>0</v>
      </c>
      <c r="I256" s="685">
        <f t="shared" si="434"/>
        <v>0</v>
      </c>
      <c r="J256" s="685">
        <f t="shared" si="435"/>
        <v>0</v>
      </c>
      <c r="K256" s="685">
        <f t="shared" si="436"/>
        <v>0</v>
      </c>
      <c r="L256" s="685">
        <f t="shared" si="437"/>
        <v>0</v>
      </c>
      <c r="M256" s="685">
        <f t="shared" si="438"/>
        <v>0</v>
      </c>
      <c r="N256" s="685">
        <f t="shared" si="439"/>
        <v>0</v>
      </c>
      <c r="O256" s="685">
        <f t="shared" si="440"/>
        <v>0</v>
      </c>
      <c r="P256" s="613">
        <f t="shared" si="441"/>
        <v>0</v>
      </c>
      <c r="Q256" s="614" t="e">
        <f t="shared" si="442"/>
        <v>#DIV/0!</v>
      </c>
      <c r="U256" s="905"/>
    </row>
    <row r="257" spans="1:21" ht="25.5" customHeight="1" thickBot="1">
      <c r="A257" s="693" t="s">
        <v>30</v>
      </c>
      <c r="B257" s="694"/>
      <c r="C257" s="726"/>
      <c r="D257" s="727"/>
      <c r="E257" s="728"/>
      <c r="F257" s="728"/>
      <c r="G257" s="728"/>
      <c r="H257" s="728"/>
      <c r="I257" s="728"/>
      <c r="J257" s="728"/>
      <c r="K257" s="728"/>
      <c r="L257" s="728"/>
      <c r="M257" s="728"/>
      <c r="N257" s="728"/>
      <c r="O257" s="729"/>
      <c r="P257" s="726"/>
      <c r="Q257" s="730"/>
      <c r="U257" s="910"/>
    </row>
    <row r="258" spans="1:21" ht="25.5" customHeight="1">
      <c r="A258" s="615" t="s">
        <v>106</v>
      </c>
      <c r="B258" s="607"/>
      <c r="C258" s="608"/>
      <c r="D258" s="687">
        <f>D18</f>
        <v>0</v>
      </c>
      <c r="E258" s="687">
        <f t="shared" ref="E258:O258" si="443">E18</f>
        <v>0</v>
      </c>
      <c r="F258" s="687">
        <f t="shared" si="443"/>
        <v>0</v>
      </c>
      <c r="G258" s="687">
        <f t="shared" si="443"/>
        <v>0</v>
      </c>
      <c r="H258" s="687">
        <f t="shared" si="443"/>
        <v>0</v>
      </c>
      <c r="I258" s="687">
        <f t="shared" si="443"/>
        <v>0</v>
      </c>
      <c r="J258" s="687">
        <f t="shared" si="443"/>
        <v>0</v>
      </c>
      <c r="K258" s="687">
        <f t="shared" si="443"/>
        <v>0</v>
      </c>
      <c r="L258" s="687">
        <f t="shared" si="443"/>
        <v>0</v>
      </c>
      <c r="M258" s="687">
        <f t="shared" si="443"/>
        <v>0</v>
      </c>
      <c r="N258" s="687">
        <f t="shared" si="443"/>
        <v>0</v>
      </c>
      <c r="O258" s="687">
        <f t="shared" si="443"/>
        <v>0</v>
      </c>
      <c r="P258" s="609">
        <f t="shared" ref="P258:P259" si="444">AVERAGE(D258:O258)</f>
        <v>0</v>
      </c>
      <c r="Q258" s="610" t="e">
        <f t="shared" ref="Q258:Q259" si="445">SUM(P258-C258)/C258</f>
        <v>#DIV/0!</v>
      </c>
      <c r="U258" s="904"/>
    </row>
    <row r="259" spans="1:21" ht="25.5" customHeight="1" thickBot="1">
      <c r="A259" s="616" t="s">
        <v>105</v>
      </c>
      <c r="B259" s="617"/>
      <c r="C259" s="618"/>
      <c r="D259" s="688">
        <f>D19</f>
        <v>0</v>
      </c>
      <c r="E259" s="688">
        <f t="shared" ref="E259:O259" si="446">E19</f>
        <v>0</v>
      </c>
      <c r="F259" s="688">
        <f t="shared" si="446"/>
        <v>0</v>
      </c>
      <c r="G259" s="688">
        <f t="shared" si="446"/>
        <v>0</v>
      </c>
      <c r="H259" s="688">
        <f t="shared" si="446"/>
        <v>0</v>
      </c>
      <c r="I259" s="688">
        <f t="shared" si="446"/>
        <v>0</v>
      </c>
      <c r="J259" s="688">
        <f t="shared" si="446"/>
        <v>0</v>
      </c>
      <c r="K259" s="688">
        <f t="shared" si="446"/>
        <v>0</v>
      </c>
      <c r="L259" s="688">
        <f t="shared" si="446"/>
        <v>0</v>
      </c>
      <c r="M259" s="688">
        <f t="shared" si="446"/>
        <v>0</v>
      </c>
      <c r="N259" s="688">
        <f t="shared" si="446"/>
        <v>0</v>
      </c>
      <c r="O259" s="688">
        <f t="shared" si="446"/>
        <v>0</v>
      </c>
      <c r="P259" s="619">
        <f t="shared" si="444"/>
        <v>0</v>
      </c>
      <c r="Q259" s="620" t="e">
        <f t="shared" si="445"/>
        <v>#DIV/0!</v>
      </c>
      <c r="U259" s="906"/>
    </row>
    <row r="260" spans="1:21" ht="25.5" customHeight="1" thickBot="1">
      <c r="B260" s="601"/>
      <c r="C260" s="621"/>
      <c r="D260" s="689"/>
      <c r="E260" s="689"/>
      <c r="F260" s="689"/>
      <c r="G260" s="689"/>
      <c r="H260" s="689"/>
      <c r="I260" s="689"/>
      <c r="J260" s="689"/>
      <c r="K260" s="689"/>
      <c r="L260" s="689"/>
      <c r="M260" s="689"/>
      <c r="N260" s="689"/>
      <c r="O260" s="689"/>
      <c r="P260" s="622"/>
      <c r="Q260" s="623"/>
      <c r="U260" s="907"/>
    </row>
    <row r="261" spans="1:21" ht="25.5" customHeight="1" thickBot="1">
      <c r="A261" s="693" t="s">
        <v>86</v>
      </c>
      <c r="B261" s="694"/>
      <c r="C261" s="695"/>
      <c r="D261" s="696">
        <v>14.451305</v>
      </c>
      <c r="E261" s="696">
        <v>14.451305</v>
      </c>
      <c r="F261" s="696">
        <v>14.451305</v>
      </c>
      <c r="G261" s="696">
        <f>+F261*$R$2</f>
        <v>16.474487699999997</v>
      </c>
      <c r="H261" s="696">
        <f t="shared" ref="H261" si="447">+F261*$R$2</f>
        <v>16.474487699999997</v>
      </c>
      <c r="I261" s="696">
        <f t="shared" ref="I261" si="448">+F261*$R$2</f>
        <v>16.474487699999997</v>
      </c>
      <c r="J261" s="696">
        <f t="shared" ref="J261" si="449">+I261*$S$2</f>
        <v>18.945660854999996</v>
      </c>
      <c r="K261" s="696">
        <f t="shared" ref="K261" si="450">+I261*$S$2</f>
        <v>18.945660854999996</v>
      </c>
      <c r="L261" s="696">
        <f t="shared" ref="L261" si="451">+I261*$S$2</f>
        <v>18.945660854999996</v>
      </c>
      <c r="M261" s="696">
        <f t="shared" ref="M261" si="452">+L261*$T$2</f>
        <v>21.976966591799993</v>
      </c>
      <c r="N261" s="696">
        <f t="shared" ref="N261" si="453">+L261*$T$2</f>
        <v>21.976966591799993</v>
      </c>
      <c r="O261" s="696">
        <f t="shared" ref="O261" si="454">+L261*$T$2</f>
        <v>21.976966591799993</v>
      </c>
      <c r="P261" s="2270">
        <f>AVERAGE(D261:O261)</f>
        <v>17.962105036699999</v>
      </c>
      <c r="Q261" s="699" t="e">
        <f>SUM(P261-C261)/C261</f>
        <v>#DIV/0!</v>
      </c>
      <c r="U261" s="911"/>
    </row>
    <row r="262" spans="1:21" ht="25.5" customHeight="1" thickBot="1">
      <c r="A262" s="624"/>
      <c r="B262" s="625"/>
      <c r="C262" s="626"/>
      <c r="D262" s="690"/>
      <c r="E262" s="690"/>
      <c r="F262" s="690"/>
      <c r="G262" s="690"/>
      <c r="H262" s="690"/>
      <c r="I262" s="690"/>
      <c r="J262" s="690"/>
      <c r="K262" s="690"/>
      <c r="L262" s="690"/>
      <c r="M262" s="690"/>
      <c r="N262" s="690"/>
      <c r="O262" s="690"/>
      <c r="P262" s="626"/>
      <c r="Q262" s="627"/>
    </row>
    <row r="263" spans="1:21" ht="25.5" customHeight="1" thickBot="1">
      <c r="A263" s="693" t="s">
        <v>31</v>
      </c>
      <c r="B263" s="694"/>
      <c r="C263" s="695"/>
      <c r="D263" s="696"/>
      <c r="E263" s="697"/>
      <c r="F263" s="697"/>
      <c r="G263" s="697"/>
      <c r="H263" s="697"/>
      <c r="I263" s="697"/>
      <c r="J263" s="697"/>
      <c r="K263" s="697"/>
      <c r="L263" s="697"/>
      <c r="M263" s="697"/>
      <c r="N263" s="697"/>
      <c r="O263" s="698"/>
      <c r="P263" s="695"/>
      <c r="Q263" s="699"/>
    </row>
    <row r="265" spans="1:21" ht="16.2" thickBot="1"/>
    <row r="266" spans="1:21" ht="32.1" customHeight="1" thickBot="1">
      <c r="A266" s="649"/>
      <c r="B266" s="2390"/>
      <c r="C266" s="2392" t="s">
        <v>695</v>
      </c>
      <c r="D266" s="2394" t="s">
        <v>102</v>
      </c>
      <c r="E266" s="2395"/>
      <c r="F266" s="2395"/>
      <c r="G266" s="2395"/>
      <c r="H266" s="2395"/>
      <c r="I266" s="2395"/>
      <c r="J266" s="2395"/>
      <c r="K266" s="2395"/>
      <c r="L266" s="2395"/>
      <c r="M266" s="2395"/>
      <c r="N266" s="2395"/>
      <c r="O266" s="2395"/>
      <c r="P266" s="2396"/>
      <c r="Q266" s="937" t="s">
        <v>605</v>
      </c>
    </row>
    <row r="267" spans="1:21" ht="32.1" customHeight="1" thickBot="1">
      <c r="A267" s="650"/>
      <c r="B267" s="2391"/>
      <c r="C267" s="2393"/>
      <c r="D267" s="678" t="s">
        <v>1</v>
      </c>
      <c r="E267" s="679" t="s">
        <v>2</v>
      </c>
      <c r="F267" s="679" t="s">
        <v>3</v>
      </c>
      <c r="G267" s="679" t="s">
        <v>4</v>
      </c>
      <c r="H267" s="679" t="s">
        <v>5</v>
      </c>
      <c r="I267" s="679" t="s">
        <v>6</v>
      </c>
      <c r="J267" s="679" t="s">
        <v>7</v>
      </c>
      <c r="K267" s="679" t="s">
        <v>8</v>
      </c>
      <c r="L267" s="679" t="s">
        <v>9</v>
      </c>
      <c r="M267" s="679" t="s">
        <v>10</v>
      </c>
      <c r="N267" s="679" t="s">
        <v>11</v>
      </c>
      <c r="O267" s="680" t="s">
        <v>12</v>
      </c>
      <c r="P267" s="651" t="s">
        <v>281</v>
      </c>
      <c r="Q267" s="941" t="s">
        <v>693</v>
      </c>
      <c r="R267" s="913" t="s">
        <v>509</v>
      </c>
      <c r="S267" s="913" t="s">
        <v>150</v>
      </c>
      <c r="T267" s="913" t="s">
        <v>151</v>
      </c>
    </row>
    <row r="268" spans="1:21" ht="25.5" customHeight="1" thickBot="1">
      <c r="A268" s="693" t="s">
        <v>28</v>
      </c>
      <c r="B268" s="694"/>
      <c r="C268" s="695"/>
      <c r="D268" s="696"/>
      <c r="E268" s="697"/>
      <c r="F268" s="697"/>
      <c r="G268" s="697"/>
      <c r="H268" s="697"/>
      <c r="I268" s="697"/>
      <c r="J268" s="697"/>
      <c r="K268" s="697"/>
      <c r="L268" s="697"/>
      <c r="M268" s="697"/>
      <c r="N268" s="697"/>
      <c r="O268" s="698"/>
      <c r="P268" s="695"/>
      <c r="Q268" s="699"/>
      <c r="R268" s="1795" t="s">
        <v>159</v>
      </c>
      <c r="S268" s="914"/>
      <c r="T268" s="914" t="s">
        <v>320</v>
      </c>
      <c r="U268" s="914" t="s">
        <v>495</v>
      </c>
    </row>
    <row r="269" spans="1:21" ht="25.5" customHeight="1">
      <c r="A269" s="654" t="s">
        <v>15</v>
      </c>
      <c r="B269" s="655"/>
      <c r="C269" s="656"/>
      <c r="D269" s="657">
        <f>'Alış Fiyat'!D269*1.026</f>
        <v>0</v>
      </c>
      <c r="E269" s="657">
        <f>'Alış Fiyat'!E269*1.026</f>
        <v>0</v>
      </c>
      <c r="F269" s="657">
        <f>'Alış Fiyat'!F269*1.026</f>
        <v>0</v>
      </c>
      <c r="G269" s="657">
        <f>+F269*$R$2</f>
        <v>0</v>
      </c>
      <c r="H269" s="657">
        <f t="shared" ref="H269:H270" si="455">+F269*$R$2</f>
        <v>0</v>
      </c>
      <c r="I269" s="657">
        <f t="shared" ref="I269:I270" si="456">+F269*$R$2</f>
        <v>0</v>
      </c>
      <c r="J269" s="657">
        <f t="shared" ref="J269:J270" si="457">+I269*$S$2</f>
        <v>0</v>
      </c>
      <c r="K269" s="657">
        <f t="shared" ref="K269:K270" si="458">+I269*$S$2</f>
        <v>0</v>
      </c>
      <c r="L269" s="657">
        <f t="shared" ref="L269:L270" si="459">+I269*$S$2</f>
        <v>0</v>
      </c>
      <c r="M269" s="657">
        <f t="shared" ref="M269:M270" si="460">+L269*$T$2</f>
        <v>0</v>
      </c>
      <c r="N269" s="657">
        <f t="shared" ref="N269:N270" si="461">+L269*$T$2</f>
        <v>0</v>
      </c>
      <c r="O269" s="657">
        <f t="shared" ref="O269:O270" si="462">+L269*$T$2</f>
        <v>0</v>
      </c>
      <c r="P269" s="658">
        <f>AVERAGE(D269:O269)</f>
        <v>0</v>
      </c>
      <c r="Q269" s="659" t="e">
        <f>SUM(P269-C269)/C269</f>
        <v>#DIV/0!</v>
      </c>
      <c r="U269" s="915"/>
    </row>
    <row r="270" spans="1:21" ht="25.5" hidden="1" customHeight="1">
      <c r="A270" s="660" t="s">
        <v>16</v>
      </c>
      <c r="B270" s="661"/>
      <c r="C270" s="662"/>
      <c r="D270" s="663"/>
      <c r="E270" s="663"/>
      <c r="F270" s="663"/>
      <c r="G270" s="663">
        <f>+F270*$R$2</f>
        <v>0</v>
      </c>
      <c r="H270" s="663">
        <f t="shared" si="455"/>
        <v>0</v>
      </c>
      <c r="I270" s="663">
        <f t="shared" si="456"/>
        <v>0</v>
      </c>
      <c r="J270" s="663">
        <f t="shared" si="457"/>
        <v>0</v>
      </c>
      <c r="K270" s="663">
        <f t="shared" si="458"/>
        <v>0</v>
      </c>
      <c r="L270" s="663">
        <f t="shared" si="459"/>
        <v>0</v>
      </c>
      <c r="M270" s="663">
        <f t="shared" si="460"/>
        <v>0</v>
      </c>
      <c r="N270" s="663">
        <f t="shared" si="461"/>
        <v>0</v>
      </c>
      <c r="O270" s="663">
        <f t="shared" si="462"/>
        <v>0</v>
      </c>
      <c r="P270" s="604"/>
      <c r="Q270" s="600"/>
      <c r="U270" s="916"/>
    </row>
    <row r="271" spans="1:21" ht="25.5" customHeight="1">
      <c r="A271" s="701" t="s">
        <v>27</v>
      </c>
      <c r="B271" s="702"/>
      <c r="C271" s="703"/>
      <c r="D271" s="704"/>
      <c r="E271" s="704"/>
      <c r="F271" s="704"/>
      <c r="G271" s="704"/>
      <c r="H271" s="704"/>
      <c r="I271" s="704"/>
      <c r="J271" s="704"/>
      <c r="K271" s="704"/>
      <c r="L271" s="704"/>
      <c r="M271" s="704"/>
      <c r="N271" s="704"/>
      <c r="O271" s="704"/>
      <c r="P271" s="707"/>
      <c r="Q271" s="708"/>
      <c r="U271" s="917"/>
    </row>
    <row r="272" spans="1:21" ht="25.5" customHeight="1">
      <c r="A272" s="710" t="s">
        <v>17</v>
      </c>
      <c r="B272" s="711"/>
      <c r="C272" s="712"/>
      <c r="D272" s="713"/>
      <c r="E272" s="713"/>
      <c r="F272" s="713"/>
      <c r="G272" s="713">
        <f>+F272*$R$2</f>
        <v>0</v>
      </c>
      <c r="H272" s="713">
        <f t="shared" ref="H272:H276" si="463">+F272*$R$2</f>
        <v>0</v>
      </c>
      <c r="I272" s="713">
        <f t="shared" ref="I272:I276" si="464">+F272*$R$2</f>
        <v>0</v>
      </c>
      <c r="J272" s="713">
        <f t="shared" ref="J272:J276" si="465">+I272*$S$2</f>
        <v>0</v>
      </c>
      <c r="K272" s="713">
        <f t="shared" ref="K272:K276" si="466">+I272*$S$2</f>
        <v>0</v>
      </c>
      <c r="L272" s="713">
        <f t="shared" ref="L272:L276" si="467">+I272*$S$2</f>
        <v>0</v>
      </c>
      <c r="M272" s="713">
        <f t="shared" ref="M272:M276" si="468">+L272*$T$2</f>
        <v>0</v>
      </c>
      <c r="N272" s="713">
        <f t="shared" ref="N272:N276" si="469">+L272*$T$2</f>
        <v>0</v>
      </c>
      <c r="O272" s="713">
        <f t="shared" ref="O272:O276" si="470">+L272*$T$2</f>
        <v>0</v>
      </c>
      <c r="P272" s="716">
        <f t="shared" ref="P272" si="471">AVERAGE(D272:O272)</f>
        <v>0</v>
      </c>
      <c r="Q272" s="717"/>
      <c r="U272" s="918"/>
    </row>
    <row r="273" spans="1:21" ht="25.5" customHeight="1">
      <c r="A273" s="670" t="s">
        <v>81</v>
      </c>
      <c r="B273" s="602"/>
      <c r="C273" s="656"/>
      <c r="D273" s="657">
        <f>'Alış Fiyat'!D273*1.026</f>
        <v>0</v>
      </c>
      <c r="E273" s="657">
        <f>'Alış Fiyat'!E273*1.026</f>
        <v>0</v>
      </c>
      <c r="F273" s="657">
        <f>'Alış Fiyat'!F273*1.026</f>
        <v>0</v>
      </c>
      <c r="G273" s="671">
        <f>'Alış Fiyat'!G273*1.026</f>
        <v>21.016782098047234</v>
      </c>
      <c r="H273" s="671">
        <f>'Alış Fiyat'!H273*1.026</f>
        <v>21.401708791518182</v>
      </c>
      <c r="I273" s="671">
        <f>'Alış Fiyat'!I273*1.026</f>
        <v>22.282103063436651</v>
      </c>
      <c r="J273" s="671">
        <f>'Alış Fiyat'!J273*1.026</f>
        <v>23.267530335359503</v>
      </c>
      <c r="K273" s="671">
        <f>'Alış Fiyat'!K273*1.026</f>
        <v>23.808484099063001</v>
      </c>
      <c r="L273" s="671">
        <f>'Alış Fiyat'!L273*1.026</f>
        <v>23.625749105721408</v>
      </c>
      <c r="M273" s="671">
        <f>'Alış Fiyat'!M273*1.026</f>
        <v>24.308953714158466</v>
      </c>
      <c r="N273" s="671">
        <f>'Alış Fiyat'!N273*1.026</f>
        <v>23.596355627346075</v>
      </c>
      <c r="O273" s="671">
        <f>'Alış Fiyat'!O273*1.026</f>
        <v>24.102490526570396</v>
      </c>
      <c r="P273" s="605">
        <f>AVERAGE(D273:O273)</f>
        <v>17.284179780101741</v>
      </c>
      <c r="Q273" s="606" t="e">
        <f>SUM(P273-C273)/C273</f>
        <v>#DIV/0!</v>
      </c>
      <c r="U273" s="919"/>
    </row>
    <row r="274" spans="1:21" ht="25.5" hidden="1" customHeight="1">
      <c r="A274" s="672" t="s">
        <v>82</v>
      </c>
      <c r="B274" s="603"/>
      <c r="C274" s="662"/>
      <c r="D274" s="667"/>
      <c r="E274" s="667"/>
      <c r="F274" s="667"/>
      <c r="G274" s="667">
        <f>+F274*$R$2</f>
        <v>0</v>
      </c>
      <c r="H274" s="667">
        <f t="shared" si="463"/>
        <v>0</v>
      </c>
      <c r="I274" s="667">
        <f t="shared" si="464"/>
        <v>0</v>
      </c>
      <c r="J274" s="667">
        <f t="shared" si="465"/>
        <v>0</v>
      </c>
      <c r="K274" s="667">
        <f t="shared" si="466"/>
        <v>0</v>
      </c>
      <c r="L274" s="667">
        <f t="shared" si="467"/>
        <v>0</v>
      </c>
      <c r="M274" s="667">
        <f t="shared" si="468"/>
        <v>0</v>
      </c>
      <c r="N274" s="667">
        <f t="shared" si="469"/>
        <v>0</v>
      </c>
      <c r="O274" s="667">
        <f t="shared" si="470"/>
        <v>0</v>
      </c>
      <c r="P274" s="604"/>
      <c r="Q274" s="600"/>
      <c r="U274" s="920"/>
    </row>
    <row r="275" spans="1:21" ht="25.5" customHeight="1">
      <c r="A275" s="670" t="s">
        <v>83</v>
      </c>
      <c r="B275" s="673"/>
      <c r="C275" s="656"/>
      <c r="D275" s="674">
        <f>+D273</f>
        <v>0</v>
      </c>
      <c r="E275" s="674">
        <f t="shared" ref="E275:F275" si="472">+E273</f>
        <v>0</v>
      </c>
      <c r="F275" s="674">
        <f t="shared" si="472"/>
        <v>0</v>
      </c>
      <c r="G275" s="674">
        <f t="shared" ref="G275:G276" si="473">+F275*$R$2</f>
        <v>0</v>
      </c>
      <c r="H275" s="674">
        <f t="shared" si="463"/>
        <v>0</v>
      </c>
      <c r="I275" s="674">
        <f t="shared" si="464"/>
        <v>0</v>
      </c>
      <c r="J275" s="674">
        <f t="shared" si="465"/>
        <v>0</v>
      </c>
      <c r="K275" s="674">
        <f t="shared" si="466"/>
        <v>0</v>
      </c>
      <c r="L275" s="674">
        <f t="shared" si="467"/>
        <v>0</v>
      </c>
      <c r="M275" s="674">
        <f t="shared" si="468"/>
        <v>0</v>
      </c>
      <c r="N275" s="674">
        <f t="shared" si="469"/>
        <v>0</v>
      </c>
      <c r="O275" s="674">
        <f t="shared" si="470"/>
        <v>0</v>
      </c>
      <c r="P275" s="605">
        <f>AVERAGE(D275:O275)</f>
        <v>0</v>
      </c>
      <c r="Q275" s="606" t="e">
        <f>SUM(P275-C275)/C275</f>
        <v>#DIV/0!</v>
      </c>
      <c r="U275" s="920"/>
    </row>
    <row r="276" spans="1:21" ht="25.5" hidden="1" customHeight="1">
      <c r="A276" s="672" t="s">
        <v>84</v>
      </c>
      <c r="B276" s="661"/>
      <c r="C276" s="675"/>
      <c r="D276" s="676"/>
      <c r="E276" s="676"/>
      <c r="F276" s="676"/>
      <c r="G276" s="676">
        <f t="shared" si="473"/>
        <v>0</v>
      </c>
      <c r="H276" s="676">
        <f t="shared" si="463"/>
        <v>0</v>
      </c>
      <c r="I276" s="676">
        <f t="shared" si="464"/>
        <v>0</v>
      </c>
      <c r="J276" s="676">
        <f t="shared" si="465"/>
        <v>0</v>
      </c>
      <c r="K276" s="676">
        <f t="shared" si="466"/>
        <v>0</v>
      </c>
      <c r="L276" s="676">
        <f t="shared" si="467"/>
        <v>0</v>
      </c>
      <c r="M276" s="676">
        <f t="shared" si="468"/>
        <v>0</v>
      </c>
      <c r="N276" s="676">
        <f t="shared" si="469"/>
        <v>0</v>
      </c>
      <c r="O276" s="676">
        <f t="shared" si="470"/>
        <v>0</v>
      </c>
      <c r="P276" s="604"/>
      <c r="Q276" s="600"/>
      <c r="U276" s="920"/>
    </row>
    <row r="277" spans="1:21" ht="25.5" customHeight="1" thickBot="1">
      <c r="A277" s="718" t="s">
        <v>18</v>
      </c>
      <c r="B277" s="719"/>
      <c r="C277" s="720"/>
      <c r="D277" s="721"/>
      <c r="E277" s="721"/>
      <c r="F277" s="721"/>
      <c r="G277" s="721"/>
      <c r="H277" s="721"/>
      <c r="I277" s="721"/>
      <c r="J277" s="721"/>
      <c r="K277" s="721"/>
      <c r="L277" s="721"/>
      <c r="M277" s="721"/>
      <c r="N277" s="721"/>
      <c r="O277" s="721"/>
      <c r="P277" s="720"/>
      <c r="Q277" s="724"/>
      <c r="U277" s="921"/>
    </row>
    <row r="278" spans="1:21" ht="25.5" customHeight="1" thickBot="1">
      <c r="A278" s="693" t="s">
        <v>29</v>
      </c>
      <c r="B278" s="725"/>
      <c r="C278" s="726"/>
      <c r="D278" s="727"/>
      <c r="E278" s="728"/>
      <c r="F278" s="728"/>
      <c r="G278" s="728"/>
      <c r="H278" s="728"/>
      <c r="I278" s="728"/>
      <c r="J278" s="728"/>
      <c r="K278" s="728"/>
      <c r="L278" s="728"/>
      <c r="M278" s="728"/>
      <c r="N278" s="728"/>
      <c r="O278" s="729"/>
      <c r="P278" s="726"/>
      <c r="Q278" s="730"/>
      <c r="U278" s="910"/>
    </row>
    <row r="279" spans="1:21" ht="25.5" customHeight="1">
      <c r="A279" s="615" t="s">
        <v>19</v>
      </c>
      <c r="B279" s="607"/>
      <c r="C279" s="608"/>
      <c r="D279" s="681">
        <f>+'M.Yağ Alış Fiyat'!$G$2</f>
        <v>0</v>
      </c>
      <c r="E279" s="682">
        <f>+'M.Yağ Alış Fiyat'!$G$2</f>
        <v>0</v>
      </c>
      <c r="F279" s="683">
        <f>+'M.Yağ Alış Fiyat'!$G$2</f>
        <v>0</v>
      </c>
      <c r="G279" s="683">
        <f t="shared" ref="G279:G280" si="474">+F279*$R$2</f>
        <v>0</v>
      </c>
      <c r="H279" s="683">
        <f t="shared" ref="H279:H280" si="475">+F279*$R$2</f>
        <v>0</v>
      </c>
      <c r="I279" s="683">
        <f t="shared" ref="I279:I280" si="476">+F279*$R$2</f>
        <v>0</v>
      </c>
      <c r="J279" s="683">
        <f t="shared" ref="J279:J280" si="477">+I279*$S$2</f>
        <v>0</v>
      </c>
      <c r="K279" s="683">
        <f t="shared" ref="K279:K280" si="478">+I279*$S$2</f>
        <v>0</v>
      </c>
      <c r="L279" s="683">
        <f t="shared" ref="L279:L280" si="479">+I279*$S$2</f>
        <v>0</v>
      </c>
      <c r="M279" s="683">
        <f t="shared" ref="M279:M280" si="480">+L279*$T$2</f>
        <v>0</v>
      </c>
      <c r="N279" s="683">
        <f t="shared" ref="N279:N280" si="481">+L279*$T$2</f>
        <v>0</v>
      </c>
      <c r="O279" s="684">
        <f t="shared" ref="O279:O280" si="482">+L279*$T$2</f>
        <v>0</v>
      </c>
      <c r="P279" s="609">
        <f t="shared" ref="P279:P280" si="483">AVERAGE(D279:O279)</f>
        <v>0</v>
      </c>
      <c r="Q279" s="610" t="e">
        <f t="shared" ref="Q279:Q280" si="484">SUM(P279-C279)/C279</f>
        <v>#DIV/0!</v>
      </c>
      <c r="U279" s="904"/>
    </row>
    <row r="280" spans="1:21" ht="25.5" customHeight="1" thickBot="1">
      <c r="A280" s="616" t="s">
        <v>20</v>
      </c>
      <c r="B280" s="611"/>
      <c r="C280" s="612"/>
      <c r="D280" s="685">
        <f>+'M.Yağ Alış Fiyat'!$G$3</f>
        <v>0</v>
      </c>
      <c r="E280" s="685">
        <f>+'M.Yağ Alış Fiyat'!$G$3</f>
        <v>0</v>
      </c>
      <c r="F280" s="685">
        <f>+'M.Yağ Alış Fiyat'!$G$3</f>
        <v>0</v>
      </c>
      <c r="G280" s="685">
        <f t="shared" si="474"/>
        <v>0</v>
      </c>
      <c r="H280" s="685">
        <f t="shared" si="475"/>
        <v>0</v>
      </c>
      <c r="I280" s="685">
        <f t="shared" si="476"/>
        <v>0</v>
      </c>
      <c r="J280" s="685">
        <f t="shared" si="477"/>
        <v>0</v>
      </c>
      <c r="K280" s="685">
        <f t="shared" si="478"/>
        <v>0</v>
      </c>
      <c r="L280" s="685">
        <f t="shared" si="479"/>
        <v>0</v>
      </c>
      <c r="M280" s="685">
        <f t="shared" si="480"/>
        <v>0</v>
      </c>
      <c r="N280" s="685">
        <f t="shared" si="481"/>
        <v>0</v>
      </c>
      <c r="O280" s="685">
        <f t="shared" si="482"/>
        <v>0</v>
      </c>
      <c r="P280" s="613">
        <f t="shared" si="483"/>
        <v>0</v>
      </c>
      <c r="Q280" s="614" t="e">
        <f t="shared" si="484"/>
        <v>#DIV/0!</v>
      </c>
      <c r="U280" s="905"/>
    </row>
    <row r="281" spans="1:21" ht="25.5" customHeight="1" thickBot="1">
      <c r="A281" s="693" t="s">
        <v>30</v>
      </c>
      <c r="B281" s="694"/>
      <c r="C281" s="726"/>
      <c r="D281" s="727"/>
      <c r="E281" s="728"/>
      <c r="F281" s="728"/>
      <c r="G281" s="728"/>
      <c r="H281" s="728"/>
      <c r="I281" s="728"/>
      <c r="J281" s="728"/>
      <c r="K281" s="728"/>
      <c r="L281" s="728"/>
      <c r="M281" s="728"/>
      <c r="N281" s="728"/>
      <c r="O281" s="729"/>
      <c r="P281" s="726"/>
      <c r="Q281" s="730"/>
      <c r="U281" s="910"/>
    </row>
    <row r="282" spans="1:21" ht="25.5" customHeight="1">
      <c r="A282" s="615" t="s">
        <v>106</v>
      </c>
      <c r="B282" s="607"/>
      <c r="C282" s="608"/>
      <c r="D282" s="687">
        <f>D18</f>
        <v>0</v>
      </c>
      <c r="E282" s="687">
        <f t="shared" ref="E282:O282" si="485">E18</f>
        <v>0</v>
      </c>
      <c r="F282" s="687">
        <f t="shared" si="485"/>
        <v>0</v>
      </c>
      <c r="G282" s="687">
        <f t="shared" si="485"/>
        <v>0</v>
      </c>
      <c r="H282" s="687">
        <f t="shared" si="485"/>
        <v>0</v>
      </c>
      <c r="I282" s="687">
        <f t="shared" si="485"/>
        <v>0</v>
      </c>
      <c r="J282" s="687">
        <f t="shared" si="485"/>
        <v>0</v>
      </c>
      <c r="K282" s="687">
        <f t="shared" si="485"/>
        <v>0</v>
      </c>
      <c r="L282" s="687">
        <f t="shared" si="485"/>
        <v>0</v>
      </c>
      <c r="M282" s="687">
        <f t="shared" si="485"/>
        <v>0</v>
      </c>
      <c r="N282" s="687">
        <f t="shared" si="485"/>
        <v>0</v>
      </c>
      <c r="O282" s="687">
        <f t="shared" si="485"/>
        <v>0</v>
      </c>
      <c r="P282" s="609">
        <f t="shared" ref="P282:P283" si="486">AVERAGE(D282:O282)</f>
        <v>0</v>
      </c>
      <c r="Q282" s="610" t="e">
        <f t="shared" ref="Q282:Q283" si="487">SUM(P282-C282)/C282</f>
        <v>#DIV/0!</v>
      </c>
      <c r="U282" s="904"/>
    </row>
    <row r="283" spans="1:21" ht="25.5" customHeight="1" thickBot="1">
      <c r="A283" s="616" t="s">
        <v>105</v>
      </c>
      <c r="B283" s="617"/>
      <c r="C283" s="618"/>
      <c r="D283" s="688">
        <f>D19</f>
        <v>0</v>
      </c>
      <c r="E283" s="688">
        <f t="shared" ref="E283:O283" si="488">E19</f>
        <v>0</v>
      </c>
      <c r="F283" s="688">
        <f t="shared" si="488"/>
        <v>0</v>
      </c>
      <c r="G283" s="688">
        <f t="shared" si="488"/>
        <v>0</v>
      </c>
      <c r="H283" s="688">
        <f t="shared" si="488"/>
        <v>0</v>
      </c>
      <c r="I283" s="688">
        <f t="shared" si="488"/>
        <v>0</v>
      </c>
      <c r="J283" s="688">
        <f t="shared" si="488"/>
        <v>0</v>
      </c>
      <c r="K283" s="688">
        <f t="shared" si="488"/>
        <v>0</v>
      </c>
      <c r="L283" s="688">
        <f t="shared" si="488"/>
        <v>0</v>
      </c>
      <c r="M283" s="688">
        <f t="shared" si="488"/>
        <v>0</v>
      </c>
      <c r="N283" s="688">
        <f t="shared" si="488"/>
        <v>0</v>
      </c>
      <c r="O283" s="688">
        <f t="shared" si="488"/>
        <v>0</v>
      </c>
      <c r="P283" s="619">
        <f t="shared" si="486"/>
        <v>0</v>
      </c>
      <c r="Q283" s="620" t="e">
        <f t="shared" si="487"/>
        <v>#DIV/0!</v>
      </c>
      <c r="U283" s="906"/>
    </row>
    <row r="284" spans="1:21" ht="25.5" customHeight="1" thickBot="1">
      <c r="B284" s="601"/>
      <c r="C284" s="621"/>
      <c r="D284" s="689"/>
      <c r="E284" s="689"/>
      <c r="F284" s="689"/>
      <c r="G284" s="689"/>
      <c r="H284" s="689"/>
      <c r="I284" s="689"/>
      <c r="J284" s="689"/>
      <c r="K284" s="689"/>
      <c r="L284" s="689"/>
      <c r="M284" s="689"/>
      <c r="N284" s="689"/>
      <c r="O284" s="689"/>
      <c r="P284" s="622"/>
      <c r="Q284" s="623"/>
      <c r="U284" s="907"/>
    </row>
    <row r="285" spans="1:21" ht="25.5" customHeight="1" thickBot="1">
      <c r="A285" s="693" t="s">
        <v>86</v>
      </c>
      <c r="B285" s="694"/>
      <c r="C285" s="695"/>
      <c r="D285" s="696">
        <v>14.451305</v>
      </c>
      <c r="E285" s="696">
        <v>14.451305</v>
      </c>
      <c r="F285" s="696">
        <v>14.451305</v>
      </c>
      <c r="G285" s="696">
        <f>+F285*$R$2</f>
        <v>16.474487699999997</v>
      </c>
      <c r="H285" s="696">
        <f t="shared" ref="H285" si="489">+F285*$R$2</f>
        <v>16.474487699999997</v>
      </c>
      <c r="I285" s="696">
        <f t="shared" ref="I285" si="490">+F285*$R$2</f>
        <v>16.474487699999997</v>
      </c>
      <c r="J285" s="696">
        <f t="shared" ref="J285" si="491">+I285*$S$2</f>
        <v>18.945660854999996</v>
      </c>
      <c r="K285" s="696">
        <f t="shared" ref="K285" si="492">+I285*$S$2</f>
        <v>18.945660854999996</v>
      </c>
      <c r="L285" s="696">
        <f t="shared" ref="L285" si="493">+I285*$S$2</f>
        <v>18.945660854999996</v>
      </c>
      <c r="M285" s="696">
        <f t="shared" ref="M285" si="494">+L285*$T$2</f>
        <v>21.976966591799993</v>
      </c>
      <c r="N285" s="696">
        <f t="shared" ref="N285" si="495">+L285*$T$2</f>
        <v>21.976966591799993</v>
      </c>
      <c r="O285" s="696">
        <f t="shared" ref="O285" si="496">+L285*$T$2</f>
        <v>21.976966591799993</v>
      </c>
      <c r="P285" s="2270">
        <f>AVERAGE(D285:O285)</f>
        <v>17.962105036699999</v>
      </c>
      <c r="Q285" s="699" t="e">
        <f>SUM(P285-C285)/C285</f>
        <v>#DIV/0!</v>
      </c>
      <c r="U285" s="911"/>
    </row>
    <row r="286" spans="1:21" ht="25.5" customHeight="1" thickBot="1">
      <c r="A286" s="624"/>
      <c r="B286" s="625"/>
      <c r="C286" s="626"/>
      <c r="D286" s="690"/>
      <c r="E286" s="690"/>
      <c r="F286" s="690"/>
      <c r="G286" s="690"/>
      <c r="H286" s="690"/>
      <c r="I286" s="690"/>
      <c r="J286" s="690"/>
      <c r="K286" s="690"/>
      <c r="L286" s="690"/>
      <c r="M286" s="690"/>
      <c r="N286" s="690"/>
      <c r="O286" s="690"/>
      <c r="P286" s="626"/>
      <c r="Q286" s="627"/>
    </row>
    <row r="287" spans="1:21" ht="25.5" customHeight="1" thickBot="1">
      <c r="A287" s="693" t="s">
        <v>31</v>
      </c>
      <c r="B287" s="694"/>
      <c r="C287" s="695"/>
      <c r="D287" s="696"/>
      <c r="E287" s="697"/>
      <c r="F287" s="697"/>
      <c r="G287" s="697"/>
      <c r="H287" s="697"/>
      <c r="I287" s="697"/>
      <c r="J287" s="697"/>
      <c r="K287" s="697"/>
      <c r="L287" s="697"/>
      <c r="M287" s="697"/>
      <c r="N287" s="697"/>
      <c r="O287" s="698"/>
      <c r="P287" s="695"/>
      <c r="Q287" s="699"/>
    </row>
    <row r="289" spans="1:21" ht="16.2" thickBot="1"/>
    <row r="290" spans="1:21" ht="32.1" customHeight="1" thickBot="1">
      <c r="A290" s="649"/>
      <c r="B290" s="2390"/>
      <c r="C290" s="2392" t="s">
        <v>695</v>
      </c>
      <c r="D290" s="2394" t="s">
        <v>559</v>
      </c>
      <c r="E290" s="2395"/>
      <c r="F290" s="2395"/>
      <c r="G290" s="2395"/>
      <c r="H290" s="2395"/>
      <c r="I290" s="2395"/>
      <c r="J290" s="2395"/>
      <c r="K290" s="2395"/>
      <c r="L290" s="2395"/>
      <c r="M290" s="2395"/>
      <c r="N290" s="2395"/>
      <c r="O290" s="2395"/>
      <c r="P290" s="2396"/>
      <c r="Q290" s="937" t="s">
        <v>605</v>
      </c>
    </row>
    <row r="291" spans="1:21" ht="32.1" customHeight="1" thickBot="1">
      <c r="A291" s="650"/>
      <c r="B291" s="2391"/>
      <c r="C291" s="2393"/>
      <c r="D291" s="678" t="s">
        <v>1</v>
      </c>
      <c r="E291" s="679" t="s">
        <v>2</v>
      </c>
      <c r="F291" s="679" t="s">
        <v>3</v>
      </c>
      <c r="G291" s="679" t="s">
        <v>4</v>
      </c>
      <c r="H291" s="679" t="s">
        <v>5</v>
      </c>
      <c r="I291" s="679" t="s">
        <v>6</v>
      </c>
      <c r="J291" s="679" t="s">
        <v>7</v>
      </c>
      <c r="K291" s="679" t="s">
        <v>8</v>
      </c>
      <c r="L291" s="679" t="s">
        <v>9</v>
      </c>
      <c r="M291" s="679" t="s">
        <v>10</v>
      </c>
      <c r="N291" s="679" t="s">
        <v>11</v>
      </c>
      <c r="O291" s="680" t="s">
        <v>12</v>
      </c>
      <c r="P291" s="651" t="s">
        <v>281</v>
      </c>
      <c r="Q291" s="941" t="s">
        <v>693</v>
      </c>
      <c r="R291" s="913" t="s">
        <v>509</v>
      </c>
      <c r="S291" s="913" t="s">
        <v>150</v>
      </c>
      <c r="T291" s="913" t="s">
        <v>151</v>
      </c>
    </row>
    <row r="292" spans="1:21" ht="25.5" customHeight="1" thickBot="1">
      <c r="A292" s="693" t="s">
        <v>28</v>
      </c>
      <c r="B292" s="694"/>
      <c r="C292" s="695"/>
      <c r="D292" s="696"/>
      <c r="E292" s="697"/>
      <c r="F292" s="697"/>
      <c r="G292" s="697"/>
      <c r="H292" s="697"/>
      <c r="I292" s="697"/>
      <c r="J292" s="697"/>
      <c r="K292" s="697"/>
      <c r="L292" s="697"/>
      <c r="M292" s="697"/>
      <c r="N292" s="697"/>
      <c r="O292" s="698"/>
      <c r="P292" s="695"/>
      <c r="Q292" s="699"/>
      <c r="R292" s="1795" t="s">
        <v>103</v>
      </c>
      <c r="S292" s="914"/>
      <c r="T292" s="914" t="s">
        <v>320</v>
      </c>
      <c r="U292" s="914" t="s">
        <v>103</v>
      </c>
    </row>
    <row r="293" spans="1:21" ht="25.5" customHeight="1">
      <c r="A293" s="654" t="s">
        <v>15</v>
      </c>
      <c r="B293" s="655"/>
      <c r="C293" s="656"/>
      <c r="D293" s="657">
        <f>'Alış Fiyat'!D293*1.026</f>
        <v>0</v>
      </c>
      <c r="E293" s="657">
        <f>'Alış Fiyat'!E293*1.026</f>
        <v>0</v>
      </c>
      <c r="F293" s="657">
        <f>'Alış Fiyat'!F293*1.026</f>
        <v>0</v>
      </c>
      <c r="G293" s="657">
        <f>+F293*$R$2</f>
        <v>0</v>
      </c>
      <c r="H293" s="657">
        <f t="shared" ref="H293:H294" si="497">+F293*$R$2</f>
        <v>0</v>
      </c>
      <c r="I293" s="657">
        <f t="shared" ref="I293:I294" si="498">+F293*$R$2</f>
        <v>0</v>
      </c>
      <c r="J293" s="657">
        <f t="shared" ref="J293:J294" si="499">+I293*$S$2</f>
        <v>0</v>
      </c>
      <c r="K293" s="657">
        <f t="shared" ref="K293:K294" si="500">+I293*$S$2</f>
        <v>0</v>
      </c>
      <c r="L293" s="657">
        <f t="shared" ref="L293:L294" si="501">+I293*$S$2</f>
        <v>0</v>
      </c>
      <c r="M293" s="657">
        <f t="shared" ref="M293:M294" si="502">+L293*$T$2</f>
        <v>0</v>
      </c>
      <c r="N293" s="657">
        <f t="shared" ref="N293:N294" si="503">+L293*$T$2</f>
        <v>0</v>
      </c>
      <c r="O293" s="657">
        <f t="shared" ref="O293:O294" si="504">+L293*$T$2</f>
        <v>0</v>
      </c>
      <c r="P293" s="658">
        <f>AVERAGE(D293:O293)</f>
        <v>0</v>
      </c>
      <c r="Q293" s="659" t="e">
        <f>SUM(P293-C293)/C293</f>
        <v>#DIV/0!</v>
      </c>
      <c r="U293" s="915"/>
    </row>
    <row r="294" spans="1:21" ht="25.5" hidden="1" customHeight="1">
      <c r="A294" s="660" t="s">
        <v>16</v>
      </c>
      <c r="B294" s="661"/>
      <c r="C294" s="662"/>
      <c r="D294" s="663"/>
      <c r="E294" s="663"/>
      <c r="F294" s="663"/>
      <c r="G294" s="663">
        <f>+F294*$R$2</f>
        <v>0</v>
      </c>
      <c r="H294" s="663">
        <f t="shared" si="497"/>
        <v>0</v>
      </c>
      <c r="I294" s="663">
        <f t="shared" si="498"/>
        <v>0</v>
      </c>
      <c r="J294" s="663">
        <f t="shared" si="499"/>
        <v>0</v>
      </c>
      <c r="K294" s="663">
        <f t="shared" si="500"/>
        <v>0</v>
      </c>
      <c r="L294" s="663">
        <f t="shared" si="501"/>
        <v>0</v>
      </c>
      <c r="M294" s="663">
        <f t="shared" si="502"/>
        <v>0</v>
      </c>
      <c r="N294" s="663">
        <f t="shared" si="503"/>
        <v>0</v>
      </c>
      <c r="O294" s="663">
        <f t="shared" si="504"/>
        <v>0</v>
      </c>
      <c r="P294" s="604"/>
      <c r="Q294" s="600"/>
      <c r="U294" s="916"/>
    </row>
    <row r="295" spans="1:21" ht="25.5" customHeight="1">
      <c r="A295" s="701" t="s">
        <v>27</v>
      </c>
      <c r="B295" s="702"/>
      <c r="C295" s="703"/>
      <c r="D295" s="704"/>
      <c r="E295" s="704"/>
      <c r="F295" s="704"/>
      <c r="G295" s="704"/>
      <c r="H295" s="704"/>
      <c r="I295" s="704"/>
      <c r="J295" s="704"/>
      <c r="K295" s="704"/>
      <c r="L295" s="704"/>
      <c r="M295" s="704"/>
      <c r="N295" s="704"/>
      <c r="O295" s="704"/>
      <c r="P295" s="707"/>
      <c r="Q295" s="708"/>
      <c r="U295" s="917"/>
    </row>
    <row r="296" spans="1:21" ht="25.5" customHeight="1">
      <c r="A296" s="710" t="s">
        <v>17</v>
      </c>
      <c r="B296" s="711"/>
      <c r="C296" s="712"/>
      <c r="D296" s="713"/>
      <c r="E296" s="713"/>
      <c r="F296" s="713"/>
      <c r="G296" s="713">
        <f>+F296*$R$2</f>
        <v>0</v>
      </c>
      <c r="H296" s="713">
        <f t="shared" ref="H296:H300" si="505">+F296*$R$2</f>
        <v>0</v>
      </c>
      <c r="I296" s="713">
        <f t="shared" ref="I296:I300" si="506">+F296*$R$2</f>
        <v>0</v>
      </c>
      <c r="J296" s="713">
        <f t="shared" ref="J296:J300" si="507">+I296*$S$2</f>
        <v>0</v>
      </c>
      <c r="K296" s="713">
        <f t="shared" ref="K296:K300" si="508">+I296*$S$2</f>
        <v>0</v>
      </c>
      <c r="L296" s="713">
        <f t="shared" ref="L296:L300" si="509">+I296*$S$2</f>
        <v>0</v>
      </c>
      <c r="M296" s="713">
        <f t="shared" ref="M296:M300" si="510">+L296*$T$2</f>
        <v>0</v>
      </c>
      <c r="N296" s="713">
        <f t="shared" ref="N296:N300" si="511">+L296*$T$2</f>
        <v>0</v>
      </c>
      <c r="O296" s="713">
        <f t="shared" ref="O296:O300" si="512">+L296*$T$2</f>
        <v>0</v>
      </c>
      <c r="P296" s="716">
        <f t="shared" ref="P296" si="513">AVERAGE(D296:O296)</f>
        <v>0</v>
      </c>
      <c r="Q296" s="717"/>
      <c r="U296" s="918"/>
    </row>
    <row r="297" spans="1:21" ht="25.5" customHeight="1">
      <c r="A297" s="670" t="s">
        <v>81</v>
      </c>
      <c r="B297" s="602"/>
      <c r="C297" s="656"/>
      <c r="D297" s="657">
        <f>'Alış Fiyat'!D297*1.026</f>
        <v>0</v>
      </c>
      <c r="E297" s="657">
        <f>'Alış Fiyat'!E297*1.026</f>
        <v>0</v>
      </c>
      <c r="F297" s="657">
        <f>'Alış Fiyat'!F297*1.026</f>
        <v>0</v>
      </c>
      <c r="G297" s="671">
        <f>'Alış Fiyat'!G297*1.026</f>
        <v>21.016782098047234</v>
      </c>
      <c r="H297" s="671">
        <f>'Alış Fiyat'!H297*1.026</f>
        <v>21.401708791518182</v>
      </c>
      <c r="I297" s="671">
        <f>'Alış Fiyat'!I297*1.026</f>
        <v>22.282103063436651</v>
      </c>
      <c r="J297" s="671">
        <f>'Alış Fiyat'!J297*1.026</f>
        <v>23.267530335359503</v>
      </c>
      <c r="K297" s="671">
        <f>'Alış Fiyat'!K297*1.026</f>
        <v>23.808484099063001</v>
      </c>
      <c r="L297" s="671">
        <f>'Alış Fiyat'!L297*1.026</f>
        <v>23.625749105721408</v>
      </c>
      <c r="M297" s="671">
        <f>'Alış Fiyat'!M297*1.026</f>
        <v>24.308953714158466</v>
      </c>
      <c r="N297" s="671">
        <f>'Alış Fiyat'!N297*1.026</f>
        <v>23.596355627346075</v>
      </c>
      <c r="O297" s="671">
        <f>'Alış Fiyat'!O297*1.026</f>
        <v>24.102490526570396</v>
      </c>
      <c r="P297" s="605">
        <f>AVERAGE(D297:O297)</f>
        <v>17.284179780101741</v>
      </c>
      <c r="Q297" s="606" t="e">
        <f>SUM(P297-C297)/C297</f>
        <v>#DIV/0!</v>
      </c>
      <c r="U297" s="919"/>
    </row>
    <row r="298" spans="1:21" ht="25.5" hidden="1" customHeight="1">
      <c r="A298" s="672" t="s">
        <v>82</v>
      </c>
      <c r="B298" s="603"/>
      <c r="C298" s="662"/>
      <c r="D298" s="667"/>
      <c r="E298" s="667"/>
      <c r="F298" s="667"/>
      <c r="G298" s="667">
        <f>+F298*$R$2</f>
        <v>0</v>
      </c>
      <c r="H298" s="667">
        <f t="shared" si="505"/>
        <v>0</v>
      </c>
      <c r="I298" s="667">
        <f t="shared" si="506"/>
        <v>0</v>
      </c>
      <c r="J298" s="667">
        <f t="shared" si="507"/>
        <v>0</v>
      </c>
      <c r="K298" s="667">
        <f t="shared" si="508"/>
        <v>0</v>
      </c>
      <c r="L298" s="667">
        <f t="shared" si="509"/>
        <v>0</v>
      </c>
      <c r="M298" s="667">
        <f t="shared" si="510"/>
        <v>0</v>
      </c>
      <c r="N298" s="667">
        <f t="shared" si="511"/>
        <v>0</v>
      </c>
      <c r="O298" s="667">
        <f t="shared" si="512"/>
        <v>0</v>
      </c>
      <c r="P298" s="604"/>
      <c r="Q298" s="600"/>
      <c r="U298" s="920"/>
    </row>
    <row r="299" spans="1:21" ht="25.5" customHeight="1">
      <c r="A299" s="670" t="s">
        <v>83</v>
      </c>
      <c r="B299" s="673"/>
      <c r="C299" s="656"/>
      <c r="D299" s="674">
        <f>+D297</f>
        <v>0</v>
      </c>
      <c r="E299" s="674">
        <f t="shared" ref="E299:F299" si="514">+E297</f>
        <v>0</v>
      </c>
      <c r="F299" s="674">
        <f t="shared" si="514"/>
        <v>0</v>
      </c>
      <c r="G299" s="674">
        <f t="shared" ref="G299" si="515">+F299*$R$2</f>
        <v>0</v>
      </c>
      <c r="H299" s="674">
        <f t="shared" si="505"/>
        <v>0</v>
      </c>
      <c r="I299" s="674">
        <f t="shared" si="506"/>
        <v>0</v>
      </c>
      <c r="J299" s="674">
        <f t="shared" si="507"/>
        <v>0</v>
      </c>
      <c r="K299" s="674">
        <f t="shared" si="508"/>
        <v>0</v>
      </c>
      <c r="L299" s="674">
        <f t="shared" si="509"/>
        <v>0</v>
      </c>
      <c r="M299" s="674">
        <f t="shared" si="510"/>
        <v>0</v>
      </c>
      <c r="N299" s="674">
        <f t="shared" si="511"/>
        <v>0</v>
      </c>
      <c r="O299" s="674">
        <f t="shared" si="512"/>
        <v>0</v>
      </c>
      <c r="P299" s="605">
        <f>AVERAGE(D299:O299)</f>
        <v>0</v>
      </c>
      <c r="Q299" s="606" t="e">
        <f>SUM(P299-C299)/C299</f>
        <v>#DIV/0!</v>
      </c>
      <c r="U299" s="920"/>
    </row>
    <row r="300" spans="1:21" ht="25.5" hidden="1" customHeight="1">
      <c r="A300" s="672" t="s">
        <v>84</v>
      </c>
      <c r="B300" s="661"/>
      <c r="C300" s="675"/>
      <c r="D300" s="676"/>
      <c r="E300" s="676"/>
      <c r="F300" s="676"/>
      <c r="G300" s="676">
        <f t="shared" ref="G300" si="516">+F300*$R$2</f>
        <v>0</v>
      </c>
      <c r="H300" s="676">
        <f t="shared" si="505"/>
        <v>0</v>
      </c>
      <c r="I300" s="676">
        <f t="shared" si="506"/>
        <v>0</v>
      </c>
      <c r="J300" s="676">
        <f t="shared" si="507"/>
        <v>0</v>
      </c>
      <c r="K300" s="676">
        <f t="shared" si="508"/>
        <v>0</v>
      </c>
      <c r="L300" s="676">
        <f t="shared" si="509"/>
        <v>0</v>
      </c>
      <c r="M300" s="676">
        <f t="shared" si="510"/>
        <v>0</v>
      </c>
      <c r="N300" s="676">
        <f t="shared" si="511"/>
        <v>0</v>
      </c>
      <c r="O300" s="676">
        <f t="shared" si="512"/>
        <v>0</v>
      </c>
      <c r="P300" s="604"/>
      <c r="Q300" s="600"/>
      <c r="U300" s="920"/>
    </row>
    <row r="301" spans="1:21" ht="25.5" customHeight="1" thickBot="1">
      <c r="A301" s="718" t="s">
        <v>18</v>
      </c>
      <c r="B301" s="719"/>
      <c r="C301" s="720"/>
      <c r="D301" s="721"/>
      <c r="E301" s="721"/>
      <c r="F301" s="721"/>
      <c r="G301" s="721"/>
      <c r="H301" s="721"/>
      <c r="I301" s="721"/>
      <c r="J301" s="721"/>
      <c r="K301" s="721"/>
      <c r="L301" s="721"/>
      <c r="M301" s="721"/>
      <c r="N301" s="721"/>
      <c r="O301" s="721"/>
      <c r="P301" s="720"/>
      <c r="Q301" s="724"/>
      <c r="U301" s="921"/>
    </row>
    <row r="302" spans="1:21" ht="25.5" customHeight="1" thickBot="1">
      <c r="A302" s="693" t="s">
        <v>29</v>
      </c>
      <c r="B302" s="725"/>
      <c r="C302" s="726"/>
      <c r="D302" s="727"/>
      <c r="E302" s="728"/>
      <c r="F302" s="728"/>
      <c r="G302" s="728"/>
      <c r="H302" s="728"/>
      <c r="I302" s="728"/>
      <c r="J302" s="728"/>
      <c r="K302" s="728"/>
      <c r="L302" s="728"/>
      <c r="M302" s="728"/>
      <c r="N302" s="728"/>
      <c r="O302" s="729"/>
      <c r="P302" s="726"/>
      <c r="Q302" s="730"/>
      <c r="U302" s="910"/>
    </row>
    <row r="303" spans="1:21" ht="25.5" customHeight="1">
      <c r="A303" s="615" t="s">
        <v>19</v>
      </c>
      <c r="B303" s="607"/>
      <c r="C303" s="608"/>
      <c r="D303" s="681">
        <f>+'M.Yağ Alış Fiyat'!$G$2</f>
        <v>0</v>
      </c>
      <c r="E303" s="682">
        <f>+'M.Yağ Alış Fiyat'!$G$2</f>
        <v>0</v>
      </c>
      <c r="F303" s="683">
        <f>+'M.Yağ Alış Fiyat'!$G$2</f>
        <v>0</v>
      </c>
      <c r="G303" s="683">
        <f t="shared" ref="G303:G304" si="517">+F303*$R$2</f>
        <v>0</v>
      </c>
      <c r="H303" s="683">
        <f t="shared" ref="H303:H304" si="518">+F303*$R$2</f>
        <v>0</v>
      </c>
      <c r="I303" s="683">
        <f t="shared" ref="I303:I304" si="519">+F303*$R$2</f>
        <v>0</v>
      </c>
      <c r="J303" s="683">
        <f t="shared" ref="J303:J304" si="520">+I303*$S$2</f>
        <v>0</v>
      </c>
      <c r="K303" s="683">
        <f t="shared" ref="K303:K304" si="521">+I303*$S$2</f>
        <v>0</v>
      </c>
      <c r="L303" s="683">
        <f t="shared" ref="L303:L304" si="522">+I303*$S$2</f>
        <v>0</v>
      </c>
      <c r="M303" s="683">
        <f t="shared" ref="M303:M304" si="523">+L303*$T$2</f>
        <v>0</v>
      </c>
      <c r="N303" s="683">
        <f t="shared" ref="N303:N304" si="524">+L303*$T$2</f>
        <v>0</v>
      </c>
      <c r="O303" s="684">
        <f t="shared" ref="O303:O304" si="525">+L303*$T$2</f>
        <v>0</v>
      </c>
      <c r="P303" s="609">
        <f t="shared" ref="P303:P304" si="526">AVERAGE(D303:O303)</f>
        <v>0</v>
      </c>
      <c r="Q303" s="610" t="e">
        <f t="shared" ref="Q303:Q304" si="527">SUM(P303-C303)/C303</f>
        <v>#DIV/0!</v>
      </c>
      <c r="U303" s="904"/>
    </row>
    <row r="304" spans="1:21" ht="25.5" customHeight="1" thickBot="1">
      <c r="A304" s="616" t="s">
        <v>20</v>
      </c>
      <c r="B304" s="611"/>
      <c r="C304" s="612"/>
      <c r="D304" s="685">
        <f>+'M.Yağ Alış Fiyat'!$G$3</f>
        <v>0</v>
      </c>
      <c r="E304" s="685">
        <f>+'M.Yağ Alış Fiyat'!$G$3</f>
        <v>0</v>
      </c>
      <c r="F304" s="685">
        <f>+'M.Yağ Alış Fiyat'!$G$3</f>
        <v>0</v>
      </c>
      <c r="G304" s="685">
        <f t="shared" si="517"/>
        <v>0</v>
      </c>
      <c r="H304" s="685">
        <f t="shared" si="518"/>
        <v>0</v>
      </c>
      <c r="I304" s="685">
        <f t="shared" si="519"/>
        <v>0</v>
      </c>
      <c r="J304" s="685">
        <f t="shared" si="520"/>
        <v>0</v>
      </c>
      <c r="K304" s="685">
        <f t="shared" si="521"/>
        <v>0</v>
      </c>
      <c r="L304" s="685">
        <f t="shared" si="522"/>
        <v>0</v>
      </c>
      <c r="M304" s="685">
        <f t="shared" si="523"/>
        <v>0</v>
      </c>
      <c r="N304" s="685">
        <f t="shared" si="524"/>
        <v>0</v>
      </c>
      <c r="O304" s="685">
        <f t="shared" si="525"/>
        <v>0</v>
      </c>
      <c r="P304" s="613">
        <f t="shared" si="526"/>
        <v>0</v>
      </c>
      <c r="Q304" s="614" t="e">
        <f t="shared" si="527"/>
        <v>#DIV/0!</v>
      </c>
      <c r="U304" s="905"/>
    </row>
    <row r="305" spans="1:21" ht="25.5" customHeight="1" thickBot="1">
      <c r="A305" s="693" t="s">
        <v>30</v>
      </c>
      <c r="B305" s="694"/>
      <c r="C305" s="726"/>
      <c r="D305" s="727"/>
      <c r="E305" s="728"/>
      <c r="F305" s="728"/>
      <c r="G305" s="728"/>
      <c r="H305" s="728"/>
      <c r="I305" s="728"/>
      <c r="J305" s="728"/>
      <c r="K305" s="728"/>
      <c r="L305" s="728"/>
      <c r="M305" s="728"/>
      <c r="N305" s="728"/>
      <c r="O305" s="729"/>
      <c r="P305" s="726"/>
      <c r="Q305" s="730"/>
      <c r="U305" s="910"/>
    </row>
    <row r="306" spans="1:21" ht="25.5" customHeight="1">
      <c r="A306" s="615" t="s">
        <v>106</v>
      </c>
      <c r="B306" s="607"/>
      <c r="C306" s="608"/>
      <c r="D306" s="687">
        <f>D18</f>
        <v>0</v>
      </c>
      <c r="E306" s="687">
        <f t="shared" ref="E306:O306" si="528">E18</f>
        <v>0</v>
      </c>
      <c r="F306" s="687">
        <f t="shared" si="528"/>
        <v>0</v>
      </c>
      <c r="G306" s="687">
        <f t="shared" si="528"/>
        <v>0</v>
      </c>
      <c r="H306" s="687">
        <f t="shared" si="528"/>
        <v>0</v>
      </c>
      <c r="I306" s="687">
        <f t="shared" si="528"/>
        <v>0</v>
      </c>
      <c r="J306" s="687">
        <f t="shared" si="528"/>
        <v>0</v>
      </c>
      <c r="K306" s="687">
        <f t="shared" si="528"/>
        <v>0</v>
      </c>
      <c r="L306" s="687">
        <f t="shared" si="528"/>
        <v>0</v>
      </c>
      <c r="M306" s="687">
        <f t="shared" si="528"/>
        <v>0</v>
      </c>
      <c r="N306" s="687">
        <f t="shared" si="528"/>
        <v>0</v>
      </c>
      <c r="O306" s="687">
        <f t="shared" si="528"/>
        <v>0</v>
      </c>
      <c r="P306" s="609">
        <f t="shared" ref="P306:P307" si="529">AVERAGE(D306:O306)</f>
        <v>0</v>
      </c>
      <c r="Q306" s="610" t="e">
        <f t="shared" ref="Q306:Q307" si="530">SUM(P306-C306)/C306</f>
        <v>#DIV/0!</v>
      </c>
      <c r="U306" s="904"/>
    </row>
    <row r="307" spans="1:21" ht="25.5" customHeight="1" thickBot="1">
      <c r="A307" s="616" t="s">
        <v>105</v>
      </c>
      <c r="B307" s="617"/>
      <c r="C307" s="618"/>
      <c r="D307" s="688">
        <f>D19</f>
        <v>0</v>
      </c>
      <c r="E307" s="688">
        <f t="shared" ref="E307:O307" si="531">E19</f>
        <v>0</v>
      </c>
      <c r="F307" s="688">
        <f t="shared" si="531"/>
        <v>0</v>
      </c>
      <c r="G307" s="688">
        <f t="shared" si="531"/>
        <v>0</v>
      </c>
      <c r="H307" s="688">
        <f t="shared" si="531"/>
        <v>0</v>
      </c>
      <c r="I307" s="688">
        <f t="shared" si="531"/>
        <v>0</v>
      </c>
      <c r="J307" s="688">
        <f t="shared" si="531"/>
        <v>0</v>
      </c>
      <c r="K307" s="688">
        <f t="shared" si="531"/>
        <v>0</v>
      </c>
      <c r="L307" s="688">
        <f t="shared" si="531"/>
        <v>0</v>
      </c>
      <c r="M307" s="688">
        <f t="shared" si="531"/>
        <v>0</v>
      </c>
      <c r="N307" s="688">
        <f t="shared" si="531"/>
        <v>0</v>
      </c>
      <c r="O307" s="688">
        <f t="shared" si="531"/>
        <v>0</v>
      </c>
      <c r="P307" s="619">
        <f t="shared" si="529"/>
        <v>0</v>
      </c>
      <c r="Q307" s="620" t="e">
        <f t="shared" si="530"/>
        <v>#DIV/0!</v>
      </c>
      <c r="U307" s="906"/>
    </row>
    <row r="308" spans="1:21" ht="25.5" customHeight="1" thickBot="1">
      <c r="B308" s="601"/>
      <c r="C308" s="621"/>
      <c r="D308" s="689"/>
      <c r="E308" s="689"/>
      <c r="F308" s="689"/>
      <c r="G308" s="689"/>
      <c r="H308" s="689"/>
      <c r="I308" s="689"/>
      <c r="J308" s="689"/>
      <c r="K308" s="689"/>
      <c r="L308" s="689"/>
      <c r="M308" s="689"/>
      <c r="N308" s="689"/>
      <c r="O308" s="689"/>
      <c r="P308" s="622"/>
      <c r="Q308" s="623"/>
      <c r="U308" s="907"/>
    </row>
    <row r="309" spans="1:21" ht="25.5" customHeight="1" thickBot="1">
      <c r="A309" s="693" t="s">
        <v>86</v>
      </c>
      <c r="B309" s="694"/>
      <c r="C309" s="695"/>
      <c r="D309" s="696">
        <v>14.451305</v>
      </c>
      <c r="E309" s="696">
        <v>14.451305</v>
      </c>
      <c r="F309" s="696">
        <v>14.451305</v>
      </c>
      <c r="G309" s="696">
        <f>+F309*$R$2</f>
        <v>16.474487699999997</v>
      </c>
      <c r="H309" s="696">
        <f t="shared" ref="H309" si="532">+F309*$R$2</f>
        <v>16.474487699999997</v>
      </c>
      <c r="I309" s="696">
        <f t="shared" ref="I309" si="533">+F309*$R$2</f>
        <v>16.474487699999997</v>
      </c>
      <c r="J309" s="696">
        <f t="shared" ref="J309" si="534">+I309*$S$2</f>
        <v>18.945660854999996</v>
      </c>
      <c r="K309" s="696">
        <f t="shared" ref="K309" si="535">+I309*$S$2</f>
        <v>18.945660854999996</v>
      </c>
      <c r="L309" s="696">
        <f t="shared" ref="L309" si="536">+I309*$S$2</f>
        <v>18.945660854999996</v>
      </c>
      <c r="M309" s="696">
        <f t="shared" ref="M309" si="537">+L309*$T$2</f>
        <v>21.976966591799993</v>
      </c>
      <c r="N309" s="696">
        <f t="shared" ref="N309" si="538">+L309*$T$2</f>
        <v>21.976966591799993</v>
      </c>
      <c r="O309" s="696">
        <f t="shared" ref="O309" si="539">+L309*$T$2</f>
        <v>21.976966591799993</v>
      </c>
      <c r="P309" s="2270">
        <f>AVERAGE(D309:O309)</f>
        <v>17.962105036699999</v>
      </c>
      <c r="Q309" s="699" t="e">
        <f>SUM(P309-C309)/C309</f>
        <v>#DIV/0!</v>
      </c>
      <c r="U309" s="911"/>
    </row>
    <row r="310" spans="1:21" ht="25.5" customHeight="1" thickBot="1">
      <c r="A310" s="624"/>
      <c r="B310" s="625"/>
      <c r="C310" s="626"/>
      <c r="D310" s="690"/>
      <c r="E310" s="690"/>
      <c r="F310" s="690"/>
      <c r="G310" s="690"/>
      <c r="H310" s="690"/>
      <c r="I310" s="690"/>
      <c r="J310" s="690"/>
      <c r="K310" s="690"/>
      <c r="L310" s="690"/>
      <c r="M310" s="690"/>
      <c r="N310" s="690"/>
      <c r="O310" s="690"/>
      <c r="P310" s="626"/>
      <c r="Q310" s="627"/>
    </row>
    <row r="311" spans="1:21" ht="25.5" customHeight="1" thickBot="1">
      <c r="A311" s="693" t="s">
        <v>31</v>
      </c>
      <c r="B311" s="694"/>
      <c r="C311" s="695"/>
      <c r="D311" s="696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  <c r="P311" s="695"/>
      <c r="Q311" s="699"/>
    </row>
    <row r="313" spans="1:21" ht="16.2" thickBot="1"/>
    <row r="314" spans="1:21" ht="32.1" customHeight="1" thickBot="1">
      <c r="A314" s="649"/>
      <c r="B314" s="2390"/>
      <c r="C314" s="2392" t="s">
        <v>695</v>
      </c>
      <c r="D314" s="2394" t="s">
        <v>100</v>
      </c>
      <c r="E314" s="2395"/>
      <c r="F314" s="2395"/>
      <c r="G314" s="2395"/>
      <c r="H314" s="2395"/>
      <c r="I314" s="2395"/>
      <c r="J314" s="2395"/>
      <c r="K314" s="2395"/>
      <c r="L314" s="2395"/>
      <c r="M314" s="2395"/>
      <c r="N314" s="2395"/>
      <c r="O314" s="2395"/>
      <c r="P314" s="2396"/>
      <c r="Q314" s="937" t="s">
        <v>605</v>
      </c>
    </row>
    <row r="315" spans="1:21" ht="32.1" customHeight="1" thickBot="1">
      <c r="A315" s="650"/>
      <c r="B315" s="2391"/>
      <c r="C315" s="2393"/>
      <c r="D315" s="678" t="s">
        <v>1</v>
      </c>
      <c r="E315" s="679" t="s">
        <v>2</v>
      </c>
      <c r="F315" s="679" t="s">
        <v>3</v>
      </c>
      <c r="G315" s="679" t="s">
        <v>4</v>
      </c>
      <c r="H315" s="679" t="s">
        <v>5</v>
      </c>
      <c r="I315" s="679" t="s">
        <v>6</v>
      </c>
      <c r="J315" s="679" t="s">
        <v>7</v>
      </c>
      <c r="K315" s="679" t="s">
        <v>8</v>
      </c>
      <c r="L315" s="679" t="s">
        <v>9</v>
      </c>
      <c r="M315" s="679" t="s">
        <v>10</v>
      </c>
      <c r="N315" s="679" t="s">
        <v>11</v>
      </c>
      <c r="O315" s="680" t="s">
        <v>12</v>
      </c>
      <c r="P315" s="651" t="s">
        <v>281</v>
      </c>
      <c r="Q315" s="941" t="s">
        <v>693</v>
      </c>
      <c r="R315" s="913" t="s">
        <v>509</v>
      </c>
      <c r="S315" s="913" t="s">
        <v>150</v>
      </c>
      <c r="T315" s="913" t="s">
        <v>151</v>
      </c>
    </row>
    <row r="316" spans="1:21" ht="25.5" customHeight="1" thickBot="1">
      <c r="A316" s="693" t="s">
        <v>28</v>
      </c>
      <c r="B316" s="694"/>
      <c r="C316" s="695"/>
      <c r="D316" s="696"/>
      <c r="E316" s="697"/>
      <c r="F316" s="697"/>
      <c r="G316" s="697"/>
      <c r="H316" s="697"/>
      <c r="I316" s="697"/>
      <c r="J316" s="697"/>
      <c r="K316" s="697"/>
      <c r="L316" s="697"/>
      <c r="M316" s="697"/>
      <c r="N316" s="697"/>
      <c r="O316" s="698"/>
      <c r="P316" s="695"/>
      <c r="Q316" s="699"/>
      <c r="R316" s="914" t="s">
        <v>487</v>
      </c>
      <c r="S316" s="914"/>
      <c r="T316" s="914" t="s">
        <v>320</v>
      </c>
      <c r="U316" s="914" t="s">
        <v>497</v>
      </c>
    </row>
    <row r="317" spans="1:21" ht="25.5" customHeight="1">
      <c r="A317" s="654" t="s">
        <v>15</v>
      </c>
      <c r="B317" s="655"/>
      <c r="C317" s="656"/>
      <c r="D317" s="657">
        <f>'Alış Fiyat'!D317*1.026</f>
        <v>0</v>
      </c>
      <c r="E317" s="657">
        <f>'Alış Fiyat'!E317*1.026</f>
        <v>0</v>
      </c>
      <c r="F317" s="657">
        <f>'Alış Fiyat'!F317*1.026</f>
        <v>0</v>
      </c>
      <c r="G317" s="657">
        <f>+F317*$R$2</f>
        <v>0</v>
      </c>
      <c r="H317" s="657">
        <f t="shared" ref="H317:H318" si="540">+F317*$R$2</f>
        <v>0</v>
      </c>
      <c r="I317" s="657">
        <f t="shared" ref="I317:I318" si="541">+F317*$R$2</f>
        <v>0</v>
      </c>
      <c r="J317" s="657">
        <f t="shared" ref="J317:J318" si="542">+I317*$S$2</f>
        <v>0</v>
      </c>
      <c r="K317" s="657">
        <f t="shared" ref="K317:K318" si="543">+I317*$S$2</f>
        <v>0</v>
      </c>
      <c r="L317" s="657">
        <f t="shared" ref="L317:L318" si="544">+I317*$S$2</f>
        <v>0</v>
      </c>
      <c r="M317" s="657">
        <f t="shared" ref="M317:M318" si="545">+L317*$T$2</f>
        <v>0</v>
      </c>
      <c r="N317" s="657">
        <f t="shared" ref="N317:N318" si="546">+L317*$T$2</f>
        <v>0</v>
      </c>
      <c r="O317" s="657">
        <f t="shared" ref="O317:O318" si="547">+L317*$T$2</f>
        <v>0</v>
      </c>
      <c r="P317" s="658">
        <f>AVERAGE(D317:O317)</f>
        <v>0</v>
      </c>
      <c r="Q317" s="659" t="e">
        <f>SUM(P317-C317)/C317</f>
        <v>#DIV/0!</v>
      </c>
      <c r="U317" s="915"/>
    </row>
    <row r="318" spans="1:21" ht="25.5" hidden="1" customHeight="1">
      <c r="A318" s="660" t="s">
        <v>16</v>
      </c>
      <c r="B318" s="661"/>
      <c r="C318" s="662"/>
      <c r="D318" s="663"/>
      <c r="E318" s="663"/>
      <c r="F318" s="663"/>
      <c r="G318" s="663">
        <f>+F318*$R$2</f>
        <v>0</v>
      </c>
      <c r="H318" s="663">
        <f t="shared" si="540"/>
        <v>0</v>
      </c>
      <c r="I318" s="663">
        <f t="shared" si="541"/>
        <v>0</v>
      </c>
      <c r="J318" s="663">
        <f t="shared" si="542"/>
        <v>0</v>
      </c>
      <c r="K318" s="663">
        <f t="shared" si="543"/>
        <v>0</v>
      </c>
      <c r="L318" s="663">
        <f t="shared" si="544"/>
        <v>0</v>
      </c>
      <c r="M318" s="663">
        <f t="shared" si="545"/>
        <v>0</v>
      </c>
      <c r="N318" s="663">
        <f t="shared" si="546"/>
        <v>0</v>
      </c>
      <c r="O318" s="663">
        <f t="shared" si="547"/>
        <v>0</v>
      </c>
      <c r="P318" s="604"/>
      <c r="Q318" s="600"/>
      <c r="U318" s="916"/>
    </row>
    <row r="319" spans="1:21" ht="25.5" customHeight="1">
      <c r="A319" s="701" t="s">
        <v>27</v>
      </c>
      <c r="B319" s="702"/>
      <c r="C319" s="703"/>
      <c r="D319" s="704"/>
      <c r="E319" s="704"/>
      <c r="F319" s="704"/>
      <c r="G319" s="704"/>
      <c r="H319" s="704"/>
      <c r="I319" s="704"/>
      <c r="J319" s="704"/>
      <c r="K319" s="704"/>
      <c r="L319" s="704"/>
      <c r="M319" s="704"/>
      <c r="N319" s="704"/>
      <c r="O319" s="704"/>
      <c r="P319" s="707"/>
      <c r="Q319" s="708"/>
      <c r="U319" s="917"/>
    </row>
    <row r="320" spans="1:21" ht="25.5" customHeight="1">
      <c r="A320" s="710" t="s">
        <v>17</v>
      </c>
      <c r="B320" s="711"/>
      <c r="C320" s="712"/>
      <c r="D320" s="713"/>
      <c r="E320" s="713"/>
      <c r="F320" s="713"/>
      <c r="G320" s="713">
        <f>+F320*$R$2</f>
        <v>0</v>
      </c>
      <c r="H320" s="713">
        <f t="shared" ref="H320:H324" si="548">+F320*$R$2</f>
        <v>0</v>
      </c>
      <c r="I320" s="713">
        <f t="shared" ref="I320:I324" si="549">+F320*$R$2</f>
        <v>0</v>
      </c>
      <c r="J320" s="713">
        <f t="shared" ref="J320:J324" si="550">+I320*$S$2</f>
        <v>0</v>
      </c>
      <c r="K320" s="713">
        <f t="shared" ref="K320:K324" si="551">+I320*$S$2</f>
        <v>0</v>
      </c>
      <c r="L320" s="713">
        <f t="shared" ref="L320:L324" si="552">+I320*$S$2</f>
        <v>0</v>
      </c>
      <c r="M320" s="713">
        <f t="shared" ref="M320:M324" si="553">+L320*$T$2</f>
        <v>0</v>
      </c>
      <c r="N320" s="713">
        <f t="shared" ref="N320:N324" si="554">+L320*$T$2</f>
        <v>0</v>
      </c>
      <c r="O320" s="713">
        <f t="shared" ref="O320:O324" si="555">+L320*$T$2</f>
        <v>0</v>
      </c>
      <c r="P320" s="716">
        <f t="shared" ref="P320" si="556">AVERAGE(D320:O320)</f>
        <v>0</v>
      </c>
      <c r="Q320" s="717"/>
      <c r="U320" s="918"/>
    </row>
    <row r="321" spans="1:21" ht="25.5" customHeight="1">
      <c r="A321" s="670" t="s">
        <v>81</v>
      </c>
      <c r="B321" s="602"/>
      <c r="C321" s="656"/>
      <c r="D321" s="671">
        <f>'Alış Fiyat'!D321*1.026</f>
        <v>0</v>
      </c>
      <c r="E321" s="671">
        <f>'Alış Fiyat'!E321*1.026</f>
        <v>0</v>
      </c>
      <c r="F321" s="671">
        <f>'Alış Fiyat'!F321*1.026</f>
        <v>0</v>
      </c>
      <c r="G321" s="671">
        <f>'Alış Fiyat'!G321*1.026</f>
        <v>21.016782098047234</v>
      </c>
      <c r="H321" s="671">
        <f>'Alış Fiyat'!H321*1.026</f>
        <v>21.401708791518182</v>
      </c>
      <c r="I321" s="671">
        <f>'Alış Fiyat'!I321*1.026</f>
        <v>22.282103063436651</v>
      </c>
      <c r="J321" s="671">
        <f>'Alış Fiyat'!J321*1.026</f>
        <v>23.267530335359503</v>
      </c>
      <c r="K321" s="671">
        <f>'Alış Fiyat'!K321*1.026</f>
        <v>23.808484099063001</v>
      </c>
      <c r="L321" s="671">
        <f>'Alış Fiyat'!L321*1.026</f>
        <v>23.625749105721408</v>
      </c>
      <c r="M321" s="671">
        <f>'Alış Fiyat'!M321*1.026</f>
        <v>24.308953714158466</v>
      </c>
      <c r="N321" s="671">
        <f>'Alış Fiyat'!N321*1.026</f>
        <v>23.596355627346075</v>
      </c>
      <c r="O321" s="671">
        <f>'Alış Fiyat'!O321*1.026</f>
        <v>24.102490526570396</v>
      </c>
      <c r="P321" s="605">
        <f>AVERAGE(D321:O321)</f>
        <v>17.284179780101741</v>
      </c>
      <c r="Q321" s="606" t="e">
        <f>SUM(P321-C321)/C321</f>
        <v>#DIV/0!</v>
      </c>
      <c r="U321" s="919"/>
    </row>
    <row r="322" spans="1:21" ht="25.5" hidden="1" customHeight="1">
      <c r="A322" s="672" t="s">
        <v>82</v>
      </c>
      <c r="B322" s="603"/>
      <c r="C322" s="662"/>
      <c r="D322" s="667"/>
      <c r="E322" s="667"/>
      <c r="F322" s="667"/>
      <c r="G322" s="667">
        <f>+F322*$R$2</f>
        <v>0</v>
      </c>
      <c r="H322" s="667">
        <f t="shared" si="548"/>
        <v>0</v>
      </c>
      <c r="I322" s="667">
        <f t="shared" si="549"/>
        <v>0</v>
      </c>
      <c r="J322" s="667">
        <f t="shared" si="550"/>
        <v>0</v>
      </c>
      <c r="K322" s="667">
        <f t="shared" si="551"/>
        <v>0</v>
      </c>
      <c r="L322" s="667">
        <f t="shared" si="552"/>
        <v>0</v>
      </c>
      <c r="M322" s="667">
        <f t="shared" si="553"/>
        <v>0</v>
      </c>
      <c r="N322" s="667">
        <f t="shared" si="554"/>
        <v>0</v>
      </c>
      <c r="O322" s="667">
        <f t="shared" si="555"/>
        <v>0</v>
      </c>
      <c r="P322" s="604"/>
      <c r="Q322" s="600"/>
      <c r="U322" s="920"/>
    </row>
    <row r="323" spans="1:21" ht="25.5" customHeight="1">
      <c r="A323" s="670" t="s">
        <v>83</v>
      </c>
      <c r="B323" s="673"/>
      <c r="C323" s="656"/>
      <c r="D323" s="674">
        <f>+D321</f>
        <v>0</v>
      </c>
      <c r="E323" s="674">
        <f t="shared" ref="E323:F323" si="557">+E321</f>
        <v>0</v>
      </c>
      <c r="F323" s="674">
        <f t="shared" si="557"/>
        <v>0</v>
      </c>
      <c r="G323" s="674">
        <f t="shared" ref="G323:G324" si="558">+F323*$R$2</f>
        <v>0</v>
      </c>
      <c r="H323" s="674">
        <f t="shared" si="548"/>
        <v>0</v>
      </c>
      <c r="I323" s="674">
        <f t="shared" si="549"/>
        <v>0</v>
      </c>
      <c r="J323" s="674">
        <f t="shared" si="550"/>
        <v>0</v>
      </c>
      <c r="K323" s="674">
        <f t="shared" si="551"/>
        <v>0</v>
      </c>
      <c r="L323" s="674">
        <f t="shared" si="552"/>
        <v>0</v>
      </c>
      <c r="M323" s="674">
        <f t="shared" si="553"/>
        <v>0</v>
      </c>
      <c r="N323" s="674">
        <f t="shared" si="554"/>
        <v>0</v>
      </c>
      <c r="O323" s="674">
        <f t="shared" si="555"/>
        <v>0</v>
      </c>
      <c r="P323" s="605">
        <f>AVERAGE(D323:O323)</f>
        <v>0</v>
      </c>
      <c r="Q323" s="606" t="e">
        <f>SUM(P323-C323)/C323</f>
        <v>#DIV/0!</v>
      </c>
      <c r="U323" s="920"/>
    </row>
    <row r="324" spans="1:21" ht="25.5" hidden="1" customHeight="1">
      <c r="A324" s="672" t="s">
        <v>84</v>
      </c>
      <c r="B324" s="661"/>
      <c r="C324" s="675"/>
      <c r="D324" s="676"/>
      <c r="E324" s="676"/>
      <c r="F324" s="676"/>
      <c r="G324" s="676">
        <f t="shared" si="558"/>
        <v>0</v>
      </c>
      <c r="H324" s="676">
        <f t="shared" si="548"/>
        <v>0</v>
      </c>
      <c r="I324" s="676">
        <f t="shared" si="549"/>
        <v>0</v>
      </c>
      <c r="J324" s="676">
        <f t="shared" si="550"/>
        <v>0</v>
      </c>
      <c r="K324" s="676">
        <f t="shared" si="551"/>
        <v>0</v>
      </c>
      <c r="L324" s="676">
        <f t="shared" si="552"/>
        <v>0</v>
      </c>
      <c r="M324" s="676">
        <f t="shared" si="553"/>
        <v>0</v>
      </c>
      <c r="N324" s="676">
        <f t="shared" si="554"/>
        <v>0</v>
      </c>
      <c r="O324" s="676">
        <f t="shared" si="555"/>
        <v>0</v>
      </c>
      <c r="P324" s="604"/>
      <c r="Q324" s="600"/>
      <c r="U324" s="920"/>
    </row>
    <row r="325" spans="1:21" ht="25.5" customHeight="1" thickBot="1">
      <c r="A325" s="718" t="s">
        <v>18</v>
      </c>
      <c r="B325" s="719"/>
      <c r="C325" s="720"/>
      <c r="D325" s="721"/>
      <c r="E325" s="721"/>
      <c r="F325" s="721"/>
      <c r="G325" s="721"/>
      <c r="H325" s="721"/>
      <c r="I325" s="721"/>
      <c r="J325" s="721"/>
      <c r="K325" s="721"/>
      <c r="L325" s="721"/>
      <c r="M325" s="721"/>
      <c r="N325" s="721"/>
      <c r="O325" s="721"/>
      <c r="P325" s="720"/>
      <c r="Q325" s="724"/>
      <c r="U325" s="921"/>
    </row>
    <row r="326" spans="1:21" ht="25.5" customHeight="1" thickBot="1">
      <c r="A326" s="693" t="s">
        <v>29</v>
      </c>
      <c r="B326" s="725"/>
      <c r="C326" s="726"/>
      <c r="D326" s="727"/>
      <c r="E326" s="728"/>
      <c r="F326" s="728"/>
      <c r="G326" s="728"/>
      <c r="H326" s="728"/>
      <c r="I326" s="728"/>
      <c r="J326" s="728"/>
      <c r="K326" s="728"/>
      <c r="L326" s="728"/>
      <c r="M326" s="728"/>
      <c r="N326" s="728"/>
      <c r="O326" s="729"/>
      <c r="P326" s="726"/>
      <c r="Q326" s="730"/>
      <c r="U326" s="910"/>
    </row>
    <row r="327" spans="1:21" ht="25.5" customHeight="1">
      <c r="A327" s="615" t="s">
        <v>19</v>
      </c>
      <c r="B327" s="607"/>
      <c r="C327" s="608"/>
      <c r="D327" s="681">
        <f>+'M.Yağ Alış Fiyat'!$G$2</f>
        <v>0</v>
      </c>
      <c r="E327" s="682">
        <f>+'M.Yağ Alış Fiyat'!$G$2</f>
        <v>0</v>
      </c>
      <c r="F327" s="683">
        <f>+'M.Yağ Alış Fiyat'!$G$2</f>
        <v>0</v>
      </c>
      <c r="G327" s="683">
        <f t="shared" ref="G327:G328" si="559">+F327*$R$2</f>
        <v>0</v>
      </c>
      <c r="H327" s="683">
        <f t="shared" ref="H327:H328" si="560">+F327*$R$2</f>
        <v>0</v>
      </c>
      <c r="I327" s="683">
        <f t="shared" ref="I327:I328" si="561">+F327*$R$2</f>
        <v>0</v>
      </c>
      <c r="J327" s="683">
        <f t="shared" ref="J327:J328" si="562">+I327*$S$2</f>
        <v>0</v>
      </c>
      <c r="K327" s="683">
        <f t="shared" ref="K327:K328" si="563">+I327*$S$2</f>
        <v>0</v>
      </c>
      <c r="L327" s="683">
        <f t="shared" ref="L327:L328" si="564">+I327*$S$2</f>
        <v>0</v>
      </c>
      <c r="M327" s="683">
        <f t="shared" ref="M327:M328" si="565">+L327*$T$2</f>
        <v>0</v>
      </c>
      <c r="N327" s="683">
        <f t="shared" ref="N327:N328" si="566">+L327*$T$2</f>
        <v>0</v>
      </c>
      <c r="O327" s="684">
        <f t="shared" ref="O327:O328" si="567">+L327*$T$2</f>
        <v>0</v>
      </c>
      <c r="P327" s="609">
        <f t="shared" ref="P327:P328" si="568">AVERAGE(D327:O327)</f>
        <v>0</v>
      </c>
      <c r="Q327" s="610" t="e">
        <f t="shared" ref="Q327:Q328" si="569">SUM(P327-C327)/C327</f>
        <v>#DIV/0!</v>
      </c>
      <c r="U327" s="904"/>
    </row>
    <row r="328" spans="1:21" ht="25.5" customHeight="1" thickBot="1">
      <c r="A328" s="616" t="s">
        <v>20</v>
      </c>
      <c r="B328" s="611"/>
      <c r="C328" s="612"/>
      <c r="D328" s="685">
        <f>+'M.Yağ Alış Fiyat'!$G$3</f>
        <v>0</v>
      </c>
      <c r="E328" s="685">
        <f>+'M.Yağ Alış Fiyat'!$G$3</f>
        <v>0</v>
      </c>
      <c r="F328" s="685">
        <f>+'M.Yağ Alış Fiyat'!$G$3</f>
        <v>0</v>
      </c>
      <c r="G328" s="685">
        <f t="shared" si="559"/>
        <v>0</v>
      </c>
      <c r="H328" s="685">
        <f t="shared" si="560"/>
        <v>0</v>
      </c>
      <c r="I328" s="685">
        <f t="shared" si="561"/>
        <v>0</v>
      </c>
      <c r="J328" s="685">
        <f t="shared" si="562"/>
        <v>0</v>
      </c>
      <c r="K328" s="685">
        <f t="shared" si="563"/>
        <v>0</v>
      </c>
      <c r="L328" s="685">
        <f t="shared" si="564"/>
        <v>0</v>
      </c>
      <c r="M328" s="685">
        <f t="shared" si="565"/>
        <v>0</v>
      </c>
      <c r="N328" s="685">
        <f t="shared" si="566"/>
        <v>0</v>
      </c>
      <c r="O328" s="685">
        <f t="shared" si="567"/>
        <v>0</v>
      </c>
      <c r="P328" s="613">
        <f t="shared" si="568"/>
        <v>0</v>
      </c>
      <c r="Q328" s="614" t="e">
        <f t="shared" si="569"/>
        <v>#DIV/0!</v>
      </c>
      <c r="U328" s="905"/>
    </row>
    <row r="329" spans="1:21" ht="25.5" customHeight="1" thickBot="1">
      <c r="A329" s="693" t="s">
        <v>30</v>
      </c>
      <c r="B329" s="694"/>
      <c r="C329" s="726"/>
      <c r="D329" s="727"/>
      <c r="E329" s="728"/>
      <c r="F329" s="728"/>
      <c r="G329" s="728"/>
      <c r="H329" s="728"/>
      <c r="I329" s="728"/>
      <c r="J329" s="728"/>
      <c r="K329" s="728"/>
      <c r="L329" s="728"/>
      <c r="M329" s="728"/>
      <c r="N329" s="728"/>
      <c r="O329" s="729"/>
      <c r="P329" s="726"/>
      <c r="Q329" s="730"/>
      <c r="U329" s="910"/>
    </row>
    <row r="330" spans="1:21" ht="25.5" customHeight="1">
      <c r="A330" s="615" t="s">
        <v>106</v>
      </c>
      <c r="B330" s="607"/>
      <c r="C330" s="608"/>
      <c r="D330" s="687">
        <f>D18</f>
        <v>0</v>
      </c>
      <c r="E330" s="687">
        <f t="shared" ref="E330:O330" si="570">E18</f>
        <v>0</v>
      </c>
      <c r="F330" s="687">
        <f t="shared" si="570"/>
        <v>0</v>
      </c>
      <c r="G330" s="687">
        <f t="shared" si="570"/>
        <v>0</v>
      </c>
      <c r="H330" s="687">
        <f t="shared" si="570"/>
        <v>0</v>
      </c>
      <c r="I330" s="687">
        <f t="shared" si="570"/>
        <v>0</v>
      </c>
      <c r="J330" s="687">
        <f t="shared" si="570"/>
        <v>0</v>
      </c>
      <c r="K330" s="687">
        <f t="shared" si="570"/>
        <v>0</v>
      </c>
      <c r="L330" s="687">
        <f t="shared" si="570"/>
        <v>0</v>
      </c>
      <c r="M330" s="687">
        <f t="shared" si="570"/>
        <v>0</v>
      </c>
      <c r="N330" s="687">
        <f t="shared" si="570"/>
        <v>0</v>
      </c>
      <c r="O330" s="687">
        <f t="shared" si="570"/>
        <v>0</v>
      </c>
      <c r="P330" s="609">
        <f t="shared" ref="P330:P331" si="571">AVERAGE(D330:O330)</f>
        <v>0</v>
      </c>
      <c r="Q330" s="610" t="e">
        <f t="shared" ref="Q330:Q331" si="572">SUM(P330-C330)/C330</f>
        <v>#DIV/0!</v>
      </c>
      <c r="U330" s="904"/>
    </row>
    <row r="331" spans="1:21" ht="25.5" customHeight="1" thickBot="1">
      <c r="A331" s="616" t="s">
        <v>105</v>
      </c>
      <c r="B331" s="617"/>
      <c r="C331" s="618"/>
      <c r="D331" s="688">
        <f>D19</f>
        <v>0</v>
      </c>
      <c r="E331" s="688">
        <f t="shared" ref="E331:O331" si="573">E19</f>
        <v>0</v>
      </c>
      <c r="F331" s="688">
        <f t="shared" si="573"/>
        <v>0</v>
      </c>
      <c r="G331" s="688">
        <f t="shared" si="573"/>
        <v>0</v>
      </c>
      <c r="H331" s="688">
        <f t="shared" si="573"/>
        <v>0</v>
      </c>
      <c r="I331" s="688">
        <f t="shared" si="573"/>
        <v>0</v>
      </c>
      <c r="J331" s="688">
        <f t="shared" si="573"/>
        <v>0</v>
      </c>
      <c r="K331" s="688">
        <f t="shared" si="573"/>
        <v>0</v>
      </c>
      <c r="L331" s="688">
        <f t="shared" si="573"/>
        <v>0</v>
      </c>
      <c r="M331" s="688">
        <f t="shared" si="573"/>
        <v>0</v>
      </c>
      <c r="N331" s="688">
        <f t="shared" si="573"/>
        <v>0</v>
      </c>
      <c r="O331" s="688">
        <f t="shared" si="573"/>
        <v>0</v>
      </c>
      <c r="P331" s="619">
        <f t="shared" si="571"/>
        <v>0</v>
      </c>
      <c r="Q331" s="620" t="e">
        <f t="shared" si="572"/>
        <v>#DIV/0!</v>
      </c>
      <c r="U331" s="906"/>
    </row>
    <row r="332" spans="1:21" ht="25.5" customHeight="1" thickBot="1">
      <c r="B332" s="601"/>
      <c r="C332" s="621"/>
      <c r="D332" s="689"/>
      <c r="E332" s="689"/>
      <c r="F332" s="689"/>
      <c r="G332" s="689"/>
      <c r="H332" s="689"/>
      <c r="I332" s="689"/>
      <c r="J332" s="689"/>
      <c r="K332" s="689"/>
      <c r="L332" s="689"/>
      <c r="M332" s="689"/>
      <c r="N332" s="689"/>
      <c r="O332" s="689"/>
      <c r="P332" s="622"/>
      <c r="Q332" s="623"/>
      <c r="U332" s="907"/>
    </row>
    <row r="333" spans="1:21" ht="25.5" customHeight="1" thickBot="1">
      <c r="A333" s="693" t="s">
        <v>86</v>
      </c>
      <c r="B333" s="694"/>
      <c r="C333" s="695"/>
      <c r="D333" s="696">
        <v>14.451305</v>
      </c>
      <c r="E333" s="696">
        <v>14.451305</v>
      </c>
      <c r="F333" s="696">
        <v>14.451305</v>
      </c>
      <c r="G333" s="696">
        <f>+F333*$R$2</f>
        <v>16.474487699999997</v>
      </c>
      <c r="H333" s="696">
        <f t="shared" ref="H333" si="574">+F333*$R$2</f>
        <v>16.474487699999997</v>
      </c>
      <c r="I333" s="696">
        <f t="shared" ref="I333" si="575">+F333*$R$2</f>
        <v>16.474487699999997</v>
      </c>
      <c r="J333" s="696">
        <f t="shared" ref="J333" si="576">+I333*$S$2</f>
        <v>18.945660854999996</v>
      </c>
      <c r="K333" s="696">
        <f t="shared" ref="K333" si="577">+I333*$S$2</f>
        <v>18.945660854999996</v>
      </c>
      <c r="L333" s="696">
        <f t="shared" ref="L333" si="578">+I333*$S$2</f>
        <v>18.945660854999996</v>
      </c>
      <c r="M333" s="696">
        <f t="shared" ref="M333" si="579">+L333*$T$2</f>
        <v>21.976966591799993</v>
      </c>
      <c r="N333" s="696">
        <f t="shared" ref="N333" si="580">+L333*$T$2</f>
        <v>21.976966591799993</v>
      </c>
      <c r="O333" s="696">
        <f t="shared" ref="O333" si="581">+L333*$T$2</f>
        <v>21.976966591799993</v>
      </c>
      <c r="P333" s="2270">
        <f>AVERAGE(D333:O333)</f>
        <v>17.962105036699999</v>
      </c>
      <c r="Q333" s="699" t="e">
        <f>SUM(P333-C333)/C333</f>
        <v>#DIV/0!</v>
      </c>
      <c r="U333" s="911"/>
    </row>
    <row r="334" spans="1:21" ht="25.5" customHeight="1" thickBot="1">
      <c r="A334" s="624"/>
      <c r="B334" s="625"/>
      <c r="C334" s="626"/>
      <c r="D334" s="690"/>
      <c r="E334" s="690"/>
      <c r="F334" s="690"/>
      <c r="G334" s="690"/>
      <c r="H334" s="690"/>
      <c r="I334" s="690"/>
      <c r="J334" s="690"/>
      <c r="K334" s="690"/>
      <c r="L334" s="690"/>
      <c r="M334" s="690"/>
      <c r="N334" s="690"/>
      <c r="O334" s="690"/>
      <c r="P334" s="626"/>
      <c r="Q334" s="627"/>
    </row>
    <row r="335" spans="1:21" ht="25.5" customHeight="1" thickBot="1">
      <c r="A335" s="693" t="s">
        <v>31</v>
      </c>
      <c r="B335" s="694"/>
      <c r="C335" s="695"/>
      <c r="D335" s="696"/>
      <c r="E335" s="697"/>
      <c r="F335" s="697"/>
      <c r="G335" s="697"/>
      <c r="H335" s="697"/>
      <c r="I335" s="697"/>
      <c r="J335" s="697"/>
      <c r="K335" s="697"/>
      <c r="L335" s="697"/>
      <c r="M335" s="697"/>
      <c r="N335" s="697"/>
      <c r="O335" s="698"/>
      <c r="P335" s="695"/>
      <c r="Q335" s="699"/>
    </row>
    <row r="336" spans="1:21" ht="16.2" thickBot="1"/>
    <row r="337" spans="1:21" ht="32.1" customHeight="1" thickBot="1">
      <c r="A337" s="649"/>
      <c r="B337" s="2390"/>
      <c r="C337" s="2392" t="s">
        <v>695</v>
      </c>
      <c r="D337" s="2394" t="s">
        <v>514</v>
      </c>
      <c r="E337" s="2395"/>
      <c r="F337" s="2395"/>
      <c r="G337" s="2395"/>
      <c r="H337" s="2395"/>
      <c r="I337" s="2395"/>
      <c r="J337" s="2395"/>
      <c r="K337" s="2395"/>
      <c r="L337" s="2395"/>
      <c r="M337" s="2395"/>
      <c r="N337" s="2395"/>
      <c r="O337" s="2395"/>
      <c r="P337" s="2396"/>
      <c r="Q337" s="937" t="s">
        <v>605</v>
      </c>
    </row>
    <row r="338" spans="1:21" ht="32.1" customHeight="1" thickBot="1">
      <c r="A338" s="650"/>
      <c r="B338" s="2391"/>
      <c r="C338" s="2393"/>
      <c r="D338" s="678" t="s">
        <v>1</v>
      </c>
      <c r="E338" s="679" t="s">
        <v>2</v>
      </c>
      <c r="F338" s="679" t="s">
        <v>3</v>
      </c>
      <c r="G338" s="679" t="s">
        <v>4</v>
      </c>
      <c r="H338" s="679" t="s">
        <v>5</v>
      </c>
      <c r="I338" s="679" t="s">
        <v>6</v>
      </c>
      <c r="J338" s="679" t="s">
        <v>7</v>
      </c>
      <c r="K338" s="679" t="s">
        <v>8</v>
      </c>
      <c r="L338" s="679" t="s">
        <v>9</v>
      </c>
      <c r="M338" s="679" t="s">
        <v>10</v>
      </c>
      <c r="N338" s="679" t="s">
        <v>11</v>
      </c>
      <c r="O338" s="680" t="s">
        <v>12</v>
      </c>
      <c r="P338" s="651" t="s">
        <v>281</v>
      </c>
      <c r="Q338" s="941" t="s">
        <v>693</v>
      </c>
      <c r="R338" s="913" t="s">
        <v>509</v>
      </c>
      <c r="S338" s="913" t="s">
        <v>150</v>
      </c>
      <c r="T338" s="913" t="s">
        <v>151</v>
      </c>
    </row>
    <row r="339" spans="1:21" ht="25.5" customHeight="1" thickBot="1">
      <c r="A339" s="693" t="s">
        <v>28</v>
      </c>
      <c r="B339" s="694"/>
      <c r="C339" s="695"/>
      <c r="D339" s="696"/>
      <c r="E339" s="697"/>
      <c r="F339" s="697"/>
      <c r="G339" s="697"/>
      <c r="H339" s="697"/>
      <c r="I339" s="697"/>
      <c r="J339" s="697"/>
      <c r="K339" s="697"/>
      <c r="L339" s="697"/>
      <c r="M339" s="697"/>
      <c r="N339" s="697"/>
      <c r="O339" s="698"/>
      <c r="P339" s="695"/>
      <c r="Q339" s="699"/>
      <c r="R339" s="1795" t="s">
        <v>159</v>
      </c>
      <c r="S339" s="914"/>
      <c r="T339" s="914" t="s">
        <v>320</v>
      </c>
      <c r="U339" s="914" t="s">
        <v>495</v>
      </c>
    </row>
    <row r="340" spans="1:21" ht="25.5" customHeight="1">
      <c r="A340" s="654" t="s">
        <v>15</v>
      </c>
      <c r="B340" s="655"/>
      <c r="C340" s="656"/>
      <c r="D340" s="657">
        <f>'Alış Fiyat'!D340*1.026</f>
        <v>0</v>
      </c>
      <c r="E340" s="657">
        <f>'Alış Fiyat'!E340*1.026</f>
        <v>0</v>
      </c>
      <c r="F340" s="657">
        <f>'Alış Fiyat'!F340*1.026</f>
        <v>0</v>
      </c>
      <c r="G340" s="657">
        <f>+F340*$R$2</f>
        <v>0</v>
      </c>
      <c r="H340" s="657">
        <f t="shared" ref="H340:H341" si="582">+F340*$R$2</f>
        <v>0</v>
      </c>
      <c r="I340" s="657">
        <f t="shared" ref="I340:I341" si="583">+F340*$R$2</f>
        <v>0</v>
      </c>
      <c r="J340" s="657">
        <f t="shared" ref="J340:J341" si="584">+I340*$S$2</f>
        <v>0</v>
      </c>
      <c r="K340" s="657">
        <f t="shared" ref="K340:K341" si="585">+I340*$S$2</f>
        <v>0</v>
      </c>
      <c r="L340" s="657">
        <f t="shared" ref="L340:L341" si="586">+I340*$S$2</f>
        <v>0</v>
      </c>
      <c r="M340" s="657">
        <f t="shared" ref="M340:M341" si="587">+L340*$T$2</f>
        <v>0</v>
      </c>
      <c r="N340" s="657">
        <f t="shared" ref="N340:N341" si="588">+L340*$T$2</f>
        <v>0</v>
      </c>
      <c r="O340" s="657">
        <f t="shared" ref="O340:O341" si="589">+L340*$T$2</f>
        <v>0</v>
      </c>
      <c r="P340" s="658">
        <f>AVERAGE(D340:O340)</f>
        <v>0</v>
      </c>
      <c r="Q340" s="659" t="e">
        <f>SUM(P340-C340)/C340</f>
        <v>#DIV/0!</v>
      </c>
      <c r="U340" s="915"/>
    </row>
    <row r="341" spans="1:21" ht="25.5" hidden="1" customHeight="1">
      <c r="A341" s="660" t="s">
        <v>16</v>
      </c>
      <c r="B341" s="661"/>
      <c r="C341" s="662"/>
      <c r="D341" s="663"/>
      <c r="E341" s="663"/>
      <c r="F341" s="663"/>
      <c r="G341" s="663">
        <f>+F341*$R$2</f>
        <v>0</v>
      </c>
      <c r="H341" s="663">
        <f t="shared" si="582"/>
        <v>0</v>
      </c>
      <c r="I341" s="663">
        <f t="shared" si="583"/>
        <v>0</v>
      </c>
      <c r="J341" s="663">
        <f t="shared" si="584"/>
        <v>0</v>
      </c>
      <c r="K341" s="663">
        <f t="shared" si="585"/>
        <v>0</v>
      </c>
      <c r="L341" s="663">
        <f t="shared" si="586"/>
        <v>0</v>
      </c>
      <c r="M341" s="663">
        <f t="shared" si="587"/>
        <v>0</v>
      </c>
      <c r="N341" s="663">
        <f t="shared" si="588"/>
        <v>0</v>
      </c>
      <c r="O341" s="663">
        <f t="shared" si="589"/>
        <v>0</v>
      </c>
      <c r="P341" s="604"/>
      <c r="Q341" s="600"/>
      <c r="U341" s="916"/>
    </row>
    <row r="342" spans="1:21" ht="25.5" customHeight="1">
      <c r="A342" s="701" t="s">
        <v>27</v>
      </c>
      <c r="B342" s="702"/>
      <c r="C342" s="703"/>
      <c r="D342" s="704"/>
      <c r="E342" s="704"/>
      <c r="F342" s="704"/>
      <c r="G342" s="704"/>
      <c r="H342" s="704"/>
      <c r="I342" s="704"/>
      <c r="J342" s="704"/>
      <c r="K342" s="704"/>
      <c r="L342" s="704"/>
      <c r="M342" s="704"/>
      <c r="N342" s="704"/>
      <c r="O342" s="704"/>
      <c r="P342" s="707"/>
      <c r="Q342" s="708"/>
      <c r="U342" s="917"/>
    </row>
    <row r="343" spans="1:21" ht="25.5" customHeight="1">
      <c r="A343" s="710" t="s">
        <v>17</v>
      </c>
      <c r="B343" s="711"/>
      <c r="C343" s="712"/>
      <c r="D343" s="713"/>
      <c r="E343" s="713"/>
      <c r="F343" s="713"/>
      <c r="G343" s="713">
        <f>+F343*$R$2</f>
        <v>0</v>
      </c>
      <c r="H343" s="713">
        <f t="shared" ref="H343:H347" si="590">+F343*$R$2</f>
        <v>0</v>
      </c>
      <c r="I343" s="713">
        <f t="shared" ref="I343:I347" si="591">+F343*$R$2</f>
        <v>0</v>
      </c>
      <c r="J343" s="713">
        <f t="shared" ref="J343:J347" si="592">+I343*$S$2</f>
        <v>0</v>
      </c>
      <c r="K343" s="713">
        <f t="shared" ref="K343:K347" si="593">+I343*$S$2</f>
        <v>0</v>
      </c>
      <c r="L343" s="713">
        <f t="shared" ref="L343:L347" si="594">+I343*$S$2</f>
        <v>0</v>
      </c>
      <c r="M343" s="713">
        <f t="shared" ref="M343:M347" si="595">+L343*$T$2</f>
        <v>0</v>
      </c>
      <c r="N343" s="713">
        <f t="shared" ref="N343:N347" si="596">+L343*$T$2</f>
        <v>0</v>
      </c>
      <c r="O343" s="713">
        <f t="shared" ref="O343:O347" si="597">+L343*$T$2</f>
        <v>0</v>
      </c>
      <c r="P343" s="716">
        <f t="shared" ref="P343" si="598">AVERAGE(D343:O343)</f>
        <v>0</v>
      </c>
      <c r="Q343" s="717"/>
      <c r="U343" s="918"/>
    </row>
    <row r="344" spans="1:21" ht="25.5" customHeight="1">
      <c r="A344" s="670" t="s">
        <v>81</v>
      </c>
      <c r="B344" s="602"/>
      <c r="C344" s="656"/>
      <c r="D344" s="657">
        <f>'Alış Fiyat'!D344*1.026</f>
        <v>0</v>
      </c>
      <c r="E344" s="657">
        <f>'Alış Fiyat'!E344*1.026</f>
        <v>0</v>
      </c>
      <c r="F344" s="657">
        <f>'Alış Fiyat'!F344*1.026</f>
        <v>0</v>
      </c>
      <c r="G344" s="671">
        <f>'Alış Fiyat'!G344*1.026</f>
        <v>21.016782098047234</v>
      </c>
      <c r="H344" s="671">
        <f>'Alış Fiyat'!H344*1.026</f>
        <v>21.401708791518182</v>
      </c>
      <c r="I344" s="671">
        <f>'Alış Fiyat'!I344*1.026</f>
        <v>22.282103063436651</v>
      </c>
      <c r="J344" s="671">
        <f>'Alış Fiyat'!J344*1.026</f>
        <v>23.267530335359503</v>
      </c>
      <c r="K344" s="671">
        <f>'Alış Fiyat'!K344*1.026</f>
        <v>23.808484099063001</v>
      </c>
      <c r="L344" s="671">
        <f>'Alış Fiyat'!L344*1.026</f>
        <v>23.625749105721408</v>
      </c>
      <c r="M344" s="671">
        <f>'Alış Fiyat'!M344*1.026</f>
        <v>24.308953714158466</v>
      </c>
      <c r="N344" s="671">
        <f>'Alış Fiyat'!N344*1.026</f>
        <v>23.596355627346075</v>
      </c>
      <c r="O344" s="671">
        <f>'Alış Fiyat'!O344*1.026</f>
        <v>24.102490526570396</v>
      </c>
      <c r="P344" s="605">
        <f>AVERAGE(D344:O344)</f>
        <v>17.284179780101741</v>
      </c>
      <c r="Q344" s="606" t="e">
        <f>SUM(P344-C344)/C344</f>
        <v>#DIV/0!</v>
      </c>
      <c r="U344" s="919"/>
    </row>
    <row r="345" spans="1:21" ht="25.5" hidden="1" customHeight="1">
      <c r="A345" s="672" t="s">
        <v>82</v>
      </c>
      <c r="B345" s="603"/>
      <c r="C345" s="662"/>
      <c r="D345" s="667"/>
      <c r="E345" s="667"/>
      <c r="F345" s="667"/>
      <c r="G345" s="667">
        <f>+F345*$R$2</f>
        <v>0</v>
      </c>
      <c r="H345" s="667">
        <f t="shared" si="590"/>
        <v>0</v>
      </c>
      <c r="I345" s="667">
        <f t="shared" si="591"/>
        <v>0</v>
      </c>
      <c r="J345" s="667">
        <f t="shared" si="592"/>
        <v>0</v>
      </c>
      <c r="K345" s="667">
        <f t="shared" si="593"/>
        <v>0</v>
      </c>
      <c r="L345" s="667">
        <f t="shared" si="594"/>
        <v>0</v>
      </c>
      <c r="M345" s="667">
        <f t="shared" si="595"/>
        <v>0</v>
      </c>
      <c r="N345" s="667">
        <f t="shared" si="596"/>
        <v>0</v>
      </c>
      <c r="O345" s="667">
        <f t="shared" si="597"/>
        <v>0</v>
      </c>
      <c r="P345" s="604"/>
      <c r="Q345" s="600"/>
      <c r="U345" s="920"/>
    </row>
    <row r="346" spans="1:21" ht="25.5" customHeight="1">
      <c r="A346" s="670" t="s">
        <v>83</v>
      </c>
      <c r="B346" s="673"/>
      <c r="C346" s="656"/>
      <c r="D346" s="674">
        <f>+D344</f>
        <v>0</v>
      </c>
      <c r="E346" s="674">
        <f>+E344</f>
        <v>0</v>
      </c>
      <c r="F346" s="674">
        <f>+F344</f>
        <v>0</v>
      </c>
      <c r="G346" s="674">
        <f t="shared" ref="G346:G347" si="599">+F346*$R$2</f>
        <v>0</v>
      </c>
      <c r="H346" s="674">
        <f t="shared" si="590"/>
        <v>0</v>
      </c>
      <c r="I346" s="674">
        <f t="shared" si="591"/>
        <v>0</v>
      </c>
      <c r="J346" s="674">
        <f t="shared" si="592"/>
        <v>0</v>
      </c>
      <c r="K346" s="674">
        <f t="shared" si="593"/>
        <v>0</v>
      </c>
      <c r="L346" s="674">
        <f t="shared" si="594"/>
        <v>0</v>
      </c>
      <c r="M346" s="674">
        <f t="shared" si="595"/>
        <v>0</v>
      </c>
      <c r="N346" s="674">
        <f t="shared" si="596"/>
        <v>0</v>
      </c>
      <c r="O346" s="674">
        <f t="shared" si="597"/>
        <v>0</v>
      </c>
      <c r="P346" s="605">
        <f>AVERAGE(D346:O346)</f>
        <v>0</v>
      </c>
      <c r="Q346" s="606" t="e">
        <f>SUM(P346-C346)/C346</f>
        <v>#DIV/0!</v>
      </c>
      <c r="U346" s="920"/>
    </row>
    <row r="347" spans="1:21" ht="25.5" hidden="1" customHeight="1">
      <c r="A347" s="672" t="s">
        <v>84</v>
      </c>
      <c r="B347" s="661"/>
      <c r="C347" s="675"/>
      <c r="D347" s="676"/>
      <c r="E347" s="676"/>
      <c r="F347" s="676"/>
      <c r="G347" s="676">
        <f t="shared" si="599"/>
        <v>0</v>
      </c>
      <c r="H347" s="676">
        <f t="shared" si="590"/>
        <v>0</v>
      </c>
      <c r="I347" s="676">
        <f t="shared" si="591"/>
        <v>0</v>
      </c>
      <c r="J347" s="676">
        <f t="shared" si="592"/>
        <v>0</v>
      </c>
      <c r="K347" s="676">
        <f t="shared" si="593"/>
        <v>0</v>
      </c>
      <c r="L347" s="676">
        <f t="shared" si="594"/>
        <v>0</v>
      </c>
      <c r="M347" s="676">
        <f t="shared" si="595"/>
        <v>0</v>
      </c>
      <c r="N347" s="676">
        <f t="shared" si="596"/>
        <v>0</v>
      </c>
      <c r="O347" s="676">
        <f t="shared" si="597"/>
        <v>0</v>
      </c>
      <c r="P347" s="604"/>
      <c r="Q347" s="600"/>
      <c r="U347" s="920"/>
    </row>
    <row r="348" spans="1:21" ht="25.5" customHeight="1" thickBot="1">
      <c r="A348" s="718" t="s">
        <v>18</v>
      </c>
      <c r="B348" s="719"/>
      <c r="C348" s="720"/>
      <c r="D348" s="721"/>
      <c r="E348" s="721"/>
      <c r="F348" s="721"/>
      <c r="G348" s="721"/>
      <c r="H348" s="721"/>
      <c r="I348" s="721"/>
      <c r="J348" s="721"/>
      <c r="K348" s="721"/>
      <c r="L348" s="721"/>
      <c r="M348" s="721"/>
      <c r="N348" s="721"/>
      <c r="O348" s="721"/>
      <c r="P348" s="720"/>
      <c r="Q348" s="724"/>
      <c r="U348" s="921"/>
    </row>
    <row r="349" spans="1:21" ht="25.5" customHeight="1" thickBot="1">
      <c r="A349" s="693" t="s">
        <v>29</v>
      </c>
      <c r="B349" s="725"/>
      <c r="C349" s="726"/>
      <c r="D349" s="727"/>
      <c r="E349" s="728"/>
      <c r="F349" s="728"/>
      <c r="G349" s="728"/>
      <c r="H349" s="728"/>
      <c r="I349" s="728"/>
      <c r="J349" s="728"/>
      <c r="K349" s="728"/>
      <c r="L349" s="728"/>
      <c r="M349" s="728"/>
      <c r="N349" s="728"/>
      <c r="O349" s="729"/>
      <c r="P349" s="726"/>
      <c r="Q349" s="730"/>
      <c r="U349" s="910"/>
    </row>
    <row r="350" spans="1:21" ht="25.5" customHeight="1">
      <c r="A350" s="615" t="s">
        <v>19</v>
      </c>
      <c r="B350" s="607"/>
      <c r="C350" s="608"/>
      <c r="D350" s="681">
        <f>+'M.Yağ Alış Fiyat'!$G$2</f>
        <v>0</v>
      </c>
      <c r="E350" s="682">
        <f>+'M.Yağ Alış Fiyat'!$G$2</f>
        <v>0</v>
      </c>
      <c r="F350" s="683">
        <f>+'M.Yağ Alış Fiyat'!$G$2</f>
        <v>0</v>
      </c>
      <c r="G350" s="683">
        <f t="shared" ref="G350:G351" si="600">+F350*$R$2</f>
        <v>0</v>
      </c>
      <c r="H350" s="683">
        <f t="shared" ref="H350:H351" si="601">+F350*$R$2</f>
        <v>0</v>
      </c>
      <c r="I350" s="683">
        <f t="shared" ref="I350:I351" si="602">+F350*$R$2</f>
        <v>0</v>
      </c>
      <c r="J350" s="683">
        <f t="shared" ref="J350:J351" si="603">+I350*$S$2</f>
        <v>0</v>
      </c>
      <c r="K350" s="683">
        <f t="shared" ref="K350:K351" si="604">+I350*$S$2</f>
        <v>0</v>
      </c>
      <c r="L350" s="683">
        <f t="shared" ref="L350:L351" si="605">+I350*$S$2</f>
        <v>0</v>
      </c>
      <c r="M350" s="683">
        <f t="shared" ref="M350:M351" si="606">+L350*$T$2</f>
        <v>0</v>
      </c>
      <c r="N350" s="683">
        <f t="shared" ref="N350:N351" si="607">+L350*$T$2</f>
        <v>0</v>
      </c>
      <c r="O350" s="684">
        <f t="shared" ref="O350:O351" si="608">+L350*$T$2</f>
        <v>0</v>
      </c>
      <c r="P350" s="609">
        <f t="shared" ref="P350:P351" si="609">AVERAGE(D350:O350)</f>
        <v>0</v>
      </c>
      <c r="Q350" s="610" t="e">
        <f t="shared" ref="Q350:Q351" si="610">SUM(P350-C350)/C350</f>
        <v>#DIV/0!</v>
      </c>
      <c r="U350" s="904"/>
    </row>
    <row r="351" spans="1:21" ht="25.5" customHeight="1" thickBot="1">
      <c r="A351" s="616" t="s">
        <v>20</v>
      </c>
      <c r="B351" s="611"/>
      <c r="C351" s="612"/>
      <c r="D351" s="685">
        <f>+'M.Yağ Alış Fiyat'!$G$3</f>
        <v>0</v>
      </c>
      <c r="E351" s="685">
        <f>+'M.Yağ Alış Fiyat'!$G$3</f>
        <v>0</v>
      </c>
      <c r="F351" s="685">
        <f>+'M.Yağ Alış Fiyat'!$G$3</f>
        <v>0</v>
      </c>
      <c r="G351" s="685">
        <f t="shared" si="600"/>
        <v>0</v>
      </c>
      <c r="H351" s="685">
        <f t="shared" si="601"/>
        <v>0</v>
      </c>
      <c r="I351" s="685">
        <f t="shared" si="602"/>
        <v>0</v>
      </c>
      <c r="J351" s="685">
        <f t="shared" si="603"/>
        <v>0</v>
      </c>
      <c r="K351" s="685">
        <f t="shared" si="604"/>
        <v>0</v>
      </c>
      <c r="L351" s="685">
        <f t="shared" si="605"/>
        <v>0</v>
      </c>
      <c r="M351" s="685">
        <f t="shared" si="606"/>
        <v>0</v>
      </c>
      <c r="N351" s="685">
        <f t="shared" si="607"/>
        <v>0</v>
      </c>
      <c r="O351" s="685">
        <f t="shared" si="608"/>
        <v>0</v>
      </c>
      <c r="P351" s="613">
        <f t="shared" si="609"/>
        <v>0</v>
      </c>
      <c r="Q351" s="614" t="e">
        <f t="shared" si="610"/>
        <v>#DIV/0!</v>
      </c>
      <c r="U351" s="905"/>
    </row>
    <row r="352" spans="1:21" ht="25.5" customHeight="1" thickBot="1">
      <c r="A352" s="693" t="s">
        <v>30</v>
      </c>
      <c r="B352" s="694"/>
      <c r="C352" s="726"/>
      <c r="D352" s="727"/>
      <c r="E352" s="728"/>
      <c r="F352" s="728"/>
      <c r="G352" s="728"/>
      <c r="H352" s="728"/>
      <c r="I352" s="728"/>
      <c r="J352" s="728"/>
      <c r="K352" s="728"/>
      <c r="L352" s="728"/>
      <c r="M352" s="728"/>
      <c r="N352" s="728"/>
      <c r="O352" s="729"/>
      <c r="P352" s="726"/>
      <c r="Q352" s="730"/>
      <c r="U352" s="910"/>
    </row>
    <row r="353" spans="1:21" ht="25.5" customHeight="1">
      <c r="A353" s="615" t="s">
        <v>106</v>
      </c>
      <c r="B353" s="607"/>
      <c r="C353" s="608"/>
      <c r="D353" s="687">
        <f>D18</f>
        <v>0</v>
      </c>
      <c r="E353" s="687">
        <f t="shared" ref="E353:O353" si="611">E18</f>
        <v>0</v>
      </c>
      <c r="F353" s="687">
        <f t="shared" si="611"/>
        <v>0</v>
      </c>
      <c r="G353" s="687">
        <f t="shared" si="611"/>
        <v>0</v>
      </c>
      <c r="H353" s="687">
        <f t="shared" si="611"/>
        <v>0</v>
      </c>
      <c r="I353" s="687">
        <f t="shared" si="611"/>
        <v>0</v>
      </c>
      <c r="J353" s="687">
        <f t="shared" si="611"/>
        <v>0</v>
      </c>
      <c r="K353" s="687">
        <f t="shared" si="611"/>
        <v>0</v>
      </c>
      <c r="L353" s="687">
        <f t="shared" si="611"/>
        <v>0</v>
      </c>
      <c r="M353" s="687">
        <f t="shared" si="611"/>
        <v>0</v>
      </c>
      <c r="N353" s="687">
        <f t="shared" si="611"/>
        <v>0</v>
      </c>
      <c r="O353" s="687">
        <f t="shared" si="611"/>
        <v>0</v>
      </c>
      <c r="P353" s="609">
        <f t="shared" ref="P353:P354" si="612">AVERAGE(D353:O353)</f>
        <v>0</v>
      </c>
      <c r="Q353" s="610" t="e">
        <f t="shared" ref="Q353:Q354" si="613">SUM(P353-C353)/C353</f>
        <v>#DIV/0!</v>
      </c>
      <c r="U353" s="904"/>
    </row>
    <row r="354" spans="1:21" ht="25.5" customHeight="1" thickBot="1">
      <c r="A354" s="616" t="s">
        <v>105</v>
      </c>
      <c r="B354" s="617"/>
      <c r="C354" s="618"/>
      <c r="D354" s="688">
        <f>D19</f>
        <v>0</v>
      </c>
      <c r="E354" s="688">
        <f t="shared" ref="E354:O354" si="614">E19</f>
        <v>0</v>
      </c>
      <c r="F354" s="688">
        <f t="shared" si="614"/>
        <v>0</v>
      </c>
      <c r="G354" s="688">
        <f t="shared" si="614"/>
        <v>0</v>
      </c>
      <c r="H354" s="688">
        <f t="shared" si="614"/>
        <v>0</v>
      </c>
      <c r="I354" s="688">
        <f t="shared" si="614"/>
        <v>0</v>
      </c>
      <c r="J354" s="688">
        <f t="shared" si="614"/>
        <v>0</v>
      </c>
      <c r="K354" s="688">
        <f t="shared" si="614"/>
        <v>0</v>
      </c>
      <c r="L354" s="688">
        <f t="shared" si="614"/>
        <v>0</v>
      </c>
      <c r="M354" s="688">
        <f t="shared" si="614"/>
        <v>0</v>
      </c>
      <c r="N354" s="688">
        <f t="shared" si="614"/>
        <v>0</v>
      </c>
      <c r="O354" s="688">
        <f t="shared" si="614"/>
        <v>0</v>
      </c>
      <c r="P354" s="619">
        <f t="shared" si="612"/>
        <v>0</v>
      </c>
      <c r="Q354" s="620" t="e">
        <f t="shared" si="613"/>
        <v>#DIV/0!</v>
      </c>
      <c r="U354" s="906"/>
    </row>
    <row r="355" spans="1:21" ht="25.5" customHeight="1" thickBot="1">
      <c r="B355" s="601"/>
      <c r="C355" s="621"/>
      <c r="D355" s="689"/>
      <c r="E355" s="689"/>
      <c r="F355" s="689"/>
      <c r="G355" s="689"/>
      <c r="H355" s="689"/>
      <c r="I355" s="689"/>
      <c r="J355" s="689"/>
      <c r="K355" s="689"/>
      <c r="L355" s="689"/>
      <c r="M355" s="689"/>
      <c r="N355" s="689"/>
      <c r="O355" s="689"/>
      <c r="P355" s="622"/>
      <c r="Q355" s="623"/>
      <c r="U355" s="907"/>
    </row>
    <row r="356" spans="1:21" ht="25.5" customHeight="1" thickBot="1">
      <c r="A356" s="693" t="s">
        <v>86</v>
      </c>
      <c r="B356" s="694"/>
      <c r="C356" s="695"/>
      <c r="D356" s="696"/>
      <c r="E356" s="697"/>
      <c r="F356" s="697"/>
      <c r="G356" s="697"/>
      <c r="H356" s="697"/>
      <c r="I356" s="697"/>
      <c r="J356" s="697"/>
      <c r="K356" s="697"/>
      <c r="L356" s="697"/>
      <c r="M356" s="697"/>
      <c r="N356" s="697"/>
      <c r="O356" s="698"/>
      <c r="P356" s="695" t="e">
        <f>AVERAGE(D356:O356)</f>
        <v>#DIV/0!</v>
      </c>
      <c r="Q356" s="699" t="e">
        <f>SUM(P356-C356)/C356</f>
        <v>#DIV/0!</v>
      </c>
      <c r="U356" s="911"/>
    </row>
    <row r="357" spans="1:21" ht="25.5" customHeight="1" thickBot="1">
      <c r="A357" s="624"/>
      <c r="B357" s="625"/>
      <c r="C357" s="626"/>
      <c r="D357" s="690"/>
      <c r="E357" s="690"/>
      <c r="F357" s="690"/>
      <c r="G357" s="690"/>
      <c r="H357" s="690"/>
      <c r="I357" s="690"/>
      <c r="J357" s="690"/>
      <c r="K357" s="690"/>
      <c r="L357" s="690"/>
      <c r="M357" s="690"/>
      <c r="N357" s="690"/>
      <c r="O357" s="690"/>
      <c r="P357" s="626"/>
      <c r="Q357" s="627"/>
    </row>
    <row r="358" spans="1:21" ht="25.5" customHeight="1" thickBot="1">
      <c r="A358" s="693" t="s">
        <v>31</v>
      </c>
      <c r="B358" s="694"/>
      <c r="C358" s="695"/>
      <c r="D358" s="696"/>
      <c r="E358" s="697"/>
      <c r="F358" s="697"/>
      <c r="G358" s="697"/>
      <c r="H358" s="697"/>
      <c r="I358" s="697"/>
      <c r="J358" s="697"/>
      <c r="K358" s="697"/>
      <c r="L358" s="697"/>
      <c r="M358" s="697"/>
      <c r="N358" s="697"/>
      <c r="O358" s="698"/>
      <c r="P358" s="695"/>
      <c r="Q358" s="699"/>
    </row>
    <row r="359" spans="1:21" ht="16.2" thickBot="1"/>
    <row r="360" spans="1:21" ht="19.5" customHeight="1" thickBot="1">
      <c r="B360" s="2392"/>
      <c r="C360" s="2392" t="s">
        <v>695</v>
      </c>
      <c r="D360" s="2397" t="s">
        <v>694</v>
      </c>
      <c r="E360" s="2398"/>
      <c r="F360" s="2398"/>
      <c r="G360" s="2398"/>
      <c r="H360" s="2398"/>
      <c r="I360" s="2398"/>
      <c r="J360" s="2398"/>
      <c r="K360" s="2398"/>
      <c r="L360" s="2398"/>
      <c r="M360" s="2398"/>
      <c r="N360" s="2398"/>
      <c r="O360" s="2398"/>
      <c r="P360" s="2399"/>
      <c r="U360" s="550"/>
    </row>
    <row r="361" spans="1:21" ht="23.25" customHeight="1" thickBot="1">
      <c r="B361" s="2393"/>
      <c r="C361" s="2393"/>
      <c r="D361" s="1707" t="s">
        <v>1</v>
      </c>
      <c r="E361" s="1708" t="s">
        <v>2</v>
      </c>
      <c r="F361" s="1708" t="s">
        <v>3</v>
      </c>
      <c r="G361" s="1708" t="s">
        <v>4</v>
      </c>
      <c r="H361" s="1708" t="s">
        <v>5</v>
      </c>
      <c r="I361" s="1708" t="s">
        <v>6</v>
      </c>
      <c r="J361" s="1708" t="s">
        <v>7</v>
      </c>
      <c r="K361" s="1708" t="s">
        <v>8</v>
      </c>
      <c r="L361" s="1708" t="s">
        <v>9</v>
      </c>
      <c r="M361" s="1708" t="s">
        <v>10</v>
      </c>
      <c r="N361" s="1708" t="s">
        <v>11</v>
      </c>
      <c r="O361" s="1709" t="s">
        <v>12</v>
      </c>
      <c r="P361" s="1710" t="s">
        <v>281</v>
      </c>
      <c r="U361" s="550"/>
    </row>
    <row r="362" spans="1:21" ht="16.2" thickBot="1">
      <c r="A362" s="693" t="s">
        <v>28</v>
      </c>
      <c r="B362" s="694"/>
      <c r="C362" s="695"/>
      <c r="D362" s="1612"/>
      <c r="E362" s="1613"/>
      <c r="F362" s="1613"/>
      <c r="G362" s="1613"/>
      <c r="H362" s="1613"/>
      <c r="I362" s="1613"/>
      <c r="J362" s="1613"/>
      <c r="K362" s="1613"/>
      <c r="L362" s="1613"/>
      <c r="M362" s="1613"/>
      <c r="N362" s="1613"/>
      <c r="O362" s="1614"/>
      <c r="P362" s="1615"/>
      <c r="U362" s="550"/>
    </row>
    <row r="363" spans="1:21">
      <c r="A363" s="654" t="s">
        <v>15</v>
      </c>
      <c r="B363" s="655"/>
      <c r="C363" s="656"/>
      <c r="D363" s="1687">
        <f>+AVERAGE(D5,D29,D53,D77,D101,D125,D149,D173,D197,D221,D245,D269,D293,D317,D340)</f>
        <v>0</v>
      </c>
      <c r="E363" s="1687">
        <f>+AVERAGE(E5,E29,E53,E77,E101,E125,E149,E173,E197,E221,E245,E269,E293,E317,E340)</f>
        <v>0</v>
      </c>
      <c r="F363" s="1687">
        <f t="shared" ref="F363:O364" si="615">+AVERAGE(F5,F29,F53,F77,F101,F125,F149,F173,F197,F221,F245,F269,F293,F317,F340)</f>
        <v>0</v>
      </c>
      <c r="G363" s="1687">
        <f>+AVERAGE(G5,G29,G53,G77,G101,G125,G149,G173,G197,G221,G245,G269,G293,G317,G340)</f>
        <v>0</v>
      </c>
      <c r="H363" s="1687">
        <f t="shared" si="615"/>
        <v>0</v>
      </c>
      <c r="I363" s="1687">
        <f t="shared" si="615"/>
        <v>0</v>
      </c>
      <c r="J363" s="1687">
        <f t="shared" si="615"/>
        <v>0</v>
      </c>
      <c r="K363" s="1687">
        <f t="shared" si="615"/>
        <v>0</v>
      </c>
      <c r="L363" s="1687">
        <f t="shared" si="615"/>
        <v>0</v>
      </c>
      <c r="M363" s="1687">
        <f t="shared" si="615"/>
        <v>0</v>
      </c>
      <c r="N363" s="1687">
        <f t="shared" si="615"/>
        <v>0</v>
      </c>
      <c r="O363" s="1687">
        <f t="shared" si="615"/>
        <v>0</v>
      </c>
      <c r="P363" s="1688">
        <f>AVERAGE(D363:O363)</f>
        <v>0</v>
      </c>
      <c r="Q363" s="1995" t="e">
        <f>SUM(P363-'Alış Fiyat'!P363)/'Alış Fiyat'!P363</f>
        <v>#DIV/0!</v>
      </c>
      <c r="S363" s="1919"/>
      <c r="U363" s="550"/>
    </row>
    <row r="364" spans="1:21" ht="16.2" thickBot="1">
      <c r="A364" s="1700" t="s">
        <v>16</v>
      </c>
      <c r="B364" s="1970"/>
      <c r="C364" s="1971"/>
      <c r="D364" s="1701"/>
      <c r="E364" s="1701"/>
      <c r="F364" s="1701"/>
      <c r="G364" s="1701">
        <f>+AVERAGE(G6,G30,G54,G78,G102,G126,G150,G174,G198,G222,G246,G270,G294,G318,G341)</f>
        <v>0</v>
      </c>
      <c r="H364" s="1701">
        <f t="shared" si="615"/>
        <v>0</v>
      </c>
      <c r="I364" s="1701">
        <f t="shared" si="615"/>
        <v>0</v>
      </c>
      <c r="J364" s="1701">
        <f t="shared" si="615"/>
        <v>0</v>
      </c>
      <c r="K364" s="1701">
        <f t="shared" si="615"/>
        <v>0</v>
      </c>
      <c r="L364" s="1701">
        <f t="shared" si="615"/>
        <v>0</v>
      </c>
      <c r="M364" s="1701">
        <f t="shared" si="615"/>
        <v>0</v>
      </c>
      <c r="N364" s="1701">
        <f t="shared" si="615"/>
        <v>0</v>
      </c>
      <c r="O364" s="1701">
        <f t="shared" si="615"/>
        <v>0</v>
      </c>
      <c r="P364" s="1696">
        <f>AVERAGE(D364:O364)</f>
        <v>0</v>
      </c>
      <c r="Q364" s="1995"/>
      <c r="U364" s="550"/>
    </row>
    <row r="365" spans="1:21" ht="16.2" thickBot="1">
      <c r="A365" s="1697" t="s">
        <v>27</v>
      </c>
      <c r="B365" s="1698"/>
      <c r="C365" s="1973"/>
      <c r="D365" s="1974"/>
      <c r="E365" s="1705"/>
      <c r="F365" s="1705"/>
      <c r="G365" s="1705"/>
      <c r="H365" s="1705"/>
      <c r="I365" s="1705"/>
      <c r="J365" s="1705"/>
      <c r="K365" s="1705"/>
      <c r="L365" s="1705"/>
      <c r="M365" s="1705"/>
      <c r="N365" s="1705"/>
      <c r="O365" s="1705"/>
      <c r="P365" s="1706"/>
      <c r="Q365" s="1995"/>
      <c r="U365" s="550"/>
    </row>
    <row r="366" spans="1:21">
      <c r="A366" s="1702" t="s">
        <v>17</v>
      </c>
      <c r="B366" s="1972"/>
      <c r="C366" s="712"/>
      <c r="D366" s="1703" t="e">
        <f>+AVERAGE(D8,D32,D56,D80,D104,D128,D152,D176,D200,D224,D248,D272,D296,D320,D343)</f>
        <v>#DIV/0!</v>
      </c>
      <c r="E366" s="1703" t="e">
        <f t="shared" ref="E366:O366" si="616">+AVERAGE(E8,E32,E56,E80,E104,E128,E152,E176,E200,E224,E248,E272,E296,E320,E343)</f>
        <v>#DIV/0!</v>
      </c>
      <c r="F366" s="1703" t="e">
        <f t="shared" si="616"/>
        <v>#DIV/0!</v>
      </c>
      <c r="G366" s="1703">
        <f t="shared" si="616"/>
        <v>0</v>
      </c>
      <c r="H366" s="1703">
        <f t="shared" si="616"/>
        <v>0</v>
      </c>
      <c r="I366" s="1703">
        <f t="shared" si="616"/>
        <v>0</v>
      </c>
      <c r="J366" s="1703">
        <f t="shared" si="616"/>
        <v>0</v>
      </c>
      <c r="K366" s="1703">
        <f t="shared" si="616"/>
        <v>0</v>
      </c>
      <c r="L366" s="1703">
        <f t="shared" si="616"/>
        <v>0</v>
      </c>
      <c r="M366" s="1703">
        <f t="shared" si="616"/>
        <v>0</v>
      </c>
      <c r="N366" s="1703">
        <f t="shared" si="616"/>
        <v>0</v>
      </c>
      <c r="O366" s="1703">
        <f t="shared" si="616"/>
        <v>0</v>
      </c>
      <c r="P366" s="1704" t="e">
        <f>AVERAGE(D366:O366)</f>
        <v>#DIV/0!</v>
      </c>
      <c r="Q366" s="1995" t="e">
        <f>SUM(P366-'Alış Fiyat'!P366)/'Alış Fiyat'!P366</f>
        <v>#DIV/0!</v>
      </c>
      <c r="U366" s="550"/>
    </row>
    <row r="367" spans="1:21">
      <c r="A367" s="670" t="s">
        <v>81</v>
      </c>
      <c r="B367" s="602"/>
      <c r="C367" s="656"/>
      <c r="D367" s="1690">
        <f t="shared" ref="D367:O369" si="617">+AVERAGE(D9,D33,D57,D81,D105,D129,D153,D177,D201,D225,D249,D273,D297,D321,D344)</f>
        <v>0</v>
      </c>
      <c r="E367" s="1690">
        <f t="shared" si="617"/>
        <v>0</v>
      </c>
      <c r="F367" s="1690">
        <f t="shared" si="617"/>
        <v>0</v>
      </c>
      <c r="G367" s="1690">
        <f t="shared" si="617"/>
        <v>21.016782098047237</v>
      </c>
      <c r="H367" s="1690">
        <f t="shared" si="617"/>
        <v>21.401708791518178</v>
      </c>
      <c r="I367" s="1690">
        <f t="shared" si="617"/>
        <v>22.282103063436644</v>
      </c>
      <c r="J367" s="1690">
        <f t="shared" si="617"/>
        <v>23.267530335359499</v>
      </c>
      <c r="K367" s="1690">
        <f t="shared" si="617"/>
        <v>23.808484099062998</v>
      </c>
      <c r="L367" s="1690">
        <f t="shared" si="617"/>
        <v>23.625749105721408</v>
      </c>
      <c r="M367" s="1690">
        <f t="shared" si="617"/>
        <v>24.308953714158466</v>
      </c>
      <c r="N367" s="1690">
        <f t="shared" si="617"/>
        <v>23.596355627346082</v>
      </c>
      <c r="O367" s="1690">
        <f t="shared" si="617"/>
        <v>24.102490526570403</v>
      </c>
      <c r="P367" s="1691">
        <f t="shared" ref="P367" si="618">AVERAGE(D367:O367)</f>
        <v>17.284179780101741</v>
      </c>
      <c r="Q367" s="1995" t="e">
        <f>SUM(P367-'Alış Fiyat'!P367)/'Alış Fiyat'!P367</f>
        <v>#DIV/0!</v>
      </c>
      <c r="S367" s="1919"/>
      <c r="U367" s="550"/>
    </row>
    <row r="368" spans="1:21">
      <c r="A368" s="672" t="s">
        <v>82</v>
      </c>
      <c r="B368" s="603"/>
      <c r="C368" s="662"/>
      <c r="D368" s="1692"/>
      <c r="E368" s="1692"/>
      <c r="F368" s="1692"/>
      <c r="G368" s="1692"/>
      <c r="H368" s="1692"/>
      <c r="I368" s="1692"/>
      <c r="J368" s="1692"/>
      <c r="K368" s="1692"/>
      <c r="L368" s="1692"/>
      <c r="M368" s="1692"/>
      <c r="N368" s="1692"/>
      <c r="O368" s="1692"/>
      <c r="P368" s="1689"/>
      <c r="Q368" s="1995"/>
      <c r="S368" s="1919"/>
      <c r="U368" s="550"/>
    </row>
    <row r="369" spans="1:21">
      <c r="A369" s="670" t="s">
        <v>83</v>
      </c>
      <c r="B369" s="673"/>
      <c r="C369" s="656"/>
      <c r="D369" s="1693">
        <f t="shared" si="617"/>
        <v>0</v>
      </c>
      <c r="E369" s="1693">
        <f t="shared" si="617"/>
        <v>0</v>
      </c>
      <c r="F369" s="1693">
        <f t="shared" si="617"/>
        <v>0</v>
      </c>
      <c r="G369" s="1693">
        <f t="shared" si="617"/>
        <v>0</v>
      </c>
      <c r="H369" s="1693">
        <f t="shared" si="617"/>
        <v>0</v>
      </c>
      <c r="I369" s="1693">
        <f t="shared" si="617"/>
        <v>0</v>
      </c>
      <c r="J369" s="1693">
        <f t="shared" si="617"/>
        <v>0</v>
      </c>
      <c r="K369" s="1693">
        <f t="shared" si="617"/>
        <v>0</v>
      </c>
      <c r="L369" s="1693">
        <f t="shared" si="617"/>
        <v>0</v>
      </c>
      <c r="M369" s="1693">
        <f t="shared" si="617"/>
        <v>0</v>
      </c>
      <c r="N369" s="1693">
        <f t="shared" si="617"/>
        <v>0</v>
      </c>
      <c r="O369" s="1693">
        <f t="shared" si="617"/>
        <v>0</v>
      </c>
      <c r="P369" s="1691">
        <f t="shared" ref="P369" si="619">AVERAGE(D369:O369)</f>
        <v>0</v>
      </c>
      <c r="Q369" s="1995" t="e">
        <f>SUM(P369-'Alış Fiyat'!P369)/'Alış Fiyat'!P369</f>
        <v>#DIV/0!</v>
      </c>
      <c r="S369" s="1919"/>
      <c r="U369" s="550"/>
    </row>
    <row r="370" spans="1:21">
      <c r="A370" s="672" t="s">
        <v>84</v>
      </c>
      <c r="B370" s="661"/>
      <c r="C370" s="675"/>
      <c r="D370" s="1695"/>
      <c r="E370" s="1695"/>
      <c r="F370" s="1695"/>
      <c r="G370" s="1695"/>
      <c r="H370" s="1695">
        <f t="shared" ref="H370:O370" si="620">+AVERAGE(H12,H36,H60,H84,H108,H132,H156,H180,H204,H228,H252,H276,H300,H324,H347)</f>
        <v>0</v>
      </c>
      <c r="I370" s="1695">
        <f t="shared" si="620"/>
        <v>0</v>
      </c>
      <c r="J370" s="1695">
        <f t="shared" si="620"/>
        <v>0</v>
      </c>
      <c r="K370" s="1695">
        <f t="shared" si="620"/>
        <v>0</v>
      </c>
      <c r="L370" s="1695">
        <f t="shared" si="620"/>
        <v>0</v>
      </c>
      <c r="M370" s="1695">
        <f t="shared" si="620"/>
        <v>0</v>
      </c>
      <c r="N370" s="1695">
        <f t="shared" si="620"/>
        <v>0</v>
      </c>
      <c r="O370" s="1695">
        <f t="shared" si="620"/>
        <v>0</v>
      </c>
      <c r="P370" s="1696">
        <f t="shared" ref="P370:P377" si="621">AVERAGE(D370:O370)</f>
        <v>0</v>
      </c>
      <c r="Q370" s="1995"/>
      <c r="U370" s="550"/>
    </row>
    <row r="371" spans="1:21" ht="16.2" thickBot="1">
      <c r="A371" s="718" t="s">
        <v>18</v>
      </c>
      <c r="B371" s="719"/>
      <c r="C371" s="720"/>
      <c r="D371" s="1693"/>
      <c r="E371" s="1693"/>
      <c r="F371" s="1693"/>
      <c r="G371" s="1693"/>
      <c r="H371" s="1693"/>
      <c r="I371" s="1693"/>
      <c r="J371" s="1693"/>
      <c r="K371" s="1693"/>
      <c r="L371" s="1693"/>
      <c r="M371" s="1693"/>
      <c r="N371" s="1693"/>
      <c r="O371" s="1693"/>
      <c r="P371" s="1691"/>
      <c r="Q371" s="1995"/>
    </row>
    <row r="372" spans="1:21" ht="16.2" thickBot="1">
      <c r="A372" s="693" t="s">
        <v>29</v>
      </c>
      <c r="B372" s="725"/>
      <c r="C372" s="726"/>
      <c r="D372" s="727"/>
      <c r="E372" s="728"/>
      <c r="F372" s="728"/>
      <c r="G372" s="728"/>
      <c r="H372" s="728"/>
      <c r="I372" s="728"/>
      <c r="J372" s="728"/>
      <c r="K372" s="728"/>
      <c r="L372" s="728"/>
      <c r="M372" s="728"/>
      <c r="N372" s="728"/>
      <c r="O372" s="729"/>
      <c r="P372" s="726"/>
      <c r="Q372" s="1995"/>
    </row>
    <row r="373" spans="1:21">
      <c r="A373" s="615" t="s">
        <v>19</v>
      </c>
      <c r="B373" s="607"/>
      <c r="C373" s="608"/>
      <c r="D373" s="681">
        <f t="shared" ref="D373:O373" si="622">+AVERAGE(D15,D39,D63,D87,D111,D135,D159,D183,D207,D231,D255,D279,D303,D327,D350)</f>
        <v>0</v>
      </c>
      <c r="E373" s="682">
        <f t="shared" si="622"/>
        <v>0</v>
      </c>
      <c r="F373" s="683">
        <f t="shared" si="622"/>
        <v>0</v>
      </c>
      <c r="G373" s="683">
        <f t="shared" si="622"/>
        <v>0</v>
      </c>
      <c r="H373" s="683">
        <f t="shared" si="622"/>
        <v>0</v>
      </c>
      <c r="I373" s="683">
        <f t="shared" si="622"/>
        <v>0</v>
      </c>
      <c r="J373" s="683">
        <f t="shared" si="622"/>
        <v>0</v>
      </c>
      <c r="K373" s="683">
        <f t="shared" si="622"/>
        <v>0</v>
      </c>
      <c r="L373" s="683">
        <f t="shared" si="622"/>
        <v>0</v>
      </c>
      <c r="M373" s="683">
        <f t="shared" si="622"/>
        <v>0</v>
      </c>
      <c r="N373" s="683">
        <f t="shared" si="622"/>
        <v>0</v>
      </c>
      <c r="O373" s="684">
        <f t="shared" si="622"/>
        <v>0</v>
      </c>
      <c r="P373" s="609">
        <f t="shared" si="621"/>
        <v>0</v>
      </c>
      <c r="Q373" s="1995" t="e">
        <f>SUM(P373-'Alış Fiyat'!P373)/'Alış Fiyat'!P373</f>
        <v>#DIV/0!</v>
      </c>
    </row>
    <row r="374" spans="1:21" ht="16.2" thickBot="1">
      <c r="A374" s="616" t="s">
        <v>20</v>
      </c>
      <c r="B374" s="611"/>
      <c r="C374" s="612"/>
      <c r="D374" s="685">
        <f t="shared" ref="D374:O374" si="623">+AVERAGE(D16,D40,D64,D88,D112,D136,D160,D184,D208,D232,D256,D280,D304,D328,D351)</f>
        <v>0</v>
      </c>
      <c r="E374" s="685">
        <f t="shared" si="623"/>
        <v>0</v>
      </c>
      <c r="F374" s="685">
        <f t="shared" si="623"/>
        <v>0</v>
      </c>
      <c r="G374" s="685">
        <f t="shared" si="623"/>
        <v>0</v>
      </c>
      <c r="H374" s="685">
        <f t="shared" si="623"/>
        <v>0</v>
      </c>
      <c r="I374" s="685">
        <f t="shared" si="623"/>
        <v>0</v>
      </c>
      <c r="J374" s="685">
        <f t="shared" si="623"/>
        <v>0</v>
      </c>
      <c r="K374" s="685">
        <f t="shared" si="623"/>
        <v>0</v>
      </c>
      <c r="L374" s="685">
        <f t="shared" si="623"/>
        <v>0</v>
      </c>
      <c r="M374" s="685">
        <f t="shared" si="623"/>
        <v>0</v>
      </c>
      <c r="N374" s="685">
        <f t="shared" si="623"/>
        <v>0</v>
      </c>
      <c r="O374" s="685">
        <f t="shared" si="623"/>
        <v>0</v>
      </c>
      <c r="P374" s="613">
        <f t="shared" si="621"/>
        <v>0</v>
      </c>
      <c r="Q374" s="1995" t="e">
        <f>SUM(P374-'Alış Fiyat'!P374)/'Alış Fiyat'!P374</f>
        <v>#DIV/0!</v>
      </c>
    </row>
    <row r="375" spans="1:21" ht="16.2" thickBot="1">
      <c r="A375" s="693" t="s">
        <v>30</v>
      </c>
      <c r="B375" s="694"/>
      <c r="C375" s="726"/>
      <c r="D375" s="727"/>
      <c r="E375" s="728"/>
      <c r="F375" s="728"/>
      <c r="G375" s="728"/>
      <c r="H375" s="728"/>
      <c r="I375" s="728"/>
      <c r="J375" s="728"/>
      <c r="K375" s="728"/>
      <c r="L375" s="728"/>
      <c r="M375" s="728"/>
      <c r="N375" s="728"/>
      <c r="O375" s="729"/>
      <c r="P375" s="726"/>
      <c r="Q375" s="1995"/>
    </row>
    <row r="376" spans="1:21">
      <c r="A376" s="615" t="s">
        <v>106</v>
      </c>
      <c r="B376" s="607"/>
      <c r="C376" s="608"/>
      <c r="D376" s="687">
        <f t="shared" ref="D376:O376" si="624">+AVERAGE(D18,D42,D66,D90,D114,D138,D162,D186,D210,D234,D258,D282,D306,D330,D353)</f>
        <v>0</v>
      </c>
      <c r="E376" s="687">
        <f t="shared" si="624"/>
        <v>0</v>
      </c>
      <c r="F376" s="687">
        <f t="shared" si="624"/>
        <v>0</v>
      </c>
      <c r="G376" s="687">
        <f t="shared" si="624"/>
        <v>0</v>
      </c>
      <c r="H376" s="687">
        <f t="shared" si="624"/>
        <v>0</v>
      </c>
      <c r="I376" s="687">
        <f t="shared" si="624"/>
        <v>0</v>
      </c>
      <c r="J376" s="687">
        <f t="shared" si="624"/>
        <v>0</v>
      </c>
      <c r="K376" s="687">
        <f t="shared" si="624"/>
        <v>0</v>
      </c>
      <c r="L376" s="687">
        <f t="shared" si="624"/>
        <v>0</v>
      </c>
      <c r="M376" s="687">
        <f t="shared" si="624"/>
        <v>0</v>
      </c>
      <c r="N376" s="687">
        <f t="shared" si="624"/>
        <v>0</v>
      </c>
      <c r="O376" s="687">
        <f t="shared" si="624"/>
        <v>0</v>
      </c>
      <c r="P376" s="609">
        <f t="shared" si="621"/>
        <v>0</v>
      </c>
      <c r="Q376" s="1995" t="e">
        <f>SUM(P376-'Alış Fiyat'!P376)/'Alış Fiyat'!P376</f>
        <v>#DIV/0!</v>
      </c>
    </row>
    <row r="377" spans="1:21" ht="16.2" thickBot="1">
      <c r="A377" s="616" t="s">
        <v>105</v>
      </c>
      <c r="B377" s="617"/>
      <c r="C377" s="618"/>
      <c r="D377" s="688">
        <f t="shared" ref="D377:O377" si="625">+AVERAGE(D19,D43,D67,D91,D115,D139,D163,D187,D211,D235,D259,D283,D307,D331,D354)</f>
        <v>0</v>
      </c>
      <c r="E377" s="688">
        <f t="shared" si="625"/>
        <v>0</v>
      </c>
      <c r="F377" s="688">
        <f t="shared" si="625"/>
        <v>0</v>
      </c>
      <c r="G377" s="688">
        <f t="shared" si="625"/>
        <v>0</v>
      </c>
      <c r="H377" s="688">
        <f t="shared" si="625"/>
        <v>0</v>
      </c>
      <c r="I377" s="688">
        <f t="shared" si="625"/>
        <v>0</v>
      </c>
      <c r="J377" s="688">
        <f t="shared" si="625"/>
        <v>0</v>
      </c>
      <c r="K377" s="688">
        <f t="shared" si="625"/>
        <v>0</v>
      </c>
      <c r="L377" s="688">
        <f t="shared" si="625"/>
        <v>0</v>
      </c>
      <c r="M377" s="688">
        <f t="shared" si="625"/>
        <v>0</v>
      </c>
      <c r="N377" s="688">
        <f t="shared" si="625"/>
        <v>0</v>
      </c>
      <c r="O377" s="688">
        <f t="shared" si="625"/>
        <v>0</v>
      </c>
      <c r="P377" s="619">
        <f t="shared" si="621"/>
        <v>0</v>
      </c>
      <c r="Q377" s="1995" t="e">
        <f>SUM(P377-'Alış Fiyat'!P377)/'Alış Fiyat'!P377</f>
        <v>#DIV/0!</v>
      </c>
    </row>
    <row r="379" spans="1:21">
      <c r="D379" s="1995" t="e">
        <f>SUM(D363-'Alış Fiyat'!D363)/'Alış Fiyat'!D363</f>
        <v>#DIV/0!</v>
      </c>
      <c r="E379" s="1995" t="e">
        <f>SUM(E363-'Alış Fiyat'!E363)/'Alış Fiyat'!E363</f>
        <v>#DIV/0!</v>
      </c>
      <c r="F379" s="1995" t="e">
        <f>SUM(F363-'Alış Fiyat'!F363)/'Alış Fiyat'!F363</f>
        <v>#DIV/0!</v>
      </c>
      <c r="G379" s="1995" t="e">
        <f>SUM(G363-'Alış Fiyat'!G363)/'Alış Fiyat'!G363</f>
        <v>#DIV/0!</v>
      </c>
      <c r="H379" s="1995" t="e">
        <f>SUM(H363-'Alış Fiyat'!H363)/'Alış Fiyat'!H363</f>
        <v>#DIV/0!</v>
      </c>
      <c r="I379" s="1995" t="e">
        <f>SUM(I363-'Alış Fiyat'!I363)/'Alış Fiyat'!I363</f>
        <v>#DIV/0!</v>
      </c>
      <c r="J379" s="1995" t="e">
        <f>SUM(J363-'Alış Fiyat'!J363)/'Alış Fiyat'!J363</f>
        <v>#DIV/0!</v>
      </c>
      <c r="K379" s="1995" t="e">
        <f>SUM(K363-'Alış Fiyat'!K363)/'Alış Fiyat'!K363</f>
        <v>#DIV/0!</v>
      </c>
      <c r="L379" s="1995" t="e">
        <f>SUM(L363-'Alış Fiyat'!L363)/'Alış Fiyat'!L363</f>
        <v>#DIV/0!</v>
      </c>
      <c r="M379" s="1995" t="e">
        <f>SUM(M363-'Alış Fiyat'!M363)/'Alış Fiyat'!M363</f>
        <v>#DIV/0!</v>
      </c>
      <c r="N379" s="1995" t="e">
        <f>SUM(N363-'Alış Fiyat'!N363)/'Alış Fiyat'!N363</f>
        <v>#DIV/0!</v>
      </c>
      <c r="O379" s="1995" t="e">
        <f>SUM(O363-'Alış Fiyat'!O363)/'Alış Fiyat'!O363</f>
        <v>#DIV/0!</v>
      </c>
      <c r="P379" s="1995" t="e">
        <f>SUM(P363-'Alış Fiyat'!P363)/'Alış Fiyat'!P363</f>
        <v>#DIV/0!</v>
      </c>
      <c r="Q379" s="1995"/>
    </row>
  </sheetData>
  <mergeCells count="48">
    <mergeCell ref="B360:B361"/>
    <mergeCell ref="C360:C361"/>
    <mergeCell ref="D360:P360"/>
    <mergeCell ref="D74:P74"/>
    <mergeCell ref="D98:P98"/>
    <mergeCell ref="C74:C75"/>
    <mergeCell ref="C98:C99"/>
    <mergeCell ref="D122:P122"/>
    <mergeCell ref="D146:P146"/>
    <mergeCell ref="D170:P170"/>
    <mergeCell ref="C122:C123"/>
    <mergeCell ref="C146:C147"/>
    <mergeCell ref="C170:C171"/>
    <mergeCell ref="D194:P194"/>
    <mergeCell ref="D218:P218"/>
    <mergeCell ref="D242:P242"/>
    <mergeCell ref="D2:P2"/>
    <mergeCell ref="D26:P26"/>
    <mergeCell ref="D50:P50"/>
    <mergeCell ref="C2:C3"/>
    <mergeCell ref="C26:C27"/>
    <mergeCell ref="C50:C51"/>
    <mergeCell ref="C194:C195"/>
    <mergeCell ref="C218:C219"/>
    <mergeCell ref="C242:C243"/>
    <mergeCell ref="B26:B27"/>
    <mergeCell ref="B50:B51"/>
    <mergeCell ref="B74:B75"/>
    <mergeCell ref="B98:B99"/>
    <mergeCell ref="B218:B219"/>
    <mergeCell ref="B2:B3"/>
    <mergeCell ref="B122:B123"/>
    <mergeCell ref="B146:B147"/>
    <mergeCell ref="B170:B171"/>
    <mergeCell ref="B194:B195"/>
    <mergeCell ref="B337:B338"/>
    <mergeCell ref="C337:C338"/>
    <mergeCell ref="D337:P337"/>
    <mergeCell ref="B242:B243"/>
    <mergeCell ref="B266:B267"/>
    <mergeCell ref="B290:B291"/>
    <mergeCell ref="B314:B315"/>
    <mergeCell ref="D314:P314"/>
    <mergeCell ref="D266:P266"/>
    <mergeCell ref="D290:P290"/>
    <mergeCell ref="C314:C315"/>
    <mergeCell ref="C290:C291"/>
    <mergeCell ref="C266:C267"/>
  </mergeCells>
  <pageMargins left="0.31496062992125984" right="0" top="0.74803149606299213" bottom="0.55118110236220474" header="0.31496062992125984" footer="0.31496062992125984"/>
  <pageSetup paperSize="9" scale="69" fitToWidth="5" fitToHeight="5" orientation="landscape" r:id="rId1"/>
  <headerFooter alignWithMargins="0"/>
  <rowBreaks count="14" manualBreakCount="14">
    <brk id="23" max="16" man="1"/>
    <brk id="47" max="16" man="1"/>
    <brk id="71" max="16" man="1"/>
    <brk id="95" max="16" man="1"/>
    <brk id="119" max="16" man="1"/>
    <brk id="143" max="16" man="1"/>
    <brk id="167" max="16" man="1"/>
    <brk id="191" max="16" man="1"/>
    <brk id="215" max="16" man="1"/>
    <brk id="239" max="16" man="1"/>
    <brk id="263" max="16" man="1"/>
    <brk id="287" max="16" man="1"/>
    <brk id="311" max="16" man="1"/>
    <brk id="336" max="16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66"/>
    <pageSetUpPr fitToPage="1"/>
  </sheetPr>
  <dimension ref="A1:AE44"/>
  <sheetViews>
    <sheetView tabSelected="1" zoomScaleNormal="100" workbookViewId="0">
      <selection activeCell="C2" sqref="C2"/>
    </sheetView>
  </sheetViews>
  <sheetFormatPr defaultColWidth="9.109375" defaultRowHeight="12"/>
  <cols>
    <col min="1" max="1" width="9.109375" style="887"/>
    <col min="2" max="2" width="17.33203125" style="887" customWidth="1"/>
    <col min="3" max="3" width="12.44140625" style="887" customWidth="1"/>
    <col min="4" max="4" width="10.5546875" style="1295" customWidth="1"/>
    <col min="5" max="5" width="10.5546875" style="1296" customWidth="1"/>
    <col min="6" max="16" width="10.5546875" style="1295" customWidth="1"/>
    <col min="17" max="17" width="12.5546875" style="1295" bestFit="1" customWidth="1"/>
    <col min="18" max="16384" width="9.109375" style="887"/>
  </cols>
  <sheetData>
    <row r="1" spans="1:31">
      <c r="A1" s="2400" t="s">
        <v>557</v>
      </c>
      <c r="B1" s="2400"/>
      <c r="C1" s="2400"/>
      <c r="D1" s="2401"/>
      <c r="E1" s="1290"/>
      <c r="F1" s="1290"/>
      <c r="G1" s="1290"/>
      <c r="H1" s="1290"/>
      <c r="I1" s="1290"/>
      <c r="J1" s="1290"/>
      <c r="K1" s="1290"/>
      <c r="L1" s="1290"/>
      <c r="M1" s="1290"/>
      <c r="N1" s="1290"/>
      <c r="O1" s="1290"/>
      <c r="P1" s="1290"/>
      <c r="Q1" s="1290"/>
    </row>
    <row r="2" spans="1:31">
      <c r="A2" s="888" t="s">
        <v>107</v>
      </c>
      <c r="B2" s="1287"/>
      <c r="C2" s="888" t="s">
        <v>698</v>
      </c>
      <c r="D2" s="1291" t="s">
        <v>697</v>
      </c>
      <c r="E2" s="1292" t="s">
        <v>111</v>
      </c>
      <c r="F2" s="1291" t="s">
        <v>112</v>
      </c>
      <c r="G2" s="1291" t="s">
        <v>113</v>
      </c>
      <c r="H2" s="1291" t="s">
        <v>114</v>
      </c>
      <c r="I2" s="1291" t="s">
        <v>115</v>
      </c>
      <c r="J2" s="1291" t="s">
        <v>116</v>
      </c>
      <c r="K2" s="1291" t="s">
        <v>117</v>
      </c>
      <c r="L2" s="1291" t="s">
        <v>118</v>
      </c>
      <c r="M2" s="1291" t="s">
        <v>119</v>
      </c>
      <c r="N2" s="1291" t="s">
        <v>120</v>
      </c>
      <c r="O2" s="1291" t="s">
        <v>121</v>
      </c>
      <c r="P2" s="1291" t="s">
        <v>122</v>
      </c>
      <c r="Q2" s="888" t="s">
        <v>37</v>
      </c>
    </row>
    <row r="3" spans="1:31">
      <c r="A3" s="1679">
        <v>1</v>
      </c>
      <c r="B3" s="1680" t="s">
        <v>159</v>
      </c>
      <c r="C3" s="2089"/>
      <c r="D3" s="2089"/>
      <c r="E3" s="2109"/>
      <c r="F3" s="2109"/>
      <c r="G3" s="2109"/>
      <c r="H3" s="2109"/>
      <c r="I3" s="2109"/>
      <c r="J3" s="2109"/>
      <c r="K3" s="2109"/>
      <c r="L3" s="2109"/>
      <c r="M3" s="2109"/>
      <c r="N3" s="2109"/>
      <c r="O3" s="2109"/>
      <c r="P3" s="2109"/>
      <c r="Q3" s="1838">
        <f>SUM(E3:P3)</f>
        <v>0</v>
      </c>
      <c r="T3" s="2273"/>
      <c r="U3" s="2273"/>
      <c r="V3" s="2273"/>
      <c r="W3" s="2273"/>
      <c r="X3" s="2273"/>
      <c r="Y3" s="2273"/>
      <c r="Z3" s="2273"/>
      <c r="AA3" s="2273"/>
      <c r="AB3" s="2273"/>
      <c r="AC3" s="2273"/>
      <c r="AD3" s="2273"/>
      <c r="AE3" s="2273"/>
    </row>
    <row r="4" spans="1:31">
      <c r="A4" s="1679">
        <v>2</v>
      </c>
      <c r="B4" s="1680" t="s">
        <v>90</v>
      </c>
      <c r="C4" s="2089"/>
      <c r="D4" s="2089"/>
      <c r="E4" s="2109"/>
      <c r="F4" s="2109"/>
      <c r="G4" s="2109"/>
      <c r="H4" s="2109"/>
      <c r="I4" s="2109"/>
      <c r="J4" s="2109"/>
      <c r="K4" s="2109"/>
      <c r="L4" s="2109"/>
      <c r="M4" s="2109"/>
      <c r="N4" s="2109"/>
      <c r="O4" s="2109"/>
      <c r="P4" s="2109"/>
      <c r="Q4" s="1838">
        <f t="shared" ref="Q4:Q17" si="0">SUM(E4:P4)</f>
        <v>0</v>
      </c>
      <c r="T4" s="2273"/>
      <c r="U4" s="2273"/>
      <c r="V4" s="2273"/>
      <c r="W4" s="2273"/>
      <c r="X4" s="2273"/>
      <c r="Y4" s="2273"/>
      <c r="Z4" s="2273"/>
      <c r="AA4" s="2273"/>
      <c r="AB4" s="2273"/>
      <c r="AC4" s="2273"/>
      <c r="AD4" s="2273"/>
      <c r="AE4" s="2273"/>
    </row>
    <row r="5" spans="1:31">
      <c r="A5" s="1679">
        <v>3</v>
      </c>
      <c r="B5" s="1680" t="s">
        <v>91</v>
      </c>
      <c r="C5" s="2089"/>
      <c r="D5" s="2089"/>
      <c r="E5" s="2109"/>
      <c r="F5" s="2109"/>
      <c r="G5" s="2109"/>
      <c r="H5" s="2109"/>
      <c r="I5" s="2109"/>
      <c r="J5" s="2109"/>
      <c r="K5" s="2109"/>
      <c r="L5" s="2109"/>
      <c r="M5" s="2109"/>
      <c r="N5" s="2109"/>
      <c r="O5" s="2109"/>
      <c r="P5" s="2109"/>
      <c r="Q5" s="1838">
        <f t="shared" si="0"/>
        <v>0</v>
      </c>
      <c r="T5" s="2273"/>
      <c r="U5" s="2273"/>
      <c r="V5" s="2273"/>
      <c r="W5" s="2273"/>
      <c r="X5" s="2273"/>
      <c r="Y5" s="2273"/>
      <c r="Z5" s="2273"/>
      <c r="AA5" s="2273"/>
      <c r="AB5" s="2273"/>
      <c r="AC5" s="2273"/>
      <c r="AD5" s="2273"/>
      <c r="AE5" s="2273"/>
    </row>
    <row r="6" spans="1:31">
      <c r="A6" s="1679">
        <v>4</v>
      </c>
      <c r="B6" s="1680" t="s">
        <v>104</v>
      </c>
      <c r="C6" s="2089"/>
      <c r="D6" s="2089"/>
      <c r="E6" s="2109"/>
      <c r="F6" s="2109"/>
      <c r="G6" s="2109"/>
      <c r="H6" s="2109"/>
      <c r="I6" s="2109"/>
      <c r="J6" s="2109"/>
      <c r="K6" s="2109"/>
      <c r="L6" s="2109"/>
      <c r="M6" s="2109"/>
      <c r="N6" s="2109"/>
      <c r="O6" s="2109"/>
      <c r="P6" s="2109"/>
      <c r="Q6" s="1838">
        <f t="shared" si="0"/>
        <v>0</v>
      </c>
      <c r="T6" s="2273"/>
      <c r="U6" s="2273"/>
      <c r="V6" s="2273"/>
      <c r="W6" s="2273"/>
      <c r="X6" s="2273"/>
      <c r="Y6" s="2273"/>
      <c r="Z6" s="2273"/>
      <c r="AA6" s="2273"/>
      <c r="AB6" s="2273"/>
      <c r="AC6" s="2273"/>
      <c r="AD6" s="2273"/>
      <c r="AE6" s="2273"/>
    </row>
    <row r="7" spans="1:31">
      <c r="A7" s="1679">
        <v>5</v>
      </c>
      <c r="B7" s="1680" t="s">
        <v>100</v>
      </c>
      <c r="C7" s="2089"/>
      <c r="D7" s="2089"/>
      <c r="E7" s="2109"/>
      <c r="F7" s="2109"/>
      <c r="G7" s="2109"/>
      <c r="H7" s="2109"/>
      <c r="I7" s="2109"/>
      <c r="J7" s="2109"/>
      <c r="K7" s="2109"/>
      <c r="L7" s="2109"/>
      <c r="M7" s="2109"/>
      <c r="N7" s="2109"/>
      <c r="O7" s="2109"/>
      <c r="P7" s="2109"/>
      <c r="Q7" s="1838">
        <f t="shared" si="0"/>
        <v>0</v>
      </c>
      <c r="T7" s="2273"/>
      <c r="U7" s="2273"/>
      <c r="V7" s="2273"/>
      <c r="W7" s="2273"/>
      <c r="X7" s="2273"/>
      <c r="Y7" s="2273"/>
      <c r="Z7" s="2273"/>
      <c r="AA7" s="2273"/>
      <c r="AB7" s="2273"/>
      <c r="AC7" s="2273"/>
      <c r="AD7" s="2273"/>
      <c r="AE7" s="2273"/>
    </row>
    <row r="8" spans="1:31">
      <c r="A8" s="1679">
        <v>6</v>
      </c>
      <c r="B8" s="1680" t="s">
        <v>486</v>
      </c>
      <c r="C8" s="2089"/>
      <c r="D8" s="2089"/>
      <c r="E8" s="2109"/>
      <c r="F8" s="2109"/>
      <c r="G8" s="2109"/>
      <c r="H8" s="2109"/>
      <c r="I8" s="2109"/>
      <c r="J8" s="2109"/>
      <c r="K8" s="2109"/>
      <c r="L8" s="2109"/>
      <c r="M8" s="2109"/>
      <c r="N8" s="2109"/>
      <c r="O8" s="2109"/>
      <c r="P8" s="2109"/>
      <c r="Q8" s="1838">
        <f t="shared" si="0"/>
        <v>0</v>
      </c>
      <c r="T8" s="2273"/>
      <c r="U8" s="2273"/>
      <c r="V8" s="2273"/>
      <c r="W8" s="2273"/>
      <c r="X8" s="2273"/>
      <c r="Y8" s="2273"/>
      <c r="Z8" s="2273"/>
      <c r="AA8" s="2273"/>
      <c r="AB8" s="2273"/>
      <c r="AC8" s="2273"/>
      <c r="AD8" s="2273"/>
      <c r="AE8" s="2273"/>
    </row>
    <row r="9" spans="1:31">
      <c r="A9" s="1679">
        <v>7</v>
      </c>
      <c r="B9" s="1680" t="s">
        <v>101</v>
      </c>
      <c r="C9" s="2089"/>
      <c r="D9" s="2089"/>
      <c r="E9" s="2109"/>
      <c r="F9" s="2109"/>
      <c r="G9" s="2109"/>
      <c r="H9" s="2109"/>
      <c r="I9" s="2109"/>
      <c r="J9" s="2109"/>
      <c r="K9" s="2109"/>
      <c r="L9" s="2109"/>
      <c r="M9" s="2109"/>
      <c r="N9" s="2109"/>
      <c r="O9" s="2109"/>
      <c r="P9" s="2109"/>
      <c r="Q9" s="1838">
        <f t="shared" si="0"/>
        <v>0</v>
      </c>
      <c r="T9" s="2273"/>
      <c r="U9" s="2273"/>
      <c r="V9" s="2273"/>
      <c r="W9" s="2273"/>
      <c r="X9" s="2273"/>
      <c r="Y9" s="2273"/>
      <c r="Z9" s="2273"/>
      <c r="AA9" s="2273"/>
      <c r="AB9" s="2273"/>
      <c r="AC9" s="2273"/>
      <c r="AD9" s="2273"/>
      <c r="AE9" s="2273"/>
    </row>
    <row r="10" spans="1:31">
      <c r="A10" s="1679">
        <v>8</v>
      </c>
      <c r="B10" s="1680" t="s">
        <v>96</v>
      </c>
      <c r="C10" s="2089"/>
      <c r="D10" s="2089"/>
      <c r="E10" s="2109"/>
      <c r="F10" s="2109"/>
      <c r="G10" s="2109"/>
      <c r="H10" s="2109"/>
      <c r="I10" s="2109"/>
      <c r="J10" s="2109"/>
      <c r="K10" s="2109"/>
      <c r="L10" s="2109"/>
      <c r="M10" s="2109"/>
      <c r="N10" s="2109"/>
      <c r="O10" s="2109"/>
      <c r="P10" s="2109"/>
      <c r="Q10" s="1838">
        <f t="shared" si="0"/>
        <v>0</v>
      </c>
      <c r="T10" s="2273"/>
      <c r="U10" s="2273"/>
      <c r="V10" s="2273"/>
      <c r="W10" s="2273"/>
      <c r="X10" s="2273"/>
      <c r="Y10" s="2273"/>
      <c r="Z10" s="2273"/>
      <c r="AA10" s="2273"/>
      <c r="AB10" s="2273"/>
      <c r="AC10" s="2273"/>
      <c r="AD10" s="2273"/>
      <c r="AE10" s="2273"/>
    </row>
    <row r="11" spans="1:31">
      <c r="A11" s="1679">
        <v>9</v>
      </c>
      <c r="B11" s="1680" t="s">
        <v>586</v>
      </c>
      <c r="C11" s="2089"/>
      <c r="D11" s="2089"/>
      <c r="E11" s="2109"/>
      <c r="F11" s="2109"/>
      <c r="G11" s="2109"/>
      <c r="H11" s="2109"/>
      <c r="I11" s="2109"/>
      <c r="J11" s="2109"/>
      <c r="K11" s="2109"/>
      <c r="L11" s="2109"/>
      <c r="M11" s="2109"/>
      <c r="N11" s="2109"/>
      <c r="O11" s="2109"/>
      <c r="P11" s="2109"/>
      <c r="Q11" s="1838">
        <f t="shared" si="0"/>
        <v>0</v>
      </c>
      <c r="T11" s="2273"/>
      <c r="U11" s="2273"/>
      <c r="V11" s="2273"/>
      <c r="W11" s="2273"/>
      <c r="X11" s="2273"/>
      <c r="Y11" s="2273"/>
      <c r="Z11" s="2273"/>
      <c r="AA11" s="2273"/>
      <c r="AB11" s="2273"/>
      <c r="AC11" s="2273"/>
      <c r="AD11" s="2273"/>
      <c r="AE11" s="2273"/>
    </row>
    <row r="12" spans="1:31">
      <c r="A12" s="1679">
        <v>9</v>
      </c>
      <c r="B12" s="1680" t="s">
        <v>585</v>
      </c>
      <c r="C12" s="2089"/>
      <c r="D12" s="2089"/>
      <c r="E12" s="2109"/>
      <c r="F12" s="2109"/>
      <c r="G12" s="2109"/>
      <c r="H12" s="2109"/>
      <c r="I12" s="2109"/>
      <c r="J12" s="2109"/>
      <c r="K12" s="2109"/>
      <c r="L12" s="2109"/>
      <c r="M12" s="2109"/>
      <c r="N12" s="2109"/>
      <c r="O12" s="2109"/>
      <c r="P12" s="2109"/>
      <c r="Q12" s="1838">
        <f t="shared" si="0"/>
        <v>0</v>
      </c>
      <c r="T12" s="2273"/>
      <c r="U12" s="2273"/>
      <c r="V12" s="2273"/>
      <c r="W12" s="2273"/>
      <c r="X12" s="2273"/>
      <c r="Y12" s="2273"/>
      <c r="Z12" s="2273"/>
      <c r="AA12" s="2273"/>
      <c r="AB12" s="2273"/>
      <c r="AC12" s="2273"/>
      <c r="AD12" s="2273"/>
      <c r="AE12" s="2273"/>
    </row>
    <row r="13" spans="1:31">
      <c r="A13" s="1679">
        <v>10</v>
      </c>
      <c r="B13" s="1680" t="s">
        <v>561</v>
      </c>
      <c r="C13" s="2089"/>
      <c r="D13" s="2089"/>
      <c r="E13" s="2109"/>
      <c r="F13" s="2109"/>
      <c r="G13" s="2109"/>
      <c r="H13" s="2109"/>
      <c r="I13" s="2109"/>
      <c r="J13" s="2109"/>
      <c r="K13" s="2109"/>
      <c r="L13" s="2109"/>
      <c r="M13" s="2109"/>
      <c r="N13" s="2109"/>
      <c r="O13" s="2109"/>
      <c r="P13" s="2109"/>
      <c r="Q13" s="1838">
        <f t="shared" si="0"/>
        <v>0</v>
      </c>
      <c r="T13" s="2273"/>
      <c r="U13" s="2273"/>
      <c r="V13" s="2273"/>
      <c r="W13" s="2273"/>
      <c r="X13" s="2273"/>
      <c r="Y13" s="2273"/>
      <c r="Z13" s="2273"/>
      <c r="AA13" s="2273"/>
      <c r="AB13" s="2273"/>
      <c r="AC13" s="2273"/>
      <c r="AD13" s="2273"/>
      <c r="AE13" s="2273"/>
    </row>
    <row r="14" spans="1:31">
      <c r="A14" s="1679">
        <v>11</v>
      </c>
      <c r="B14" s="1680" t="s">
        <v>488</v>
      </c>
      <c r="C14" s="2089"/>
      <c r="D14" s="2089"/>
      <c r="E14" s="2109"/>
      <c r="F14" s="2109"/>
      <c r="G14" s="2109"/>
      <c r="H14" s="2109"/>
      <c r="I14" s="2109"/>
      <c r="J14" s="2109"/>
      <c r="K14" s="2109"/>
      <c r="L14" s="2109"/>
      <c r="M14" s="2109"/>
      <c r="N14" s="2109"/>
      <c r="O14" s="2109"/>
      <c r="P14" s="2109"/>
      <c r="Q14" s="1838">
        <f t="shared" si="0"/>
        <v>0</v>
      </c>
      <c r="T14" s="2273"/>
      <c r="U14" s="2273"/>
      <c r="V14" s="2273"/>
      <c r="W14" s="2273"/>
      <c r="X14" s="2273"/>
      <c r="Y14" s="2273"/>
      <c r="Z14" s="2273"/>
      <c r="AA14" s="2273"/>
      <c r="AB14" s="2273"/>
      <c r="AC14" s="2273"/>
      <c r="AD14" s="2273"/>
      <c r="AE14" s="2273"/>
    </row>
    <row r="15" spans="1:31">
      <c r="A15" s="1679">
        <v>12</v>
      </c>
      <c r="B15" s="1680" t="s">
        <v>559</v>
      </c>
      <c r="C15" s="2089"/>
      <c r="D15" s="2089"/>
      <c r="E15" s="2109"/>
      <c r="F15" s="2109"/>
      <c r="G15" s="2109"/>
      <c r="H15" s="2109"/>
      <c r="I15" s="2109"/>
      <c r="J15" s="2109"/>
      <c r="K15" s="2109"/>
      <c r="L15" s="2109"/>
      <c r="M15" s="2109"/>
      <c r="N15" s="2109"/>
      <c r="O15" s="2109"/>
      <c r="P15" s="2109"/>
      <c r="Q15" s="1838">
        <f t="shared" si="0"/>
        <v>0</v>
      </c>
      <c r="T15" s="2273"/>
      <c r="U15" s="2273"/>
      <c r="V15" s="2273"/>
      <c r="W15" s="2273"/>
      <c r="X15" s="2273"/>
      <c r="Y15" s="2273"/>
      <c r="Z15" s="2273"/>
      <c r="AA15" s="2273"/>
      <c r="AB15" s="2273"/>
      <c r="AC15" s="2273"/>
      <c r="AD15" s="2273"/>
      <c r="AE15" s="2273"/>
    </row>
    <row r="16" spans="1:31">
      <c r="A16" s="1679">
        <v>13</v>
      </c>
      <c r="B16" s="1680" t="s">
        <v>102</v>
      </c>
      <c r="C16" s="2089"/>
      <c r="D16" s="2089"/>
      <c r="E16" s="2109"/>
      <c r="F16" s="2109"/>
      <c r="G16" s="2109"/>
      <c r="H16" s="2109"/>
      <c r="I16" s="2109"/>
      <c r="J16" s="2109"/>
      <c r="K16" s="2109"/>
      <c r="L16" s="2109"/>
      <c r="M16" s="2109"/>
      <c r="N16" s="2109"/>
      <c r="O16" s="2109"/>
      <c r="P16" s="2109"/>
      <c r="Q16" s="1838">
        <f t="shared" si="0"/>
        <v>0</v>
      </c>
      <c r="T16" s="2273"/>
      <c r="U16" s="2273"/>
      <c r="V16" s="2273"/>
      <c r="W16" s="2273"/>
      <c r="X16" s="2273"/>
      <c r="Y16" s="2273"/>
      <c r="Z16" s="2273"/>
      <c r="AA16" s="2273"/>
      <c r="AB16" s="2273"/>
      <c r="AC16" s="2273"/>
      <c r="AD16" s="2273"/>
      <c r="AE16" s="2273"/>
    </row>
    <row r="17" spans="1:20" hidden="1">
      <c r="A17" s="889">
        <v>11</v>
      </c>
      <c r="B17" s="2027" t="s">
        <v>290</v>
      </c>
      <c r="C17" s="2029"/>
      <c r="D17" s="2029">
        <v>0</v>
      </c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  <c r="O17" s="2030"/>
      <c r="P17" s="2030"/>
      <c r="Q17" s="2028">
        <f t="shared" si="0"/>
        <v>0</v>
      </c>
      <c r="R17" s="887">
        <f t="shared" ref="R17" si="1">D17*1.38</f>
        <v>0</v>
      </c>
      <c r="T17" s="2273"/>
    </row>
    <row r="18" spans="1:20" s="892" customFormat="1">
      <c r="A18" s="891"/>
      <c r="B18" s="891"/>
      <c r="C18" s="2088">
        <f>SUM(C3:C17)+C40</f>
        <v>0</v>
      </c>
      <c r="D18" s="2088">
        <f t="shared" ref="D18:P18" si="2">SUM(D3:D17)</f>
        <v>0</v>
      </c>
      <c r="E18" s="1841">
        <f t="shared" si="2"/>
        <v>0</v>
      </c>
      <c r="F18" s="1841">
        <f t="shared" si="2"/>
        <v>0</v>
      </c>
      <c r="G18" s="1841">
        <f t="shared" si="2"/>
        <v>0</v>
      </c>
      <c r="H18" s="1841">
        <f t="shared" si="2"/>
        <v>0</v>
      </c>
      <c r="I18" s="1841">
        <f t="shared" si="2"/>
        <v>0</v>
      </c>
      <c r="J18" s="1841">
        <f t="shared" si="2"/>
        <v>0</v>
      </c>
      <c r="K18" s="1841">
        <f t="shared" si="2"/>
        <v>0</v>
      </c>
      <c r="L18" s="1841">
        <f t="shared" si="2"/>
        <v>0</v>
      </c>
      <c r="M18" s="1841">
        <f t="shared" si="2"/>
        <v>0</v>
      </c>
      <c r="N18" s="1841">
        <f t="shared" si="2"/>
        <v>0</v>
      </c>
      <c r="O18" s="1841">
        <f t="shared" si="2"/>
        <v>0</v>
      </c>
      <c r="P18" s="1841">
        <f t="shared" si="2"/>
        <v>0</v>
      </c>
      <c r="Q18" s="1841">
        <f>SUM(Q3:Q17)</f>
        <v>0</v>
      </c>
    </row>
    <row r="19" spans="1:20">
      <c r="A19" s="2400" t="s">
        <v>556</v>
      </c>
      <c r="B19" s="2400"/>
      <c r="C19" s="2400"/>
      <c r="D19" s="2401"/>
      <c r="E19" s="1290"/>
      <c r="F19" s="1290"/>
      <c r="G19" s="1290"/>
      <c r="H19" s="1290"/>
      <c r="I19" s="1290"/>
      <c r="J19" s="1290"/>
      <c r="K19" s="1290"/>
      <c r="L19" s="1290"/>
      <c r="M19" s="1290"/>
      <c r="N19" s="1290"/>
      <c r="O19" s="1290"/>
      <c r="P19" s="1290"/>
      <c r="Q19" s="2110"/>
    </row>
    <row r="20" spans="1:20">
      <c r="A20" s="888" t="s">
        <v>107</v>
      </c>
      <c r="B20" s="1287"/>
      <c r="C20" s="888" t="s">
        <v>698</v>
      </c>
      <c r="D20" s="1291" t="s">
        <v>697</v>
      </c>
      <c r="E20" s="2108" t="s">
        <v>111</v>
      </c>
      <c r="F20" s="2108" t="s">
        <v>112</v>
      </c>
      <c r="G20" s="2108" t="s">
        <v>113</v>
      </c>
      <c r="H20" s="2108" t="s">
        <v>114</v>
      </c>
      <c r="I20" s="2108" t="s">
        <v>115</v>
      </c>
      <c r="J20" s="2108" t="s">
        <v>116</v>
      </c>
      <c r="K20" s="2108" t="s">
        <v>117</v>
      </c>
      <c r="L20" s="2108" t="s">
        <v>118</v>
      </c>
      <c r="M20" s="2108" t="s">
        <v>119</v>
      </c>
      <c r="N20" s="2108" t="s">
        <v>120</v>
      </c>
      <c r="O20" s="2108" t="s">
        <v>121</v>
      </c>
      <c r="P20" s="2108" t="s">
        <v>122</v>
      </c>
      <c r="Q20" s="888" t="s">
        <v>37</v>
      </c>
    </row>
    <row r="21" spans="1:20">
      <c r="A21" s="1679">
        <v>1</v>
      </c>
      <c r="B21" s="1680" t="s">
        <v>159</v>
      </c>
      <c r="C21" s="2089"/>
      <c r="D21" s="2089"/>
      <c r="E21" s="2109"/>
      <c r="F21" s="2109"/>
      <c r="G21" s="2109"/>
      <c r="H21" s="2109"/>
      <c r="I21" s="2109"/>
      <c r="J21" s="2109"/>
      <c r="K21" s="2109"/>
      <c r="L21" s="2109"/>
      <c r="M21" s="2109"/>
      <c r="N21" s="2109"/>
      <c r="O21" s="2109"/>
      <c r="P21" s="2109"/>
      <c r="Q21" s="1839">
        <f>SUM(E21:P21)</f>
        <v>0</v>
      </c>
    </row>
    <row r="22" spans="1:20">
      <c r="A22" s="1679">
        <v>2</v>
      </c>
      <c r="B22" s="1680" t="s">
        <v>90</v>
      </c>
      <c r="C22" s="2089"/>
      <c r="D22" s="2089"/>
      <c r="E22" s="2109"/>
      <c r="F22" s="2109"/>
      <c r="G22" s="2109"/>
      <c r="H22" s="2109"/>
      <c r="I22" s="2109"/>
      <c r="J22" s="2109"/>
      <c r="K22" s="2109"/>
      <c r="L22" s="2109"/>
      <c r="M22" s="2109"/>
      <c r="N22" s="2109"/>
      <c r="O22" s="2109"/>
      <c r="P22" s="2109"/>
      <c r="Q22" s="1839">
        <f t="shared" ref="Q22:Q34" si="3">SUM(E22:P22)</f>
        <v>0</v>
      </c>
    </row>
    <row r="23" spans="1:20">
      <c r="A23" s="1679">
        <v>3</v>
      </c>
      <c r="B23" s="1680" t="s">
        <v>91</v>
      </c>
      <c r="C23" s="2089"/>
      <c r="D23" s="2089"/>
      <c r="E23" s="2109"/>
      <c r="F23" s="2109"/>
      <c r="G23" s="2109"/>
      <c r="H23" s="2109"/>
      <c r="I23" s="2109"/>
      <c r="J23" s="2109"/>
      <c r="K23" s="2109"/>
      <c r="L23" s="2109"/>
      <c r="M23" s="2109"/>
      <c r="N23" s="2109"/>
      <c r="O23" s="2109"/>
      <c r="P23" s="2109"/>
      <c r="Q23" s="1839">
        <f t="shared" si="3"/>
        <v>0</v>
      </c>
    </row>
    <row r="24" spans="1:20">
      <c r="A24" s="1679">
        <v>4</v>
      </c>
      <c r="B24" s="1680" t="s">
        <v>104</v>
      </c>
      <c r="C24" s="2089"/>
      <c r="D24" s="2089"/>
      <c r="E24" s="2109"/>
      <c r="F24" s="2109"/>
      <c r="G24" s="2109"/>
      <c r="H24" s="2109"/>
      <c r="I24" s="2109"/>
      <c r="J24" s="2109"/>
      <c r="K24" s="2109"/>
      <c r="L24" s="2109"/>
      <c r="M24" s="2109"/>
      <c r="N24" s="2109"/>
      <c r="O24" s="2109"/>
      <c r="P24" s="2109"/>
      <c r="Q24" s="1839">
        <f t="shared" si="3"/>
        <v>0</v>
      </c>
    </row>
    <row r="25" spans="1:20">
      <c r="A25" s="1679">
        <v>5</v>
      </c>
      <c r="B25" s="1680" t="s">
        <v>100</v>
      </c>
      <c r="C25" s="2089"/>
      <c r="D25" s="2089"/>
      <c r="E25" s="2109"/>
      <c r="F25" s="2109"/>
      <c r="G25" s="2109"/>
      <c r="H25" s="2109"/>
      <c r="I25" s="2109"/>
      <c r="J25" s="2109"/>
      <c r="K25" s="2109"/>
      <c r="L25" s="2109"/>
      <c r="M25" s="2109"/>
      <c r="N25" s="2109"/>
      <c r="O25" s="2109"/>
      <c r="P25" s="2109"/>
      <c r="Q25" s="1839">
        <f t="shared" si="3"/>
        <v>0</v>
      </c>
    </row>
    <row r="26" spans="1:20">
      <c r="A26" s="1679">
        <v>6</v>
      </c>
      <c r="B26" s="1680" t="s">
        <v>486</v>
      </c>
      <c r="C26" s="2089"/>
      <c r="D26" s="2089"/>
      <c r="E26" s="2109"/>
      <c r="F26" s="2109"/>
      <c r="G26" s="2109"/>
      <c r="H26" s="2109"/>
      <c r="I26" s="2109"/>
      <c r="J26" s="2109"/>
      <c r="K26" s="2109"/>
      <c r="L26" s="2109"/>
      <c r="M26" s="2109"/>
      <c r="N26" s="2109"/>
      <c r="O26" s="2109"/>
      <c r="P26" s="2109"/>
      <c r="Q26" s="1839">
        <f t="shared" si="3"/>
        <v>0</v>
      </c>
    </row>
    <row r="27" spans="1:20">
      <c r="A27" s="1679">
        <v>7</v>
      </c>
      <c r="B27" s="1680" t="s">
        <v>101</v>
      </c>
      <c r="C27" s="2089"/>
      <c r="D27" s="2089"/>
      <c r="E27" s="2109"/>
      <c r="F27" s="2109"/>
      <c r="G27" s="2109"/>
      <c r="H27" s="2109"/>
      <c r="I27" s="2109"/>
      <c r="J27" s="2109"/>
      <c r="K27" s="2109"/>
      <c r="L27" s="2109"/>
      <c r="M27" s="2109"/>
      <c r="N27" s="2109"/>
      <c r="O27" s="2109"/>
      <c r="P27" s="2109"/>
      <c r="Q27" s="1839">
        <f t="shared" si="3"/>
        <v>0</v>
      </c>
    </row>
    <row r="28" spans="1:20">
      <c r="A28" s="1679">
        <v>8</v>
      </c>
      <c r="B28" s="1680" t="s">
        <v>96</v>
      </c>
      <c r="C28" s="2089"/>
      <c r="D28" s="2089"/>
      <c r="E28" s="2109"/>
      <c r="F28" s="2109"/>
      <c r="G28" s="2109"/>
      <c r="H28" s="2109"/>
      <c r="I28" s="2109"/>
      <c r="J28" s="2109"/>
      <c r="K28" s="2109"/>
      <c r="L28" s="2109"/>
      <c r="M28" s="2109"/>
      <c r="N28" s="2109"/>
      <c r="O28" s="2109"/>
      <c r="P28" s="2109"/>
      <c r="Q28" s="1839">
        <f t="shared" si="3"/>
        <v>0</v>
      </c>
    </row>
    <row r="29" spans="1:20">
      <c r="A29" s="1679">
        <v>9</v>
      </c>
      <c r="B29" s="1680" t="s">
        <v>586</v>
      </c>
      <c r="C29" s="2089"/>
      <c r="D29" s="2089"/>
      <c r="E29" s="2109"/>
      <c r="F29" s="2109"/>
      <c r="G29" s="2109"/>
      <c r="H29" s="2109"/>
      <c r="I29" s="2109"/>
      <c r="J29" s="2109"/>
      <c r="K29" s="2109"/>
      <c r="L29" s="2109"/>
      <c r="M29" s="2109"/>
      <c r="N29" s="2109"/>
      <c r="O29" s="2109"/>
      <c r="P29" s="2109"/>
      <c r="Q29" s="1839">
        <f t="shared" si="3"/>
        <v>0</v>
      </c>
    </row>
    <row r="30" spans="1:20">
      <c r="A30" s="1679">
        <v>9</v>
      </c>
      <c r="B30" s="1680" t="s">
        <v>585</v>
      </c>
      <c r="C30" s="2089"/>
      <c r="D30" s="2089"/>
      <c r="E30" s="2109"/>
      <c r="F30" s="2109"/>
      <c r="G30" s="2109"/>
      <c r="H30" s="2109"/>
      <c r="I30" s="2109"/>
      <c r="J30" s="2109"/>
      <c r="K30" s="2109"/>
      <c r="L30" s="2109"/>
      <c r="M30" s="2109"/>
      <c r="N30" s="2109"/>
      <c r="O30" s="2109"/>
      <c r="P30" s="2109"/>
      <c r="Q30" s="1839">
        <f>SUM(E30:P30)</f>
        <v>0</v>
      </c>
    </row>
    <row r="31" spans="1:20">
      <c r="A31" s="1679">
        <v>10</v>
      </c>
      <c r="B31" s="1680" t="s">
        <v>561</v>
      </c>
      <c r="C31" s="2089"/>
      <c r="D31" s="2089"/>
      <c r="E31" s="2109"/>
      <c r="F31" s="2109"/>
      <c r="G31" s="2109"/>
      <c r="H31" s="2109"/>
      <c r="I31" s="2109"/>
      <c r="J31" s="2109"/>
      <c r="K31" s="2109"/>
      <c r="L31" s="2109"/>
      <c r="M31" s="2109"/>
      <c r="N31" s="2109"/>
      <c r="O31" s="2109"/>
      <c r="P31" s="2109"/>
      <c r="Q31" s="1839">
        <f t="shared" si="3"/>
        <v>0</v>
      </c>
    </row>
    <row r="32" spans="1:20">
      <c r="A32" s="1679">
        <v>11</v>
      </c>
      <c r="B32" s="1680" t="s">
        <v>488</v>
      </c>
      <c r="C32" s="2089"/>
      <c r="D32" s="2089"/>
      <c r="E32" s="2109"/>
      <c r="F32" s="2109"/>
      <c r="G32" s="2109"/>
      <c r="H32" s="2109"/>
      <c r="I32" s="2109"/>
      <c r="J32" s="2109"/>
      <c r="K32" s="2109"/>
      <c r="L32" s="2109"/>
      <c r="M32" s="2109"/>
      <c r="N32" s="2109"/>
      <c r="O32" s="2109"/>
      <c r="P32" s="2109"/>
      <c r="Q32" s="1839">
        <f t="shared" si="3"/>
        <v>0</v>
      </c>
    </row>
    <row r="33" spans="1:31">
      <c r="A33" s="1679">
        <v>12</v>
      </c>
      <c r="B33" s="1680" t="s">
        <v>559</v>
      </c>
      <c r="C33" s="2089"/>
      <c r="D33" s="2089"/>
      <c r="E33" s="2109"/>
      <c r="F33" s="2109"/>
      <c r="G33" s="2109"/>
      <c r="H33" s="2109"/>
      <c r="I33" s="2109"/>
      <c r="J33" s="2109"/>
      <c r="K33" s="2109"/>
      <c r="L33" s="2109"/>
      <c r="M33" s="2109"/>
      <c r="N33" s="2109"/>
      <c r="O33" s="2109"/>
      <c r="P33" s="2109"/>
      <c r="Q33" s="1839">
        <f t="shared" si="3"/>
        <v>0</v>
      </c>
    </row>
    <row r="34" spans="1:31">
      <c r="A34" s="1679">
        <v>13</v>
      </c>
      <c r="B34" s="1680" t="s">
        <v>102</v>
      </c>
      <c r="C34" s="2089"/>
      <c r="D34" s="2089"/>
      <c r="E34" s="2109"/>
      <c r="F34" s="2109"/>
      <c r="G34" s="2109"/>
      <c r="H34" s="2109"/>
      <c r="I34" s="2109"/>
      <c r="J34" s="2109"/>
      <c r="K34" s="2109"/>
      <c r="L34" s="2109"/>
      <c r="M34" s="2109"/>
      <c r="N34" s="2109"/>
      <c r="O34" s="2109"/>
      <c r="P34" s="2109"/>
      <c r="Q34" s="1839">
        <f t="shared" si="3"/>
        <v>0</v>
      </c>
    </row>
    <row r="35" spans="1:31" hidden="1">
      <c r="A35" s="889"/>
      <c r="B35" s="1288" t="s">
        <v>290</v>
      </c>
      <c r="C35" s="890"/>
      <c r="D35" s="890">
        <f t="shared" ref="D35" si="4">SUM(E35:P35)</f>
        <v>0</v>
      </c>
      <c r="E35" s="1294"/>
      <c r="F35" s="1294"/>
      <c r="G35" s="1294"/>
      <c r="H35" s="1294"/>
      <c r="I35" s="1294"/>
      <c r="J35" s="1294"/>
      <c r="K35" s="1294"/>
      <c r="L35" s="1294"/>
      <c r="M35" s="1294"/>
      <c r="N35" s="1294"/>
      <c r="O35" s="1294"/>
      <c r="P35" s="1294"/>
      <c r="Q35" s="1840"/>
    </row>
    <row r="36" spans="1:31">
      <c r="A36" s="893"/>
      <c r="B36" s="1289"/>
      <c r="C36" s="2088">
        <f>SUM(C21:C34)</f>
        <v>0</v>
      </c>
      <c r="D36" s="2088">
        <f t="shared" ref="D36:P36" si="5">SUM(D21:D35)</f>
        <v>0</v>
      </c>
      <c r="E36" s="1841">
        <f>SUM(E21:E35)</f>
        <v>0</v>
      </c>
      <c r="F36" s="1841">
        <f t="shared" si="5"/>
        <v>0</v>
      </c>
      <c r="G36" s="1841">
        <f t="shared" si="5"/>
        <v>0</v>
      </c>
      <c r="H36" s="1841">
        <f t="shared" si="5"/>
        <v>0</v>
      </c>
      <c r="I36" s="1841">
        <f t="shared" si="5"/>
        <v>0</v>
      </c>
      <c r="J36" s="1841">
        <f t="shared" si="5"/>
        <v>0</v>
      </c>
      <c r="K36" s="1841">
        <f t="shared" si="5"/>
        <v>0</v>
      </c>
      <c r="L36" s="1841">
        <f t="shared" si="5"/>
        <v>0</v>
      </c>
      <c r="M36" s="1841">
        <f t="shared" si="5"/>
        <v>0</v>
      </c>
      <c r="N36" s="1841">
        <f t="shared" si="5"/>
        <v>0</v>
      </c>
      <c r="O36" s="1841">
        <f t="shared" si="5"/>
        <v>0</v>
      </c>
      <c r="P36" s="1841">
        <f t="shared" si="5"/>
        <v>0</v>
      </c>
      <c r="Q36" s="1841">
        <f t="shared" ref="Q36" si="6">SUM(Q21:Q35)</f>
        <v>0</v>
      </c>
    </row>
    <row r="37" spans="1:31">
      <c r="F37" s="1296"/>
      <c r="G37" s="1296"/>
      <c r="H37" s="1296"/>
      <c r="I37" s="1296"/>
      <c r="J37" s="1296"/>
      <c r="K37" s="1296"/>
      <c r="L37" s="1296"/>
      <c r="M37" s="1296"/>
      <c r="N37" s="1296"/>
      <c r="O37" s="1296"/>
      <c r="P37" s="1296"/>
    </row>
    <row r="38" spans="1:31">
      <c r="A38" s="2400" t="s">
        <v>557</v>
      </c>
      <c r="B38" s="2400"/>
      <c r="C38" s="2400"/>
      <c r="D38" s="2401"/>
      <c r="E38" s="1290"/>
      <c r="F38" s="1290"/>
      <c r="G38" s="1290"/>
      <c r="H38" s="1290"/>
      <c r="I38" s="1290"/>
      <c r="J38" s="1290"/>
      <c r="K38" s="1290"/>
      <c r="L38" s="1290"/>
      <c r="M38" s="1290"/>
      <c r="N38" s="1290"/>
      <c r="O38" s="1290"/>
      <c r="P38" s="1290"/>
      <c r="Q38" s="2110"/>
      <c r="T38" s="1846"/>
    </row>
    <row r="39" spans="1:31">
      <c r="A39" s="888" t="s">
        <v>107</v>
      </c>
      <c r="B39" s="1287"/>
      <c r="C39" s="888" t="s">
        <v>698</v>
      </c>
      <c r="D39" s="1291" t="s">
        <v>697</v>
      </c>
      <c r="E39" s="1293" t="s">
        <v>111</v>
      </c>
      <c r="F39" s="1293" t="s">
        <v>112</v>
      </c>
      <c r="G39" s="1293" t="s">
        <v>113</v>
      </c>
      <c r="H39" s="1293" t="s">
        <v>114</v>
      </c>
      <c r="I39" s="1293" t="s">
        <v>115</v>
      </c>
      <c r="J39" s="1293" t="s">
        <v>116</v>
      </c>
      <c r="K39" s="1293" t="s">
        <v>117</v>
      </c>
      <c r="L39" s="1293" t="s">
        <v>118</v>
      </c>
      <c r="M39" s="1293" t="s">
        <v>119</v>
      </c>
      <c r="N39" s="1293" t="s">
        <v>120</v>
      </c>
      <c r="O39" s="1293" t="s">
        <v>121</v>
      </c>
      <c r="P39" s="1293" t="s">
        <v>122</v>
      </c>
      <c r="Q39" s="888" t="s">
        <v>37</v>
      </c>
    </row>
    <row r="40" spans="1:31">
      <c r="A40" s="1842">
        <v>17</v>
      </c>
      <c r="B40" s="1843" t="s">
        <v>513</v>
      </c>
      <c r="C40" s="2089"/>
      <c r="D40" s="1844"/>
      <c r="E40" s="1838"/>
      <c r="F40" s="1838"/>
      <c r="G40" s="1838"/>
      <c r="H40" s="1838"/>
      <c r="I40" s="1838"/>
      <c r="J40" s="1838"/>
      <c r="K40" s="1838"/>
      <c r="L40" s="1838"/>
      <c r="M40" s="1838"/>
      <c r="N40" s="1838"/>
      <c r="O40" s="1838"/>
      <c r="P40" s="1838"/>
      <c r="Q40" s="1839">
        <f t="shared" ref="Q40" si="7">SUM(E40:P40)</f>
        <v>0</v>
      </c>
      <c r="R40" s="1845"/>
      <c r="T40" s="1669"/>
      <c r="U40" s="1669"/>
      <c r="V40" s="1669"/>
      <c r="W40" s="1669"/>
      <c r="X40" s="1669"/>
      <c r="Y40" s="1669"/>
      <c r="Z40" s="1669"/>
      <c r="AA40" s="1669"/>
      <c r="AB40" s="1669"/>
      <c r="AC40" s="1669"/>
      <c r="AD40" s="1669"/>
      <c r="AE40" s="1669"/>
    </row>
    <row r="42" spans="1:31">
      <c r="A42" s="2400" t="s">
        <v>556</v>
      </c>
      <c r="B42" s="2400"/>
      <c r="C42" s="2400"/>
      <c r="D42" s="2401"/>
      <c r="E42" s="1290"/>
      <c r="F42" s="1290"/>
      <c r="G42" s="1290"/>
      <c r="H42" s="1290"/>
      <c r="I42" s="1290"/>
      <c r="J42" s="1290"/>
      <c r="K42" s="1290"/>
      <c r="L42" s="1290"/>
      <c r="M42" s="1290"/>
      <c r="N42" s="1290"/>
      <c r="O42" s="1290"/>
      <c r="P42" s="1290"/>
      <c r="Q42" s="2110"/>
    </row>
    <row r="43" spans="1:31">
      <c r="A43" s="888" t="s">
        <v>107</v>
      </c>
      <c r="B43" s="1287"/>
      <c r="C43" s="888" t="s">
        <v>698</v>
      </c>
      <c r="D43" s="1291" t="s">
        <v>697</v>
      </c>
      <c r="E43" s="1293" t="s">
        <v>111</v>
      </c>
      <c r="F43" s="1293" t="s">
        <v>112</v>
      </c>
      <c r="G43" s="1293" t="s">
        <v>113</v>
      </c>
      <c r="H43" s="1293" t="s">
        <v>114</v>
      </c>
      <c r="I43" s="1293" t="s">
        <v>115</v>
      </c>
      <c r="J43" s="1293" t="s">
        <v>116</v>
      </c>
      <c r="K43" s="1293" t="s">
        <v>117</v>
      </c>
      <c r="L43" s="1293" t="s">
        <v>118</v>
      </c>
      <c r="M43" s="1293" t="s">
        <v>119</v>
      </c>
      <c r="N43" s="1293" t="s">
        <v>120</v>
      </c>
      <c r="O43" s="1293" t="s">
        <v>121</v>
      </c>
      <c r="P43" s="1293" t="s">
        <v>122</v>
      </c>
      <c r="Q43" s="888" t="s">
        <v>37</v>
      </c>
    </row>
    <row r="44" spans="1:31">
      <c r="A44" s="1842">
        <v>17</v>
      </c>
      <c r="B44" s="1847" t="s">
        <v>513</v>
      </c>
      <c r="C44" s="2089"/>
      <c r="D44" s="1848">
        <f>C44*1.1</f>
        <v>0</v>
      </c>
      <c r="E44" s="1839">
        <f>D44/12</f>
        <v>0</v>
      </c>
      <c r="F44" s="1839"/>
      <c r="G44" s="1839"/>
      <c r="H44" s="1839"/>
      <c r="I44" s="1839"/>
      <c r="J44" s="1839"/>
      <c r="K44" s="1839"/>
      <c r="L44" s="1839"/>
      <c r="M44" s="1839"/>
      <c r="N44" s="1839"/>
      <c r="O44" s="1839"/>
      <c r="P44" s="1839"/>
      <c r="Q44" s="1839">
        <f t="shared" ref="Q44" si="8">SUM(E44:P44)</f>
        <v>0</v>
      </c>
      <c r="T44" s="1846"/>
    </row>
  </sheetData>
  <mergeCells count="4">
    <mergeCell ref="A1:D1"/>
    <mergeCell ref="A19:D19"/>
    <mergeCell ref="A38:D38"/>
    <mergeCell ref="A42:D42"/>
  </mergeCells>
  <pageMargins left="0.25" right="0.25" top="0.75" bottom="0.75" header="0.3" footer="0.3"/>
  <pageSetup paperSize="9" scale="82" fitToHeight="0" orientation="landscape" r:id="rId1"/>
  <headerFooter>
    <oddHeader>&amp;CBALPET A.Ş.
2015 BÜTÇE ÇALIŞMASI - MADENİ YAĞ / ADBLUE 
GAZYAĞI - KALYAK - SATIŞ HEDEFİ</oddHeader>
    <oddFooter>Sayfa &amp;P /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274"/>
  <sheetViews>
    <sheetView topLeftCell="A100" zoomScale="85" zoomScaleNormal="85" workbookViewId="0">
      <selection activeCell="A18" sqref="A18:XFD18"/>
    </sheetView>
  </sheetViews>
  <sheetFormatPr defaultColWidth="9.109375" defaultRowHeight="13.2"/>
  <cols>
    <col min="1" max="1" width="47.5546875" style="1" customWidth="1"/>
    <col min="2" max="13" width="10.44140625" style="1" bestFit="1" customWidth="1"/>
    <col min="14" max="14" width="11.5546875" style="1" customWidth="1"/>
    <col min="15" max="15" width="10.44140625" style="1" bestFit="1" customWidth="1"/>
    <col min="16" max="16384" width="9.109375" style="1"/>
  </cols>
  <sheetData>
    <row r="1" spans="1:14" ht="13.8" thickBot="1"/>
    <row r="2" spans="1:14" ht="24.75" customHeight="1">
      <c r="A2" s="289"/>
      <c r="B2" s="2310" t="s">
        <v>302</v>
      </c>
      <c r="C2" s="2311"/>
      <c r="D2" s="2311"/>
      <c r="E2" s="2311"/>
      <c r="F2" s="2311"/>
      <c r="G2" s="2311"/>
      <c r="H2" s="2311"/>
      <c r="I2" s="2311"/>
      <c r="J2" s="2311"/>
      <c r="K2" s="2311"/>
      <c r="L2" s="2311"/>
      <c r="M2" s="2311"/>
      <c r="N2" s="2312"/>
    </row>
    <row r="3" spans="1:14" ht="24.75" customHeight="1" thickBot="1">
      <c r="A3" s="290" t="s">
        <v>133</v>
      </c>
      <c r="B3" s="291" t="s">
        <v>1</v>
      </c>
      <c r="C3" s="291" t="s">
        <v>2</v>
      </c>
      <c r="D3" s="291" t="s">
        <v>3</v>
      </c>
      <c r="E3" s="291" t="s">
        <v>4</v>
      </c>
      <c r="F3" s="291" t="s">
        <v>5</v>
      </c>
      <c r="G3" s="291" t="s">
        <v>6</v>
      </c>
      <c r="H3" s="291" t="s">
        <v>7</v>
      </c>
      <c r="I3" s="291" t="s">
        <v>8</v>
      </c>
      <c r="J3" s="291" t="s">
        <v>9</v>
      </c>
      <c r="K3" s="291" t="s">
        <v>10</v>
      </c>
      <c r="L3" s="291" t="s">
        <v>11</v>
      </c>
      <c r="M3" s="291" t="s">
        <v>12</v>
      </c>
      <c r="N3" s="292" t="s">
        <v>13</v>
      </c>
    </row>
    <row r="4" spans="1:14" ht="13.8" thickBot="1">
      <c r="A4" s="293" t="s">
        <v>241</v>
      </c>
      <c r="B4" s="294">
        <f t="shared" ref="B4:M4" si="0">SUM(B5:B9)</f>
        <v>0</v>
      </c>
      <c r="C4" s="295">
        <f t="shared" si="0"/>
        <v>0</v>
      </c>
      <c r="D4" s="295">
        <f t="shared" si="0"/>
        <v>0</v>
      </c>
      <c r="E4" s="295">
        <f t="shared" si="0"/>
        <v>0</v>
      </c>
      <c r="F4" s="295">
        <f t="shared" si="0"/>
        <v>0</v>
      </c>
      <c r="G4" s="295">
        <f t="shared" si="0"/>
        <v>0</v>
      </c>
      <c r="H4" s="295">
        <f t="shared" si="0"/>
        <v>0</v>
      </c>
      <c r="I4" s="295">
        <f t="shared" si="0"/>
        <v>0</v>
      </c>
      <c r="J4" s="295">
        <f t="shared" si="0"/>
        <v>0</v>
      </c>
      <c r="K4" s="295">
        <f t="shared" si="0"/>
        <v>0</v>
      </c>
      <c r="L4" s="295">
        <f t="shared" si="0"/>
        <v>0</v>
      </c>
      <c r="M4" s="296">
        <f t="shared" si="0"/>
        <v>0</v>
      </c>
      <c r="N4" s="297">
        <f>SUM(N5:N10)</f>
        <v>0</v>
      </c>
    </row>
    <row r="5" spans="1:14">
      <c r="A5" s="298" t="s">
        <v>242</v>
      </c>
      <c r="B5" s="299"/>
      <c r="C5" s="300"/>
      <c r="D5" s="300"/>
      <c r="E5" s="300"/>
      <c r="F5" s="300"/>
      <c r="G5" s="300"/>
      <c r="H5" s="300"/>
      <c r="I5" s="300"/>
      <c r="J5" s="300"/>
      <c r="K5" s="300"/>
      <c r="L5" s="300"/>
      <c r="M5" s="301"/>
      <c r="N5" s="302">
        <f>SUM(B5:M5)</f>
        <v>0</v>
      </c>
    </row>
    <row r="6" spans="1:14">
      <c r="A6" s="303" t="s">
        <v>243</v>
      </c>
      <c r="B6" s="304"/>
      <c r="C6" s="305"/>
      <c r="D6" s="305"/>
      <c r="E6" s="305"/>
      <c r="F6" s="305"/>
      <c r="G6" s="305"/>
      <c r="H6" s="305"/>
      <c r="I6" s="305"/>
      <c r="J6" s="305"/>
      <c r="K6" s="305"/>
      <c r="L6" s="305"/>
      <c r="M6" s="306"/>
      <c r="N6" s="307">
        <f>SUM(B6:M6)</f>
        <v>0</v>
      </c>
    </row>
    <row r="7" spans="1:14">
      <c r="A7" s="308" t="s">
        <v>244</v>
      </c>
      <c r="B7" s="309"/>
      <c r="C7" s="310"/>
      <c r="D7" s="310"/>
      <c r="E7" s="310"/>
      <c r="F7" s="310"/>
      <c r="G7" s="310"/>
      <c r="H7" s="310"/>
      <c r="I7" s="310"/>
      <c r="J7" s="310"/>
      <c r="K7" s="310"/>
      <c r="L7" s="310"/>
      <c r="M7" s="311"/>
      <c r="N7" s="312">
        <f>SUM(B7:M7)</f>
        <v>0</v>
      </c>
    </row>
    <row r="8" spans="1:14">
      <c r="A8" s="303" t="s">
        <v>245</v>
      </c>
      <c r="B8" s="304"/>
      <c r="C8" s="305"/>
      <c r="D8" s="305"/>
      <c r="E8" s="305"/>
      <c r="F8" s="305"/>
      <c r="G8" s="305"/>
      <c r="H8" s="305"/>
      <c r="I8" s="305"/>
      <c r="J8" s="305"/>
      <c r="K8" s="305"/>
      <c r="L8" s="305"/>
      <c r="M8" s="306"/>
      <c r="N8" s="307">
        <f>SUM(B8:M8)</f>
        <v>0</v>
      </c>
    </row>
    <row r="9" spans="1:14" ht="13.8" thickBot="1">
      <c r="A9" s="313" t="s">
        <v>240</v>
      </c>
      <c r="B9" s="314"/>
      <c r="C9" s="315"/>
      <c r="D9" s="315"/>
      <c r="E9" s="315"/>
      <c r="F9" s="315"/>
      <c r="G9" s="315"/>
      <c r="H9" s="315"/>
      <c r="I9" s="315"/>
      <c r="J9" s="315"/>
      <c r="K9" s="315"/>
      <c r="L9" s="315"/>
      <c r="M9" s="316"/>
      <c r="N9" s="317">
        <f>SUM(B9:M9)</f>
        <v>0</v>
      </c>
    </row>
    <row r="10" spans="1:14" ht="13.8" thickBot="1"/>
    <row r="11" spans="1:14" ht="24.75" customHeight="1">
      <c r="A11" s="289"/>
      <c r="B11" s="2310" t="s">
        <v>302</v>
      </c>
      <c r="C11" s="2311"/>
      <c r="D11" s="2311"/>
      <c r="E11" s="2311"/>
      <c r="F11" s="2311"/>
      <c r="G11" s="2311"/>
      <c r="H11" s="2311"/>
      <c r="I11" s="2311"/>
      <c r="J11" s="2311"/>
      <c r="K11" s="2311"/>
      <c r="L11" s="2311"/>
      <c r="M11" s="2311"/>
      <c r="N11" s="2312"/>
    </row>
    <row r="12" spans="1:14" ht="24.75" customHeight="1" thickBot="1">
      <c r="A12" s="290" t="s">
        <v>90</v>
      </c>
      <c r="B12" s="291" t="s">
        <v>1</v>
      </c>
      <c r="C12" s="291" t="s">
        <v>2</v>
      </c>
      <c r="D12" s="291" t="s">
        <v>3</v>
      </c>
      <c r="E12" s="291" t="s">
        <v>4</v>
      </c>
      <c r="F12" s="291" t="s">
        <v>5</v>
      </c>
      <c r="G12" s="291" t="s">
        <v>6</v>
      </c>
      <c r="H12" s="291" t="s">
        <v>7</v>
      </c>
      <c r="I12" s="291" t="s">
        <v>8</v>
      </c>
      <c r="J12" s="291" t="s">
        <v>9</v>
      </c>
      <c r="K12" s="291" t="s">
        <v>10</v>
      </c>
      <c r="L12" s="291" t="s">
        <v>11</v>
      </c>
      <c r="M12" s="291" t="s">
        <v>12</v>
      </c>
      <c r="N12" s="292" t="s">
        <v>13</v>
      </c>
    </row>
    <row r="13" spans="1:14" ht="13.8" thickBot="1">
      <c r="A13" s="318" t="s">
        <v>241</v>
      </c>
      <c r="B13" s="319">
        <f t="shared" ref="B13:M13" si="1">SUM(B14:B18)</f>
        <v>0</v>
      </c>
      <c r="C13" s="320">
        <f t="shared" si="1"/>
        <v>0</v>
      </c>
      <c r="D13" s="320">
        <f t="shared" si="1"/>
        <v>0</v>
      </c>
      <c r="E13" s="320">
        <f t="shared" si="1"/>
        <v>0</v>
      </c>
      <c r="F13" s="320">
        <f t="shared" si="1"/>
        <v>0</v>
      </c>
      <c r="G13" s="320">
        <f t="shared" si="1"/>
        <v>0</v>
      </c>
      <c r="H13" s="320">
        <f t="shared" si="1"/>
        <v>0</v>
      </c>
      <c r="I13" s="320">
        <f t="shared" si="1"/>
        <v>0</v>
      </c>
      <c r="J13" s="320">
        <f t="shared" si="1"/>
        <v>0</v>
      </c>
      <c r="K13" s="320">
        <f t="shared" si="1"/>
        <v>0</v>
      </c>
      <c r="L13" s="320">
        <f t="shared" si="1"/>
        <v>0</v>
      </c>
      <c r="M13" s="321">
        <f t="shared" si="1"/>
        <v>0</v>
      </c>
      <c r="N13" s="322">
        <f>SUM(N14:N19)</f>
        <v>0</v>
      </c>
    </row>
    <row r="14" spans="1:14">
      <c r="A14" s="323" t="s">
        <v>242</v>
      </c>
      <c r="B14" s="299"/>
      <c r="C14" s="300"/>
      <c r="D14" s="300"/>
      <c r="E14" s="300"/>
      <c r="F14" s="300"/>
      <c r="G14" s="300"/>
      <c r="H14" s="300"/>
      <c r="I14" s="300"/>
      <c r="J14" s="300"/>
      <c r="K14" s="300"/>
      <c r="L14" s="300"/>
      <c r="M14" s="301"/>
      <c r="N14" s="324">
        <f>SUM(B14:M14)</f>
        <v>0</v>
      </c>
    </row>
    <row r="15" spans="1:14">
      <c r="A15" s="325" t="s">
        <v>243</v>
      </c>
      <c r="B15" s="304"/>
      <c r="C15" s="305"/>
      <c r="D15" s="305"/>
      <c r="E15" s="305"/>
      <c r="F15" s="305"/>
      <c r="G15" s="305"/>
      <c r="H15" s="305"/>
      <c r="I15" s="305"/>
      <c r="J15" s="305"/>
      <c r="K15" s="305"/>
      <c r="L15" s="305"/>
      <c r="M15" s="306"/>
      <c r="N15" s="306">
        <f>SUM(B15:M15)</f>
        <v>0</v>
      </c>
    </row>
    <row r="16" spans="1:14">
      <c r="A16" s="326" t="s">
        <v>244</v>
      </c>
      <c r="B16" s="309"/>
      <c r="C16" s="310"/>
      <c r="D16" s="310"/>
      <c r="E16" s="310"/>
      <c r="F16" s="310"/>
      <c r="G16" s="310"/>
      <c r="H16" s="310"/>
      <c r="I16" s="310"/>
      <c r="J16" s="310"/>
      <c r="K16" s="310"/>
      <c r="L16" s="310"/>
      <c r="M16" s="311"/>
      <c r="N16" s="327">
        <f>SUM(B16:M16)</f>
        <v>0</v>
      </c>
    </row>
    <row r="17" spans="1:14">
      <c r="A17" s="325" t="s">
        <v>245</v>
      </c>
      <c r="B17" s="304"/>
      <c r="C17" s="305"/>
      <c r="D17" s="305"/>
      <c r="E17" s="305"/>
      <c r="F17" s="305"/>
      <c r="G17" s="305"/>
      <c r="H17" s="305"/>
      <c r="I17" s="305"/>
      <c r="J17" s="305"/>
      <c r="K17" s="305"/>
      <c r="L17" s="305"/>
      <c r="M17" s="306"/>
      <c r="N17" s="306">
        <f>SUM(B17:M17)</f>
        <v>0</v>
      </c>
    </row>
    <row r="18" spans="1:14" ht="13.8" thickBot="1">
      <c r="A18" s="328" t="s">
        <v>240</v>
      </c>
      <c r="B18" s="314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6"/>
      <c r="N18" s="329">
        <f>SUM(B18:M18)</f>
        <v>0</v>
      </c>
    </row>
    <row r="19" spans="1:14" ht="13.8" thickBot="1"/>
    <row r="20" spans="1:14" ht="24.75" customHeight="1">
      <c r="A20" s="289"/>
      <c r="B20" s="2310" t="s">
        <v>302</v>
      </c>
      <c r="C20" s="2311"/>
      <c r="D20" s="2311"/>
      <c r="E20" s="2311"/>
      <c r="F20" s="2311"/>
      <c r="G20" s="2311"/>
      <c r="H20" s="2311"/>
      <c r="I20" s="2311"/>
      <c r="J20" s="2311"/>
      <c r="K20" s="2311"/>
      <c r="L20" s="2311"/>
      <c r="M20" s="2311"/>
      <c r="N20" s="2312"/>
    </row>
    <row r="21" spans="1:14" ht="24.75" customHeight="1" thickBot="1">
      <c r="A21" s="290" t="s">
        <v>91</v>
      </c>
      <c r="B21" s="291" t="s">
        <v>1</v>
      </c>
      <c r="C21" s="291" t="s">
        <v>2</v>
      </c>
      <c r="D21" s="291" t="s">
        <v>3</v>
      </c>
      <c r="E21" s="291" t="s">
        <v>4</v>
      </c>
      <c r="F21" s="291" t="s">
        <v>5</v>
      </c>
      <c r="G21" s="291" t="s">
        <v>6</v>
      </c>
      <c r="H21" s="291" t="s">
        <v>7</v>
      </c>
      <c r="I21" s="291" t="s">
        <v>8</v>
      </c>
      <c r="J21" s="291" t="s">
        <v>9</v>
      </c>
      <c r="K21" s="291" t="s">
        <v>10</v>
      </c>
      <c r="L21" s="291" t="s">
        <v>11</v>
      </c>
      <c r="M21" s="291" t="s">
        <v>12</v>
      </c>
      <c r="N21" s="292" t="s">
        <v>13</v>
      </c>
    </row>
    <row r="22" spans="1:14" ht="13.8" thickBot="1">
      <c r="A22" s="318" t="s">
        <v>241</v>
      </c>
      <c r="B22" s="319">
        <f t="shared" ref="B22:M22" si="2">SUM(B23:B27)</f>
        <v>0</v>
      </c>
      <c r="C22" s="320">
        <f t="shared" si="2"/>
        <v>0</v>
      </c>
      <c r="D22" s="320">
        <f t="shared" si="2"/>
        <v>0</v>
      </c>
      <c r="E22" s="320">
        <f t="shared" si="2"/>
        <v>0</v>
      </c>
      <c r="F22" s="320">
        <f t="shared" si="2"/>
        <v>0</v>
      </c>
      <c r="G22" s="320">
        <f t="shared" si="2"/>
        <v>0</v>
      </c>
      <c r="H22" s="320">
        <f t="shared" si="2"/>
        <v>0</v>
      </c>
      <c r="I22" s="320">
        <f t="shared" si="2"/>
        <v>0</v>
      </c>
      <c r="J22" s="320">
        <f t="shared" si="2"/>
        <v>0</v>
      </c>
      <c r="K22" s="320">
        <f t="shared" si="2"/>
        <v>0</v>
      </c>
      <c r="L22" s="320">
        <f t="shared" si="2"/>
        <v>0</v>
      </c>
      <c r="M22" s="321">
        <f t="shared" si="2"/>
        <v>0</v>
      </c>
      <c r="N22" s="322">
        <f>SUM(N23:N28)</f>
        <v>0</v>
      </c>
    </row>
    <row r="23" spans="1:14">
      <c r="A23" s="323" t="s">
        <v>242</v>
      </c>
      <c r="B23" s="299"/>
      <c r="C23" s="300"/>
      <c r="D23" s="300"/>
      <c r="E23" s="300"/>
      <c r="F23" s="300"/>
      <c r="G23" s="300"/>
      <c r="H23" s="300"/>
      <c r="I23" s="300"/>
      <c r="J23" s="300"/>
      <c r="K23" s="300"/>
      <c r="L23" s="300"/>
      <c r="M23" s="301"/>
      <c r="N23" s="324">
        <f>SUM(B23:M23)</f>
        <v>0</v>
      </c>
    </row>
    <row r="24" spans="1:14">
      <c r="A24" s="325" t="s">
        <v>243</v>
      </c>
      <c r="B24" s="304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6"/>
      <c r="N24" s="306">
        <f>SUM(B24:M24)</f>
        <v>0</v>
      </c>
    </row>
    <row r="25" spans="1:14">
      <c r="A25" s="326" t="s">
        <v>244</v>
      </c>
      <c r="B25" s="309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1"/>
      <c r="N25" s="327">
        <f>SUM(B25:M25)</f>
        <v>0</v>
      </c>
    </row>
    <row r="26" spans="1:14">
      <c r="A26" s="325" t="s">
        <v>245</v>
      </c>
      <c r="B26" s="304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6"/>
      <c r="N26" s="306">
        <f>SUM(B26:M26)</f>
        <v>0</v>
      </c>
    </row>
    <row r="27" spans="1:14" ht="13.8" thickBot="1">
      <c r="A27" s="328" t="s">
        <v>240</v>
      </c>
      <c r="B27" s="314"/>
      <c r="C27" s="315"/>
      <c r="D27" s="315"/>
      <c r="E27" s="315"/>
      <c r="F27" s="315"/>
      <c r="G27" s="315"/>
      <c r="H27" s="315"/>
      <c r="I27" s="315"/>
      <c r="J27" s="315"/>
      <c r="K27" s="315"/>
      <c r="L27" s="315"/>
      <c r="M27" s="316"/>
      <c r="N27" s="329">
        <f>SUM(B27:M27)</f>
        <v>0</v>
      </c>
    </row>
    <row r="28" spans="1:14" ht="13.8" thickBot="1"/>
    <row r="29" spans="1:14" ht="24.75" customHeight="1">
      <c r="A29" s="289"/>
      <c r="B29" s="2310" t="s">
        <v>302</v>
      </c>
      <c r="C29" s="2311"/>
      <c r="D29" s="2311"/>
      <c r="E29" s="2311"/>
      <c r="F29" s="2311"/>
      <c r="G29" s="2311"/>
      <c r="H29" s="2311"/>
      <c r="I29" s="2311"/>
      <c r="J29" s="2311"/>
      <c r="K29" s="2311"/>
      <c r="L29" s="2311"/>
      <c r="M29" s="2311"/>
      <c r="N29" s="2312"/>
    </row>
    <row r="30" spans="1:14" ht="24.75" customHeight="1" thickBot="1">
      <c r="A30" s="290" t="s">
        <v>92</v>
      </c>
      <c r="B30" s="291" t="s">
        <v>1</v>
      </c>
      <c r="C30" s="291" t="s">
        <v>2</v>
      </c>
      <c r="D30" s="291" t="s">
        <v>3</v>
      </c>
      <c r="E30" s="291" t="s">
        <v>4</v>
      </c>
      <c r="F30" s="291" t="s">
        <v>5</v>
      </c>
      <c r="G30" s="291" t="s">
        <v>6</v>
      </c>
      <c r="H30" s="291" t="s">
        <v>7</v>
      </c>
      <c r="I30" s="291" t="s">
        <v>8</v>
      </c>
      <c r="J30" s="291" t="s">
        <v>9</v>
      </c>
      <c r="K30" s="291" t="s">
        <v>10</v>
      </c>
      <c r="L30" s="291" t="s">
        <v>11</v>
      </c>
      <c r="M30" s="291" t="s">
        <v>12</v>
      </c>
      <c r="N30" s="292" t="s">
        <v>13</v>
      </c>
    </row>
    <row r="31" spans="1:14" ht="13.8" thickBot="1">
      <c r="A31" s="318" t="s">
        <v>241</v>
      </c>
      <c r="B31" s="319">
        <f t="shared" ref="B31:M31" si="3">SUM(B32:B36)</f>
        <v>0</v>
      </c>
      <c r="C31" s="320">
        <f t="shared" si="3"/>
        <v>0</v>
      </c>
      <c r="D31" s="320">
        <f t="shared" si="3"/>
        <v>0</v>
      </c>
      <c r="E31" s="320">
        <f t="shared" si="3"/>
        <v>0</v>
      </c>
      <c r="F31" s="320">
        <f t="shared" si="3"/>
        <v>0</v>
      </c>
      <c r="G31" s="320">
        <f t="shared" si="3"/>
        <v>0</v>
      </c>
      <c r="H31" s="320">
        <f t="shared" si="3"/>
        <v>0</v>
      </c>
      <c r="I31" s="320">
        <f t="shared" si="3"/>
        <v>0</v>
      </c>
      <c r="J31" s="320">
        <f t="shared" si="3"/>
        <v>0</v>
      </c>
      <c r="K31" s="320">
        <f t="shared" si="3"/>
        <v>0</v>
      </c>
      <c r="L31" s="320">
        <f t="shared" si="3"/>
        <v>0</v>
      </c>
      <c r="M31" s="321">
        <f t="shared" si="3"/>
        <v>0</v>
      </c>
      <c r="N31" s="322">
        <f>SUM(N32:N36)</f>
        <v>0</v>
      </c>
    </row>
    <row r="32" spans="1:14">
      <c r="A32" s="323" t="s">
        <v>242</v>
      </c>
      <c r="B32" s="299"/>
      <c r="C32" s="300"/>
      <c r="D32" s="300"/>
      <c r="E32" s="300"/>
      <c r="F32" s="300"/>
      <c r="G32" s="300"/>
      <c r="H32" s="300"/>
      <c r="I32" s="300"/>
      <c r="J32" s="300"/>
      <c r="K32" s="300"/>
      <c r="L32" s="300"/>
      <c r="M32" s="301"/>
      <c r="N32" s="324">
        <f>SUM(B32:M32)</f>
        <v>0</v>
      </c>
    </row>
    <row r="33" spans="1:14">
      <c r="A33" s="325" t="s">
        <v>243</v>
      </c>
      <c r="B33" s="304"/>
      <c r="C33" s="305"/>
      <c r="D33" s="305"/>
      <c r="E33" s="305"/>
      <c r="F33" s="305"/>
      <c r="G33" s="305"/>
      <c r="H33" s="305"/>
      <c r="I33" s="305"/>
      <c r="J33" s="305"/>
      <c r="K33" s="305"/>
      <c r="L33" s="305"/>
      <c r="M33" s="306"/>
      <c r="N33" s="306">
        <f>SUM(B33:M33)</f>
        <v>0</v>
      </c>
    </row>
    <row r="34" spans="1:14">
      <c r="A34" s="326" t="s">
        <v>244</v>
      </c>
      <c r="B34" s="309"/>
      <c r="C34" s="310"/>
      <c r="D34" s="310"/>
      <c r="E34" s="310"/>
      <c r="F34" s="310"/>
      <c r="G34" s="310"/>
      <c r="H34" s="310"/>
      <c r="I34" s="310"/>
      <c r="J34" s="310"/>
      <c r="K34" s="310"/>
      <c r="L34" s="310"/>
      <c r="M34" s="311"/>
      <c r="N34" s="327">
        <f>SUM(B34:M34)</f>
        <v>0</v>
      </c>
    </row>
    <row r="35" spans="1:14">
      <c r="A35" s="325" t="s">
        <v>245</v>
      </c>
      <c r="B35" s="304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6"/>
      <c r="N35" s="306">
        <f>SUM(B35:M35)</f>
        <v>0</v>
      </c>
    </row>
    <row r="36" spans="1:14" ht="13.8" thickBot="1">
      <c r="A36" s="328" t="s">
        <v>240</v>
      </c>
      <c r="B36" s="314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6"/>
      <c r="N36" s="329">
        <f>SUM(B36:M36)</f>
        <v>0</v>
      </c>
    </row>
    <row r="37" spans="1:14" ht="13.8" thickBot="1"/>
    <row r="38" spans="1:14" ht="24.75" customHeight="1">
      <c r="A38" s="289"/>
      <c r="B38" s="2310" t="s">
        <v>302</v>
      </c>
      <c r="C38" s="2311"/>
      <c r="D38" s="2311"/>
      <c r="E38" s="2311"/>
      <c r="F38" s="2311"/>
      <c r="G38" s="2311"/>
      <c r="H38" s="2311"/>
      <c r="I38" s="2311"/>
      <c r="J38" s="2311"/>
      <c r="K38" s="2311"/>
      <c r="L38" s="2311"/>
      <c r="M38" s="2311"/>
      <c r="N38" s="2312"/>
    </row>
    <row r="39" spans="1:14" ht="24.75" customHeight="1" thickBot="1">
      <c r="A39" s="290" t="s">
        <v>93</v>
      </c>
      <c r="B39" s="291" t="s">
        <v>1</v>
      </c>
      <c r="C39" s="291" t="s">
        <v>2</v>
      </c>
      <c r="D39" s="291" t="s">
        <v>3</v>
      </c>
      <c r="E39" s="291" t="s">
        <v>4</v>
      </c>
      <c r="F39" s="291" t="s">
        <v>5</v>
      </c>
      <c r="G39" s="291" t="s">
        <v>6</v>
      </c>
      <c r="H39" s="291" t="s">
        <v>7</v>
      </c>
      <c r="I39" s="291" t="s">
        <v>8</v>
      </c>
      <c r="J39" s="291" t="s">
        <v>9</v>
      </c>
      <c r="K39" s="291" t="s">
        <v>10</v>
      </c>
      <c r="L39" s="291" t="s">
        <v>11</v>
      </c>
      <c r="M39" s="291" t="s">
        <v>12</v>
      </c>
      <c r="N39" s="292" t="s">
        <v>13</v>
      </c>
    </row>
    <row r="40" spans="1:14" ht="13.8" thickBot="1">
      <c r="A40" s="318" t="s">
        <v>241</v>
      </c>
      <c r="B40" s="319">
        <f t="shared" ref="B40:M40" si="4">SUM(B41:B45)</f>
        <v>0</v>
      </c>
      <c r="C40" s="320">
        <f t="shared" si="4"/>
        <v>0</v>
      </c>
      <c r="D40" s="320">
        <f t="shared" si="4"/>
        <v>0</v>
      </c>
      <c r="E40" s="320">
        <f t="shared" si="4"/>
        <v>0</v>
      </c>
      <c r="F40" s="320">
        <f t="shared" si="4"/>
        <v>0</v>
      </c>
      <c r="G40" s="320">
        <f t="shared" si="4"/>
        <v>0</v>
      </c>
      <c r="H40" s="320">
        <f t="shared" si="4"/>
        <v>0</v>
      </c>
      <c r="I40" s="320">
        <f t="shared" si="4"/>
        <v>0</v>
      </c>
      <c r="J40" s="320">
        <f t="shared" si="4"/>
        <v>0</v>
      </c>
      <c r="K40" s="320">
        <f t="shared" si="4"/>
        <v>0</v>
      </c>
      <c r="L40" s="320">
        <f t="shared" si="4"/>
        <v>0</v>
      </c>
      <c r="M40" s="321">
        <f t="shared" si="4"/>
        <v>0</v>
      </c>
      <c r="N40" s="322">
        <f>SUM(N41:N45)</f>
        <v>0</v>
      </c>
    </row>
    <row r="41" spans="1:14">
      <c r="A41" s="323" t="s">
        <v>242</v>
      </c>
      <c r="B41" s="299"/>
      <c r="C41" s="300"/>
      <c r="D41" s="300"/>
      <c r="E41" s="300"/>
      <c r="F41" s="300"/>
      <c r="G41" s="300"/>
      <c r="H41" s="300"/>
      <c r="I41" s="300"/>
      <c r="J41" s="300"/>
      <c r="K41" s="300"/>
      <c r="L41" s="300"/>
      <c r="M41" s="301"/>
      <c r="N41" s="324">
        <f>SUM(B41:M41)</f>
        <v>0</v>
      </c>
    </row>
    <row r="42" spans="1:14">
      <c r="A42" s="325" t="s">
        <v>243</v>
      </c>
      <c r="B42" s="304"/>
      <c r="C42" s="305"/>
      <c r="D42" s="305"/>
      <c r="E42" s="305"/>
      <c r="F42" s="305"/>
      <c r="G42" s="305"/>
      <c r="H42" s="305"/>
      <c r="I42" s="305"/>
      <c r="J42" s="305"/>
      <c r="K42" s="305"/>
      <c r="L42" s="305"/>
      <c r="M42" s="306"/>
      <c r="N42" s="306">
        <f>SUM(B42:M42)</f>
        <v>0</v>
      </c>
    </row>
    <row r="43" spans="1:14">
      <c r="A43" s="326" t="s">
        <v>244</v>
      </c>
      <c r="B43" s="309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1"/>
      <c r="N43" s="327">
        <f>SUM(B43:M43)</f>
        <v>0</v>
      </c>
    </row>
    <row r="44" spans="1:14">
      <c r="A44" s="325" t="s">
        <v>245</v>
      </c>
      <c r="B44" s="304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6"/>
      <c r="N44" s="306">
        <f>SUM(B44:M44)</f>
        <v>0</v>
      </c>
    </row>
    <row r="45" spans="1:14" ht="13.8" thickBot="1">
      <c r="A45" s="328" t="s">
        <v>240</v>
      </c>
      <c r="B45" s="314"/>
      <c r="C45" s="315"/>
      <c r="D45" s="315"/>
      <c r="E45" s="315"/>
      <c r="F45" s="315"/>
      <c r="G45" s="315"/>
      <c r="H45" s="315"/>
      <c r="I45" s="315"/>
      <c r="J45" s="315"/>
      <c r="K45" s="315"/>
      <c r="L45" s="315"/>
      <c r="M45" s="316"/>
      <c r="N45" s="329">
        <f>SUM(B45:M45)</f>
        <v>0</v>
      </c>
    </row>
    <row r="46" spans="1:14" ht="13.8" thickBot="1"/>
    <row r="47" spans="1:14" ht="24.75" customHeight="1">
      <c r="A47" s="289"/>
      <c r="B47" s="2310" t="s">
        <v>302</v>
      </c>
      <c r="C47" s="2311"/>
      <c r="D47" s="2311"/>
      <c r="E47" s="2311"/>
      <c r="F47" s="2311"/>
      <c r="G47" s="2311"/>
      <c r="H47" s="2311"/>
      <c r="I47" s="2311"/>
      <c r="J47" s="2311"/>
      <c r="K47" s="2311"/>
      <c r="L47" s="2311"/>
      <c r="M47" s="2311"/>
      <c r="N47" s="2312"/>
    </row>
    <row r="48" spans="1:14" ht="24.75" customHeight="1" thickBot="1">
      <c r="A48" s="290" t="s">
        <v>94</v>
      </c>
      <c r="B48" s="291" t="s">
        <v>1</v>
      </c>
      <c r="C48" s="291" t="s">
        <v>2</v>
      </c>
      <c r="D48" s="291" t="s">
        <v>3</v>
      </c>
      <c r="E48" s="291" t="s">
        <v>4</v>
      </c>
      <c r="F48" s="291" t="s">
        <v>5</v>
      </c>
      <c r="G48" s="291" t="s">
        <v>6</v>
      </c>
      <c r="H48" s="291" t="s">
        <v>7</v>
      </c>
      <c r="I48" s="291" t="s">
        <v>8</v>
      </c>
      <c r="J48" s="291" t="s">
        <v>9</v>
      </c>
      <c r="K48" s="291" t="s">
        <v>10</v>
      </c>
      <c r="L48" s="291" t="s">
        <v>11</v>
      </c>
      <c r="M48" s="291" t="s">
        <v>12</v>
      </c>
      <c r="N48" s="292" t="s">
        <v>13</v>
      </c>
    </row>
    <row r="49" spans="1:14" ht="13.8" thickBot="1">
      <c r="A49" s="318" t="s">
        <v>241</v>
      </c>
      <c r="B49" s="319">
        <f t="shared" ref="B49:M49" si="5">SUM(B50:B54)</f>
        <v>0</v>
      </c>
      <c r="C49" s="320">
        <f t="shared" si="5"/>
        <v>0</v>
      </c>
      <c r="D49" s="320">
        <f t="shared" si="5"/>
        <v>0</v>
      </c>
      <c r="E49" s="320">
        <f t="shared" si="5"/>
        <v>0</v>
      </c>
      <c r="F49" s="320">
        <f t="shared" si="5"/>
        <v>0</v>
      </c>
      <c r="G49" s="320">
        <f t="shared" si="5"/>
        <v>0</v>
      </c>
      <c r="H49" s="320">
        <f t="shared" si="5"/>
        <v>0</v>
      </c>
      <c r="I49" s="320">
        <f t="shared" si="5"/>
        <v>0</v>
      </c>
      <c r="J49" s="320">
        <f t="shared" si="5"/>
        <v>0</v>
      </c>
      <c r="K49" s="320">
        <f t="shared" si="5"/>
        <v>0</v>
      </c>
      <c r="L49" s="320">
        <f t="shared" si="5"/>
        <v>0</v>
      </c>
      <c r="M49" s="321">
        <f t="shared" si="5"/>
        <v>0</v>
      </c>
      <c r="N49" s="322">
        <f>SUM(N50:N55)</f>
        <v>0</v>
      </c>
    </row>
    <row r="50" spans="1:14">
      <c r="A50" s="323" t="s">
        <v>242</v>
      </c>
      <c r="B50" s="299"/>
      <c r="C50" s="300"/>
      <c r="D50" s="300"/>
      <c r="E50" s="300"/>
      <c r="F50" s="300"/>
      <c r="G50" s="300"/>
      <c r="H50" s="300"/>
      <c r="I50" s="300"/>
      <c r="J50" s="300"/>
      <c r="K50" s="300"/>
      <c r="L50" s="300"/>
      <c r="M50" s="301"/>
      <c r="N50" s="324">
        <f>SUM(B50:M50)</f>
        <v>0</v>
      </c>
    </row>
    <row r="51" spans="1:14">
      <c r="A51" s="325" t="s">
        <v>243</v>
      </c>
      <c r="B51" s="304"/>
      <c r="C51" s="305"/>
      <c r="D51" s="305"/>
      <c r="E51" s="305"/>
      <c r="F51" s="305"/>
      <c r="G51" s="305"/>
      <c r="H51" s="305"/>
      <c r="I51" s="305"/>
      <c r="J51" s="305"/>
      <c r="K51" s="305"/>
      <c r="L51" s="305"/>
      <c r="M51" s="306"/>
      <c r="N51" s="306">
        <f>SUM(B51:M51)</f>
        <v>0</v>
      </c>
    </row>
    <row r="52" spans="1:14">
      <c r="A52" s="326" t="s">
        <v>244</v>
      </c>
      <c r="B52" s="309"/>
      <c r="C52" s="310"/>
      <c r="D52" s="310"/>
      <c r="E52" s="310"/>
      <c r="F52" s="310"/>
      <c r="G52" s="310"/>
      <c r="H52" s="310"/>
      <c r="I52" s="310"/>
      <c r="J52" s="310"/>
      <c r="K52" s="310"/>
      <c r="L52" s="310"/>
      <c r="M52" s="311"/>
      <c r="N52" s="327">
        <f>SUM(B52:M52)</f>
        <v>0</v>
      </c>
    </row>
    <row r="53" spans="1:14">
      <c r="A53" s="325" t="s">
        <v>245</v>
      </c>
      <c r="B53" s="304"/>
      <c r="C53" s="305"/>
      <c r="D53" s="305"/>
      <c r="E53" s="305"/>
      <c r="F53" s="305"/>
      <c r="G53" s="305"/>
      <c r="H53" s="305"/>
      <c r="I53" s="305"/>
      <c r="J53" s="305"/>
      <c r="K53" s="305"/>
      <c r="L53" s="305"/>
      <c r="M53" s="306"/>
      <c r="N53" s="306">
        <f>SUM(B53:M53)</f>
        <v>0</v>
      </c>
    </row>
    <row r="54" spans="1:14" ht="13.8" thickBot="1">
      <c r="A54" s="328" t="s">
        <v>240</v>
      </c>
      <c r="B54" s="314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6"/>
      <c r="N54" s="329">
        <f>SUM(B54:M54)</f>
        <v>0</v>
      </c>
    </row>
    <row r="55" spans="1:14" ht="13.8" thickBot="1"/>
    <row r="56" spans="1:14" ht="24.75" customHeight="1">
      <c r="A56" s="289"/>
      <c r="B56" s="2310" t="s">
        <v>302</v>
      </c>
      <c r="C56" s="2311"/>
      <c r="D56" s="2311"/>
      <c r="E56" s="2311"/>
      <c r="F56" s="2311"/>
      <c r="G56" s="2311"/>
      <c r="H56" s="2311"/>
      <c r="I56" s="2311"/>
      <c r="J56" s="2311"/>
      <c r="K56" s="2311"/>
      <c r="L56" s="2311"/>
      <c r="M56" s="2311"/>
      <c r="N56" s="2312"/>
    </row>
    <row r="57" spans="1:14" ht="24.75" customHeight="1" thickBot="1">
      <c r="A57" s="290" t="s">
        <v>95</v>
      </c>
      <c r="B57" s="291" t="s">
        <v>1</v>
      </c>
      <c r="C57" s="291" t="s">
        <v>2</v>
      </c>
      <c r="D57" s="291" t="s">
        <v>3</v>
      </c>
      <c r="E57" s="291" t="s">
        <v>4</v>
      </c>
      <c r="F57" s="291" t="s">
        <v>5</v>
      </c>
      <c r="G57" s="291" t="s">
        <v>6</v>
      </c>
      <c r="H57" s="291" t="s">
        <v>7</v>
      </c>
      <c r="I57" s="291" t="s">
        <v>8</v>
      </c>
      <c r="J57" s="291" t="s">
        <v>9</v>
      </c>
      <c r="K57" s="291" t="s">
        <v>10</v>
      </c>
      <c r="L57" s="291" t="s">
        <v>11</v>
      </c>
      <c r="M57" s="291" t="s">
        <v>12</v>
      </c>
      <c r="N57" s="292" t="s">
        <v>13</v>
      </c>
    </row>
    <row r="58" spans="1:14" ht="13.8" thickBot="1">
      <c r="A58" s="318" t="s">
        <v>241</v>
      </c>
      <c r="B58" s="319">
        <f t="shared" ref="B58:M58" si="6">SUM(B59:B63)</f>
        <v>0</v>
      </c>
      <c r="C58" s="320">
        <f t="shared" si="6"/>
        <v>0</v>
      </c>
      <c r="D58" s="320">
        <f t="shared" si="6"/>
        <v>0</v>
      </c>
      <c r="E58" s="320">
        <f t="shared" si="6"/>
        <v>0</v>
      </c>
      <c r="F58" s="320">
        <f t="shared" si="6"/>
        <v>0</v>
      </c>
      <c r="G58" s="320">
        <f t="shared" si="6"/>
        <v>0</v>
      </c>
      <c r="H58" s="320">
        <f t="shared" si="6"/>
        <v>0</v>
      </c>
      <c r="I58" s="320">
        <f t="shared" si="6"/>
        <v>0</v>
      </c>
      <c r="J58" s="320">
        <f t="shared" si="6"/>
        <v>0</v>
      </c>
      <c r="K58" s="320">
        <f t="shared" si="6"/>
        <v>0</v>
      </c>
      <c r="L58" s="320">
        <f t="shared" si="6"/>
        <v>0</v>
      </c>
      <c r="M58" s="321">
        <f t="shared" si="6"/>
        <v>0</v>
      </c>
      <c r="N58" s="322">
        <f>SUM(N59:N64)</f>
        <v>0</v>
      </c>
    </row>
    <row r="59" spans="1:14">
      <c r="A59" s="323" t="s">
        <v>242</v>
      </c>
      <c r="B59" s="299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1"/>
      <c r="N59" s="324">
        <f>SUM(B59:M59)</f>
        <v>0</v>
      </c>
    </row>
    <row r="60" spans="1:14">
      <c r="A60" s="325" t="s">
        <v>243</v>
      </c>
      <c r="B60" s="304"/>
      <c r="C60" s="305"/>
      <c r="D60" s="305"/>
      <c r="E60" s="305"/>
      <c r="F60" s="305"/>
      <c r="G60" s="305"/>
      <c r="H60" s="305"/>
      <c r="I60" s="305"/>
      <c r="J60" s="305"/>
      <c r="K60" s="305"/>
      <c r="L60" s="305"/>
      <c r="M60" s="306"/>
      <c r="N60" s="306">
        <f>SUM(B60:M60)</f>
        <v>0</v>
      </c>
    </row>
    <row r="61" spans="1:14">
      <c r="A61" s="326" t="s">
        <v>244</v>
      </c>
      <c r="B61" s="309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1"/>
      <c r="N61" s="327">
        <f>SUM(B61:M61)</f>
        <v>0</v>
      </c>
    </row>
    <row r="62" spans="1:14">
      <c r="A62" s="325" t="s">
        <v>245</v>
      </c>
      <c r="B62" s="304"/>
      <c r="C62" s="305"/>
      <c r="D62" s="305"/>
      <c r="E62" s="305"/>
      <c r="F62" s="305"/>
      <c r="G62" s="305"/>
      <c r="H62" s="305"/>
      <c r="I62" s="305"/>
      <c r="J62" s="305"/>
      <c r="K62" s="305"/>
      <c r="L62" s="305"/>
      <c r="M62" s="306"/>
      <c r="N62" s="306">
        <f>SUM(B62:M62)</f>
        <v>0</v>
      </c>
    </row>
    <row r="63" spans="1:14" ht="13.8" thickBot="1">
      <c r="A63" s="328" t="s">
        <v>240</v>
      </c>
      <c r="B63" s="314"/>
      <c r="C63" s="315"/>
      <c r="D63" s="315"/>
      <c r="E63" s="315"/>
      <c r="F63" s="315"/>
      <c r="G63" s="315"/>
      <c r="H63" s="315"/>
      <c r="I63" s="315"/>
      <c r="J63" s="315"/>
      <c r="K63" s="315"/>
      <c r="L63" s="315"/>
      <c r="M63" s="316"/>
      <c r="N63" s="329">
        <f>SUM(B63:M63)</f>
        <v>0</v>
      </c>
    </row>
    <row r="64" spans="1:14" ht="13.8" thickBot="1"/>
    <row r="65" spans="1:14" ht="24.75" customHeight="1">
      <c r="A65" s="289"/>
      <c r="B65" s="2310" t="s">
        <v>302</v>
      </c>
      <c r="C65" s="2311"/>
      <c r="D65" s="2311"/>
      <c r="E65" s="2311"/>
      <c r="F65" s="2311"/>
      <c r="G65" s="2311"/>
      <c r="H65" s="2311"/>
      <c r="I65" s="2311"/>
      <c r="J65" s="2311"/>
      <c r="K65" s="2311"/>
      <c r="L65" s="2311"/>
      <c r="M65" s="2311"/>
      <c r="N65" s="2312"/>
    </row>
    <row r="66" spans="1:14" ht="24.75" customHeight="1" thickBot="1">
      <c r="A66" s="290" t="s">
        <v>96</v>
      </c>
      <c r="B66" s="291" t="s">
        <v>1</v>
      </c>
      <c r="C66" s="291" t="s">
        <v>2</v>
      </c>
      <c r="D66" s="291" t="s">
        <v>3</v>
      </c>
      <c r="E66" s="291" t="s">
        <v>4</v>
      </c>
      <c r="F66" s="291" t="s">
        <v>5</v>
      </c>
      <c r="G66" s="291" t="s">
        <v>6</v>
      </c>
      <c r="H66" s="291" t="s">
        <v>7</v>
      </c>
      <c r="I66" s="291" t="s">
        <v>8</v>
      </c>
      <c r="J66" s="291" t="s">
        <v>9</v>
      </c>
      <c r="K66" s="291" t="s">
        <v>10</v>
      </c>
      <c r="L66" s="291" t="s">
        <v>11</v>
      </c>
      <c r="M66" s="291" t="s">
        <v>12</v>
      </c>
      <c r="N66" s="292" t="s">
        <v>13</v>
      </c>
    </row>
    <row r="67" spans="1:14" ht="13.8" thickBot="1">
      <c r="A67" s="318" t="s">
        <v>241</v>
      </c>
      <c r="B67" s="319">
        <f t="shared" ref="B67:M67" si="7">SUM(B68:B72)</f>
        <v>0</v>
      </c>
      <c r="C67" s="320">
        <f t="shared" si="7"/>
        <v>0</v>
      </c>
      <c r="D67" s="320">
        <f t="shared" si="7"/>
        <v>0</v>
      </c>
      <c r="E67" s="320">
        <f t="shared" si="7"/>
        <v>0</v>
      </c>
      <c r="F67" s="320">
        <f t="shared" si="7"/>
        <v>0</v>
      </c>
      <c r="G67" s="320">
        <f t="shared" si="7"/>
        <v>0</v>
      </c>
      <c r="H67" s="320">
        <f t="shared" si="7"/>
        <v>0</v>
      </c>
      <c r="I67" s="320">
        <f t="shared" si="7"/>
        <v>0</v>
      </c>
      <c r="J67" s="320">
        <f t="shared" si="7"/>
        <v>0</v>
      </c>
      <c r="K67" s="320">
        <f t="shared" si="7"/>
        <v>0</v>
      </c>
      <c r="L67" s="320">
        <f t="shared" si="7"/>
        <v>0</v>
      </c>
      <c r="M67" s="321">
        <f t="shared" si="7"/>
        <v>0</v>
      </c>
      <c r="N67" s="322">
        <f>SUM(N68:N73)</f>
        <v>0</v>
      </c>
    </row>
    <row r="68" spans="1:14">
      <c r="A68" s="323" t="s">
        <v>242</v>
      </c>
      <c r="B68" s="299"/>
      <c r="C68" s="300"/>
      <c r="D68" s="300"/>
      <c r="E68" s="300"/>
      <c r="F68" s="300"/>
      <c r="G68" s="300"/>
      <c r="H68" s="300"/>
      <c r="I68" s="300"/>
      <c r="J68" s="300"/>
      <c r="K68" s="300"/>
      <c r="L68" s="300"/>
      <c r="M68" s="301"/>
      <c r="N68" s="324">
        <f>SUM(B68:M68)</f>
        <v>0</v>
      </c>
    </row>
    <row r="69" spans="1:14">
      <c r="A69" s="325" t="s">
        <v>243</v>
      </c>
      <c r="B69" s="304"/>
      <c r="C69" s="305"/>
      <c r="D69" s="305"/>
      <c r="E69" s="305"/>
      <c r="F69" s="305"/>
      <c r="G69" s="305"/>
      <c r="H69" s="305"/>
      <c r="I69" s="305"/>
      <c r="J69" s="305"/>
      <c r="K69" s="305"/>
      <c r="L69" s="305"/>
      <c r="M69" s="306"/>
      <c r="N69" s="306">
        <f>SUM(B69:M69)</f>
        <v>0</v>
      </c>
    </row>
    <row r="70" spans="1:14">
      <c r="A70" s="326" t="s">
        <v>244</v>
      </c>
      <c r="B70" s="309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1"/>
      <c r="N70" s="327">
        <f>SUM(B70:M70)</f>
        <v>0</v>
      </c>
    </row>
    <row r="71" spans="1:14">
      <c r="A71" s="325" t="s">
        <v>245</v>
      </c>
      <c r="B71" s="304"/>
      <c r="C71" s="305"/>
      <c r="D71" s="305"/>
      <c r="E71" s="305"/>
      <c r="F71" s="305"/>
      <c r="G71" s="305"/>
      <c r="H71" s="305"/>
      <c r="I71" s="305"/>
      <c r="J71" s="305"/>
      <c r="K71" s="305"/>
      <c r="L71" s="305"/>
      <c r="M71" s="306"/>
      <c r="N71" s="306">
        <f>SUM(B71:M71)</f>
        <v>0</v>
      </c>
    </row>
    <row r="72" spans="1:14" ht="13.8" thickBot="1">
      <c r="A72" s="328" t="s">
        <v>240</v>
      </c>
      <c r="B72" s="314"/>
      <c r="C72" s="315"/>
      <c r="D72" s="315"/>
      <c r="E72" s="315"/>
      <c r="F72" s="315"/>
      <c r="G72" s="315"/>
      <c r="H72" s="315"/>
      <c r="I72" s="315"/>
      <c r="J72" s="315"/>
      <c r="K72" s="315"/>
      <c r="L72" s="315"/>
      <c r="M72" s="316"/>
      <c r="N72" s="329">
        <f>SUM(B72:M72)</f>
        <v>0</v>
      </c>
    </row>
    <row r="73" spans="1:14" ht="13.8" thickBot="1"/>
    <row r="74" spans="1:14" ht="24.75" customHeight="1">
      <c r="A74" s="289"/>
      <c r="B74" s="2310" t="s">
        <v>302</v>
      </c>
      <c r="C74" s="2311"/>
      <c r="D74" s="2311"/>
      <c r="E74" s="2311"/>
      <c r="F74" s="2311"/>
      <c r="G74" s="2311"/>
      <c r="H74" s="2311"/>
      <c r="I74" s="2311"/>
      <c r="J74" s="2311"/>
      <c r="K74" s="2311"/>
      <c r="L74" s="2311"/>
      <c r="M74" s="2311"/>
      <c r="N74" s="2312"/>
    </row>
    <row r="75" spans="1:14" ht="24.75" customHeight="1" thickBot="1">
      <c r="A75" s="290" t="s">
        <v>97</v>
      </c>
      <c r="B75" s="291" t="s">
        <v>1</v>
      </c>
      <c r="C75" s="291" t="s">
        <v>2</v>
      </c>
      <c r="D75" s="291" t="s">
        <v>3</v>
      </c>
      <c r="E75" s="291" t="s">
        <v>4</v>
      </c>
      <c r="F75" s="291" t="s">
        <v>5</v>
      </c>
      <c r="G75" s="291" t="s">
        <v>6</v>
      </c>
      <c r="H75" s="291" t="s">
        <v>7</v>
      </c>
      <c r="I75" s="291" t="s">
        <v>8</v>
      </c>
      <c r="J75" s="291" t="s">
        <v>9</v>
      </c>
      <c r="K75" s="291" t="s">
        <v>10</v>
      </c>
      <c r="L75" s="291" t="s">
        <v>11</v>
      </c>
      <c r="M75" s="291" t="s">
        <v>12</v>
      </c>
      <c r="N75" s="292" t="s">
        <v>13</v>
      </c>
    </row>
    <row r="76" spans="1:14" ht="13.8" thickBot="1">
      <c r="A76" s="318" t="s">
        <v>241</v>
      </c>
      <c r="B76" s="319">
        <f t="shared" ref="B76:M76" si="8">SUM(B77:B81)</f>
        <v>0</v>
      </c>
      <c r="C76" s="320">
        <f t="shared" si="8"/>
        <v>0</v>
      </c>
      <c r="D76" s="320">
        <f t="shared" si="8"/>
        <v>0</v>
      </c>
      <c r="E76" s="320">
        <f t="shared" si="8"/>
        <v>0</v>
      </c>
      <c r="F76" s="320">
        <f t="shared" si="8"/>
        <v>0</v>
      </c>
      <c r="G76" s="320">
        <f t="shared" si="8"/>
        <v>0</v>
      </c>
      <c r="H76" s="320">
        <f t="shared" si="8"/>
        <v>0</v>
      </c>
      <c r="I76" s="320">
        <f t="shared" si="8"/>
        <v>0</v>
      </c>
      <c r="J76" s="320">
        <f t="shared" si="8"/>
        <v>0</v>
      </c>
      <c r="K76" s="320">
        <f t="shared" si="8"/>
        <v>0</v>
      </c>
      <c r="L76" s="320">
        <f t="shared" si="8"/>
        <v>0</v>
      </c>
      <c r="M76" s="321">
        <f t="shared" si="8"/>
        <v>0</v>
      </c>
      <c r="N76" s="322">
        <f>SUM(N77:N82)</f>
        <v>0</v>
      </c>
    </row>
    <row r="77" spans="1:14">
      <c r="A77" s="323" t="s">
        <v>242</v>
      </c>
      <c r="B77" s="299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1"/>
      <c r="N77" s="324">
        <f>SUM(B77:M77)</f>
        <v>0</v>
      </c>
    </row>
    <row r="78" spans="1:14">
      <c r="A78" s="325" t="s">
        <v>243</v>
      </c>
      <c r="B78" s="304"/>
      <c r="C78" s="305"/>
      <c r="D78" s="305"/>
      <c r="E78" s="305"/>
      <c r="F78" s="305"/>
      <c r="G78" s="305"/>
      <c r="H78" s="305"/>
      <c r="I78" s="305"/>
      <c r="J78" s="305"/>
      <c r="K78" s="305"/>
      <c r="L78" s="305"/>
      <c r="M78" s="306"/>
      <c r="N78" s="306">
        <f>SUM(B78:M78)</f>
        <v>0</v>
      </c>
    </row>
    <row r="79" spans="1:14">
      <c r="A79" s="326" t="s">
        <v>244</v>
      </c>
      <c r="B79" s="309"/>
      <c r="C79" s="310"/>
      <c r="D79" s="310"/>
      <c r="E79" s="310"/>
      <c r="F79" s="310"/>
      <c r="G79" s="310"/>
      <c r="H79" s="310"/>
      <c r="I79" s="310"/>
      <c r="J79" s="310"/>
      <c r="K79" s="310"/>
      <c r="L79" s="310"/>
      <c r="M79" s="311"/>
      <c r="N79" s="327">
        <f>SUM(B79:M79)</f>
        <v>0</v>
      </c>
    </row>
    <row r="80" spans="1:14">
      <c r="A80" s="325" t="s">
        <v>245</v>
      </c>
      <c r="B80" s="304"/>
      <c r="C80" s="305"/>
      <c r="D80" s="305"/>
      <c r="E80" s="305"/>
      <c r="F80" s="305"/>
      <c r="G80" s="305"/>
      <c r="H80" s="305"/>
      <c r="I80" s="305"/>
      <c r="J80" s="305"/>
      <c r="K80" s="305"/>
      <c r="L80" s="305"/>
      <c r="M80" s="306"/>
      <c r="N80" s="306">
        <f>SUM(B80:M80)</f>
        <v>0</v>
      </c>
    </row>
    <row r="81" spans="1:14" ht="13.8" thickBot="1">
      <c r="A81" s="328" t="s">
        <v>240</v>
      </c>
      <c r="B81" s="314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6"/>
      <c r="N81" s="329">
        <f>SUM(B81:M81)</f>
        <v>0</v>
      </c>
    </row>
    <row r="82" spans="1:14" ht="13.8" thickBot="1"/>
    <row r="83" spans="1:14" ht="24.75" customHeight="1">
      <c r="A83" s="289"/>
      <c r="B83" s="2310" t="s">
        <v>302</v>
      </c>
      <c r="C83" s="2311"/>
      <c r="D83" s="2311"/>
      <c r="E83" s="2311"/>
      <c r="F83" s="2311"/>
      <c r="G83" s="2311"/>
      <c r="H83" s="2311"/>
      <c r="I83" s="2311"/>
      <c r="J83" s="2311"/>
      <c r="K83" s="2311"/>
      <c r="L83" s="2311"/>
      <c r="M83" s="2311"/>
      <c r="N83" s="2312"/>
    </row>
    <row r="84" spans="1:14" ht="24.75" customHeight="1" thickBot="1">
      <c r="A84" s="290" t="s">
        <v>98</v>
      </c>
      <c r="B84" s="291" t="s">
        <v>1</v>
      </c>
      <c r="C84" s="291" t="s">
        <v>2</v>
      </c>
      <c r="D84" s="291" t="s">
        <v>3</v>
      </c>
      <c r="E84" s="291" t="s">
        <v>4</v>
      </c>
      <c r="F84" s="291" t="s">
        <v>5</v>
      </c>
      <c r="G84" s="291" t="s">
        <v>6</v>
      </c>
      <c r="H84" s="291" t="s">
        <v>7</v>
      </c>
      <c r="I84" s="291" t="s">
        <v>8</v>
      </c>
      <c r="J84" s="291" t="s">
        <v>9</v>
      </c>
      <c r="K84" s="291" t="s">
        <v>10</v>
      </c>
      <c r="L84" s="291" t="s">
        <v>11</v>
      </c>
      <c r="M84" s="291" t="s">
        <v>12</v>
      </c>
      <c r="N84" s="292" t="s">
        <v>13</v>
      </c>
    </row>
    <row r="85" spans="1:14" ht="13.8" thickBot="1">
      <c r="A85" s="318" t="s">
        <v>241</v>
      </c>
      <c r="B85" s="319">
        <f t="shared" ref="B85:M85" si="9">SUM(B86:B90)</f>
        <v>0</v>
      </c>
      <c r="C85" s="320">
        <f t="shared" si="9"/>
        <v>0</v>
      </c>
      <c r="D85" s="320">
        <f t="shared" si="9"/>
        <v>0</v>
      </c>
      <c r="E85" s="320">
        <f t="shared" si="9"/>
        <v>0</v>
      </c>
      <c r="F85" s="320">
        <f t="shared" si="9"/>
        <v>0</v>
      </c>
      <c r="G85" s="320">
        <f t="shared" si="9"/>
        <v>0</v>
      </c>
      <c r="H85" s="320">
        <f t="shared" si="9"/>
        <v>0</v>
      </c>
      <c r="I85" s="320">
        <f t="shared" si="9"/>
        <v>0</v>
      </c>
      <c r="J85" s="320">
        <f t="shared" si="9"/>
        <v>0</v>
      </c>
      <c r="K85" s="320">
        <f t="shared" si="9"/>
        <v>0</v>
      </c>
      <c r="L85" s="320">
        <f t="shared" si="9"/>
        <v>0</v>
      </c>
      <c r="M85" s="321">
        <f t="shared" si="9"/>
        <v>0</v>
      </c>
      <c r="N85" s="322">
        <f>SUM(N86:N90)</f>
        <v>0</v>
      </c>
    </row>
    <row r="86" spans="1:14">
      <c r="A86" s="323" t="s">
        <v>242</v>
      </c>
      <c r="B86" s="299"/>
      <c r="C86" s="300"/>
      <c r="D86" s="300"/>
      <c r="E86" s="300"/>
      <c r="F86" s="300"/>
      <c r="G86" s="300"/>
      <c r="H86" s="300"/>
      <c r="I86" s="300"/>
      <c r="J86" s="300"/>
      <c r="K86" s="300"/>
      <c r="L86" s="300"/>
      <c r="M86" s="301"/>
      <c r="N86" s="324">
        <f>SUM(B86:M86)</f>
        <v>0</v>
      </c>
    </row>
    <row r="87" spans="1:14">
      <c r="A87" s="325" t="s">
        <v>243</v>
      </c>
      <c r="B87" s="304"/>
      <c r="C87" s="305"/>
      <c r="D87" s="305"/>
      <c r="E87" s="305"/>
      <c r="F87" s="305"/>
      <c r="G87" s="305"/>
      <c r="H87" s="305"/>
      <c r="I87" s="305"/>
      <c r="J87" s="305"/>
      <c r="K87" s="305"/>
      <c r="L87" s="305"/>
      <c r="M87" s="306"/>
      <c r="N87" s="306">
        <f>SUM(B87:M87)</f>
        <v>0</v>
      </c>
    </row>
    <row r="88" spans="1:14">
      <c r="A88" s="326" t="s">
        <v>244</v>
      </c>
      <c r="B88" s="309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1"/>
      <c r="N88" s="327">
        <f>SUM(B88:M88)</f>
        <v>0</v>
      </c>
    </row>
    <row r="89" spans="1:14">
      <c r="A89" s="325" t="s">
        <v>245</v>
      </c>
      <c r="B89" s="304"/>
      <c r="C89" s="305"/>
      <c r="D89" s="305"/>
      <c r="E89" s="305"/>
      <c r="F89" s="305"/>
      <c r="G89" s="305"/>
      <c r="H89" s="305"/>
      <c r="I89" s="305"/>
      <c r="J89" s="305"/>
      <c r="K89" s="305"/>
      <c r="L89" s="305"/>
      <c r="M89" s="306"/>
      <c r="N89" s="306">
        <f>SUM(B89:M89)</f>
        <v>0</v>
      </c>
    </row>
    <row r="90" spans="1:14" ht="13.8" thickBot="1">
      <c r="A90" s="328" t="s">
        <v>240</v>
      </c>
      <c r="B90" s="314"/>
      <c r="C90" s="315"/>
      <c r="D90" s="315"/>
      <c r="E90" s="315"/>
      <c r="F90" s="315"/>
      <c r="G90" s="315"/>
      <c r="H90" s="315"/>
      <c r="I90" s="315"/>
      <c r="J90" s="315"/>
      <c r="K90" s="315"/>
      <c r="L90" s="315"/>
      <c r="M90" s="316"/>
      <c r="N90" s="329">
        <f>SUM(B90:M90)</f>
        <v>0</v>
      </c>
    </row>
    <row r="91" spans="1:14" ht="13.8" thickBot="1"/>
    <row r="92" spans="1:14" ht="24.75" customHeight="1">
      <c r="A92" s="289"/>
      <c r="B92" s="2310" t="s">
        <v>302</v>
      </c>
      <c r="C92" s="2311"/>
      <c r="D92" s="2311"/>
      <c r="E92" s="2311"/>
      <c r="F92" s="2311"/>
      <c r="G92" s="2311"/>
      <c r="H92" s="2311"/>
      <c r="I92" s="2311"/>
      <c r="J92" s="2311"/>
      <c r="K92" s="2311"/>
      <c r="L92" s="2311"/>
      <c r="M92" s="2311"/>
      <c r="N92" s="2312"/>
    </row>
    <row r="93" spans="1:14" ht="24.75" customHeight="1" thickBot="1">
      <c r="A93" s="290" t="s">
        <v>99</v>
      </c>
      <c r="B93" s="291" t="s">
        <v>1</v>
      </c>
      <c r="C93" s="291" t="s">
        <v>2</v>
      </c>
      <c r="D93" s="291" t="s">
        <v>3</v>
      </c>
      <c r="E93" s="291" t="s">
        <v>4</v>
      </c>
      <c r="F93" s="291" t="s">
        <v>5</v>
      </c>
      <c r="G93" s="291" t="s">
        <v>6</v>
      </c>
      <c r="H93" s="291" t="s">
        <v>7</v>
      </c>
      <c r="I93" s="291" t="s">
        <v>8</v>
      </c>
      <c r="J93" s="291" t="s">
        <v>9</v>
      </c>
      <c r="K93" s="291" t="s">
        <v>10</v>
      </c>
      <c r="L93" s="291" t="s">
        <v>11</v>
      </c>
      <c r="M93" s="291" t="s">
        <v>12</v>
      </c>
      <c r="N93" s="292" t="s">
        <v>13</v>
      </c>
    </row>
    <row r="94" spans="1:14" ht="13.8" thickBot="1">
      <c r="A94" s="318" t="s">
        <v>241</v>
      </c>
      <c r="B94" s="319">
        <f t="shared" ref="B94:M94" si="10">SUM(B95:B99)</f>
        <v>0</v>
      </c>
      <c r="C94" s="320">
        <f t="shared" si="10"/>
        <v>0</v>
      </c>
      <c r="D94" s="320">
        <f t="shared" si="10"/>
        <v>0</v>
      </c>
      <c r="E94" s="320">
        <f t="shared" si="10"/>
        <v>0</v>
      </c>
      <c r="F94" s="320">
        <f t="shared" si="10"/>
        <v>0</v>
      </c>
      <c r="G94" s="320">
        <f t="shared" si="10"/>
        <v>0</v>
      </c>
      <c r="H94" s="320">
        <f t="shared" si="10"/>
        <v>0</v>
      </c>
      <c r="I94" s="320">
        <f t="shared" si="10"/>
        <v>0</v>
      </c>
      <c r="J94" s="320">
        <f t="shared" si="10"/>
        <v>0</v>
      </c>
      <c r="K94" s="320">
        <f t="shared" si="10"/>
        <v>0</v>
      </c>
      <c r="L94" s="320">
        <f t="shared" si="10"/>
        <v>0</v>
      </c>
      <c r="M94" s="321">
        <f t="shared" si="10"/>
        <v>0</v>
      </c>
      <c r="N94" s="322">
        <f>SUM(N95:N109)</f>
        <v>0</v>
      </c>
    </row>
    <row r="95" spans="1:14">
      <c r="A95" s="323" t="s">
        <v>242</v>
      </c>
      <c r="B95" s="299"/>
      <c r="C95" s="300"/>
      <c r="D95" s="300"/>
      <c r="E95" s="300"/>
      <c r="F95" s="300"/>
      <c r="G95" s="300"/>
      <c r="H95" s="300"/>
      <c r="I95" s="300"/>
      <c r="J95" s="300"/>
      <c r="K95" s="300"/>
      <c r="L95" s="300"/>
      <c r="M95" s="301"/>
      <c r="N95" s="324">
        <f>SUM(B95:M95)</f>
        <v>0</v>
      </c>
    </row>
    <row r="96" spans="1:14">
      <c r="A96" s="325" t="s">
        <v>243</v>
      </c>
      <c r="B96" s="304"/>
      <c r="C96" s="305"/>
      <c r="D96" s="305"/>
      <c r="E96" s="305"/>
      <c r="F96" s="305"/>
      <c r="G96" s="305"/>
      <c r="H96" s="305"/>
      <c r="I96" s="305"/>
      <c r="J96" s="305"/>
      <c r="K96" s="305"/>
      <c r="L96" s="305"/>
      <c r="M96" s="306"/>
      <c r="N96" s="306">
        <f>SUM(B96:M96)</f>
        <v>0</v>
      </c>
    </row>
    <row r="97" spans="1:14">
      <c r="A97" s="326" t="s">
        <v>244</v>
      </c>
      <c r="B97" s="309"/>
      <c r="C97" s="310"/>
      <c r="D97" s="310"/>
      <c r="E97" s="310"/>
      <c r="F97" s="310"/>
      <c r="G97" s="310"/>
      <c r="H97" s="310"/>
      <c r="I97" s="310"/>
      <c r="J97" s="310"/>
      <c r="K97" s="310"/>
      <c r="L97" s="310"/>
      <c r="M97" s="311"/>
      <c r="N97" s="327">
        <f>SUM(B97:M97)</f>
        <v>0</v>
      </c>
    </row>
    <row r="98" spans="1:14">
      <c r="A98" s="325" t="s">
        <v>245</v>
      </c>
      <c r="B98" s="304"/>
      <c r="C98" s="305"/>
      <c r="D98" s="305"/>
      <c r="E98" s="305"/>
      <c r="F98" s="305"/>
      <c r="G98" s="305"/>
      <c r="H98" s="305"/>
      <c r="I98" s="305"/>
      <c r="J98" s="305"/>
      <c r="K98" s="305"/>
      <c r="L98" s="305"/>
      <c r="M98" s="306"/>
      <c r="N98" s="306">
        <f>SUM(B98:M98)</f>
        <v>0</v>
      </c>
    </row>
    <row r="99" spans="1:14" ht="13.8" thickBot="1">
      <c r="A99" s="328" t="s">
        <v>240</v>
      </c>
      <c r="B99" s="314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6"/>
      <c r="N99" s="329">
        <f>SUM(B99:M99)</f>
        <v>0</v>
      </c>
    </row>
    <row r="100" spans="1:14" ht="13.8" thickBot="1"/>
    <row r="101" spans="1:14" ht="24.75" customHeight="1">
      <c r="A101" s="289"/>
      <c r="B101" s="2310" t="s">
        <v>302</v>
      </c>
      <c r="C101" s="2311"/>
      <c r="D101" s="2311"/>
      <c r="E101" s="2311"/>
      <c r="F101" s="2311"/>
      <c r="G101" s="2311"/>
      <c r="H101" s="2311"/>
      <c r="I101" s="2311"/>
      <c r="J101" s="2311"/>
      <c r="K101" s="2311"/>
      <c r="L101" s="2311"/>
      <c r="M101" s="2311"/>
      <c r="N101" s="2312"/>
    </row>
    <row r="102" spans="1:14" ht="24.75" customHeight="1" thickBot="1">
      <c r="A102" s="290" t="s">
        <v>100</v>
      </c>
      <c r="B102" s="291" t="s">
        <v>1</v>
      </c>
      <c r="C102" s="291" t="s">
        <v>2</v>
      </c>
      <c r="D102" s="291" t="s">
        <v>3</v>
      </c>
      <c r="E102" s="291" t="s">
        <v>4</v>
      </c>
      <c r="F102" s="291" t="s">
        <v>5</v>
      </c>
      <c r="G102" s="291" t="s">
        <v>6</v>
      </c>
      <c r="H102" s="291" t="s">
        <v>7</v>
      </c>
      <c r="I102" s="291" t="s">
        <v>8</v>
      </c>
      <c r="J102" s="291" t="s">
        <v>9</v>
      </c>
      <c r="K102" s="291" t="s">
        <v>10</v>
      </c>
      <c r="L102" s="291" t="s">
        <v>11</v>
      </c>
      <c r="M102" s="291" t="s">
        <v>12</v>
      </c>
      <c r="N102" s="292" t="s">
        <v>13</v>
      </c>
    </row>
    <row r="103" spans="1:14" ht="13.8" thickBot="1">
      <c r="A103" s="318" t="s">
        <v>241</v>
      </c>
      <c r="B103" s="319">
        <f t="shared" ref="B103:M103" si="11">SUM(B104:B108)</f>
        <v>0</v>
      </c>
      <c r="C103" s="320">
        <f t="shared" si="11"/>
        <v>0</v>
      </c>
      <c r="D103" s="320">
        <f t="shared" si="11"/>
        <v>0</v>
      </c>
      <c r="E103" s="320">
        <f t="shared" si="11"/>
        <v>0</v>
      </c>
      <c r="F103" s="320">
        <f t="shared" si="11"/>
        <v>0</v>
      </c>
      <c r="G103" s="320">
        <f t="shared" si="11"/>
        <v>0</v>
      </c>
      <c r="H103" s="320">
        <f t="shared" si="11"/>
        <v>0</v>
      </c>
      <c r="I103" s="320">
        <f t="shared" si="11"/>
        <v>0</v>
      </c>
      <c r="J103" s="320">
        <f t="shared" si="11"/>
        <v>0</v>
      </c>
      <c r="K103" s="320">
        <f t="shared" si="11"/>
        <v>0</v>
      </c>
      <c r="L103" s="320">
        <f t="shared" si="11"/>
        <v>0</v>
      </c>
      <c r="M103" s="321">
        <f t="shared" si="11"/>
        <v>0</v>
      </c>
      <c r="N103" s="322">
        <f>SUM(N104:N109)</f>
        <v>0</v>
      </c>
    </row>
    <row r="104" spans="1:14">
      <c r="A104" s="323" t="s">
        <v>242</v>
      </c>
      <c r="B104" s="299"/>
      <c r="C104" s="300"/>
      <c r="D104" s="300"/>
      <c r="E104" s="300"/>
      <c r="F104" s="300"/>
      <c r="G104" s="300"/>
      <c r="H104" s="300"/>
      <c r="I104" s="300"/>
      <c r="J104" s="300"/>
      <c r="K104" s="300"/>
      <c r="L104" s="300"/>
      <c r="M104" s="301"/>
      <c r="N104" s="324">
        <f>SUM(B104:M104)</f>
        <v>0</v>
      </c>
    </row>
    <row r="105" spans="1:14">
      <c r="A105" s="325" t="s">
        <v>243</v>
      </c>
      <c r="B105" s="304"/>
      <c r="C105" s="305"/>
      <c r="D105" s="305"/>
      <c r="E105" s="305"/>
      <c r="F105" s="305"/>
      <c r="G105" s="305"/>
      <c r="H105" s="305"/>
      <c r="I105" s="305"/>
      <c r="J105" s="305"/>
      <c r="K105" s="305"/>
      <c r="L105" s="305"/>
      <c r="M105" s="306"/>
      <c r="N105" s="306">
        <f>SUM(B105:M105)</f>
        <v>0</v>
      </c>
    </row>
    <row r="106" spans="1:14">
      <c r="A106" s="326" t="s">
        <v>244</v>
      </c>
      <c r="B106" s="309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1"/>
      <c r="N106" s="327">
        <f>SUM(B106:M106)</f>
        <v>0</v>
      </c>
    </row>
    <row r="107" spans="1:14">
      <c r="A107" s="325" t="s">
        <v>245</v>
      </c>
      <c r="B107" s="304"/>
      <c r="C107" s="305"/>
      <c r="D107" s="305"/>
      <c r="E107" s="305"/>
      <c r="F107" s="305"/>
      <c r="G107" s="305"/>
      <c r="H107" s="305"/>
      <c r="I107" s="305"/>
      <c r="J107" s="305"/>
      <c r="K107" s="305"/>
      <c r="L107" s="305"/>
      <c r="M107" s="306"/>
      <c r="N107" s="306">
        <f>SUM(B107:M107)</f>
        <v>0</v>
      </c>
    </row>
    <row r="108" spans="1:14" ht="13.8" thickBot="1">
      <c r="A108" s="328" t="s">
        <v>240</v>
      </c>
      <c r="B108" s="314"/>
      <c r="C108" s="315"/>
      <c r="D108" s="315"/>
      <c r="E108" s="315"/>
      <c r="F108" s="315"/>
      <c r="G108" s="315"/>
      <c r="H108" s="315"/>
      <c r="I108" s="315"/>
      <c r="J108" s="315"/>
      <c r="K108" s="315"/>
      <c r="L108" s="315"/>
      <c r="M108" s="316"/>
      <c r="N108" s="329">
        <f>SUM(B108:M108)</f>
        <v>0</v>
      </c>
    </row>
    <row r="109" spans="1:14" ht="13.8" thickBot="1"/>
    <row r="110" spans="1:14" ht="24.75" customHeight="1">
      <c r="A110" s="289"/>
      <c r="B110" s="2310" t="s">
        <v>302</v>
      </c>
      <c r="C110" s="2311"/>
      <c r="D110" s="2311"/>
      <c r="E110" s="2311"/>
      <c r="F110" s="2311"/>
      <c r="G110" s="2311"/>
      <c r="H110" s="2311"/>
      <c r="I110" s="2311"/>
      <c r="J110" s="2311"/>
      <c r="K110" s="2311"/>
      <c r="L110" s="2311"/>
      <c r="M110" s="2311"/>
      <c r="N110" s="2312"/>
    </row>
    <row r="111" spans="1:14" ht="24.75" customHeight="1" thickBot="1">
      <c r="A111" s="290" t="s">
        <v>101</v>
      </c>
      <c r="B111" s="291" t="s">
        <v>1</v>
      </c>
      <c r="C111" s="291" t="s">
        <v>2</v>
      </c>
      <c r="D111" s="291" t="s">
        <v>3</v>
      </c>
      <c r="E111" s="291" t="s">
        <v>4</v>
      </c>
      <c r="F111" s="291" t="s">
        <v>5</v>
      </c>
      <c r="G111" s="291" t="s">
        <v>6</v>
      </c>
      <c r="H111" s="291" t="s">
        <v>7</v>
      </c>
      <c r="I111" s="291" t="s">
        <v>8</v>
      </c>
      <c r="J111" s="291" t="s">
        <v>9</v>
      </c>
      <c r="K111" s="291" t="s">
        <v>10</v>
      </c>
      <c r="L111" s="291" t="s">
        <v>11</v>
      </c>
      <c r="M111" s="291" t="s">
        <v>12</v>
      </c>
      <c r="N111" s="292" t="s">
        <v>13</v>
      </c>
    </row>
    <row r="112" spans="1:14" ht="13.8" thickBot="1">
      <c r="A112" s="318" t="s">
        <v>241</v>
      </c>
      <c r="B112" s="319">
        <f t="shared" ref="B112:M112" si="12">SUM(B113:B117)</f>
        <v>0</v>
      </c>
      <c r="C112" s="320">
        <f t="shared" si="12"/>
        <v>0</v>
      </c>
      <c r="D112" s="320">
        <f t="shared" si="12"/>
        <v>0</v>
      </c>
      <c r="E112" s="320">
        <f t="shared" si="12"/>
        <v>0</v>
      </c>
      <c r="F112" s="320">
        <f t="shared" si="12"/>
        <v>0</v>
      </c>
      <c r="G112" s="320">
        <f t="shared" si="12"/>
        <v>0</v>
      </c>
      <c r="H112" s="320">
        <f t="shared" si="12"/>
        <v>0</v>
      </c>
      <c r="I112" s="320">
        <f t="shared" si="12"/>
        <v>0</v>
      </c>
      <c r="J112" s="320">
        <f t="shared" si="12"/>
        <v>0</v>
      </c>
      <c r="K112" s="320">
        <f t="shared" si="12"/>
        <v>0</v>
      </c>
      <c r="L112" s="320">
        <f t="shared" si="12"/>
        <v>0</v>
      </c>
      <c r="M112" s="321">
        <f t="shared" si="12"/>
        <v>0</v>
      </c>
      <c r="N112" s="322">
        <f>SUM(N113:N117)</f>
        <v>0</v>
      </c>
    </row>
    <row r="113" spans="1:14">
      <c r="A113" s="323" t="s">
        <v>242</v>
      </c>
      <c r="B113" s="299"/>
      <c r="C113" s="300"/>
      <c r="D113" s="300"/>
      <c r="E113" s="300"/>
      <c r="F113" s="300"/>
      <c r="G113" s="300"/>
      <c r="H113" s="300"/>
      <c r="I113" s="300"/>
      <c r="J113" s="300"/>
      <c r="K113" s="300"/>
      <c r="L113" s="300"/>
      <c r="M113" s="301"/>
      <c r="N113" s="324">
        <f>SUM(B113:M113)</f>
        <v>0</v>
      </c>
    </row>
    <row r="114" spans="1:14">
      <c r="A114" s="325" t="s">
        <v>243</v>
      </c>
      <c r="B114" s="304"/>
      <c r="C114" s="305"/>
      <c r="D114" s="305"/>
      <c r="E114" s="305"/>
      <c r="F114" s="305"/>
      <c r="G114" s="305"/>
      <c r="H114" s="305"/>
      <c r="I114" s="305"/>
      <c r="J114" s="305"/>
      <c r="K114" s="305"/>
      <c r="L114" s="305"/>
      <c r="M114" s="306"/>
      <c r="N114" s="306">
        <f>SUM(B114:M114)</f>
        <v>0</v>
      </c>
    </row>
    <row r="115" spans="1:14">
      <c r="A115" s="326" t="s">
        <v>244</v>
      </c>
      <c r="B115" s="309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1"/>
      <c r="N115" s="327">
        <f>SUM(B115:M115)</f>
        <v>0</v>
      </c>
    </row>
    <row r="116" spans="1:14">
      <c r="A116" s="325" t="s">
        <v>245</v>
      </c>
      <c r="B116" s="304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6"/>
      <c r="N116" s="306">
        <f>SUM(B116:M116)</f>
        <v>0</v>
      </c>
    </row>
    <row r="117" spans="1:14" ht="13.8" thickBot="1">
      <c r="A117" s="328" t="s">
        <v>240</v>
      </c>
      <c r="B117" s="314"/>
      <c r="C117" s="315"/>
      <c r="D117" s="315"/>
      <c r="E117" s="315"/>
      <c r="F117" s="315"/>
      <c r="G117" s="315"/>
      <c r="H117" s="315"/>
      <c r="I117" s="315"/>
      <c r="J117" s="315"/>
      <c r="K117" s="315"/>
      <c r="L117" s="315"/>
      <c r="M117" s="316"/>
      <c r="N117" s="329">
        <f>SUM(B117:M117)</f>
        <v>0</v>
      </c>
    </row>
    <row r="118" spans="1:14" ht="13.8" thickBot="1"/>
    <row r="119" spans="1:14" ht="24.75" customHeight="1">
      <c r="A119" s="289"/>
      <c r="B119" s="2310" t="s">
        <v>302</v>
      </c>
      <c r="C119" s="2311"/>
      <c r="D119" s="2311"/>
      <c r="E119" s="2311"/>
      <c r="F119" s="2311"/>
      <c r="G119" s="2311"/>
      <c r="H119" s="2311"/>
      <c r="I119" s="2311"/>
      <c r="J119" s="2311"/>
      <c r="K119" s="2311"/>
      <c r="L119" s="2311"/>
      <c r="M119" s="2311"/>
      <c r="N119" s="2312"/>
    </row>
    <row r="120" spans="1:14" ht="24.75" customHeight="1" thickBot="1">
      <c r="A120" s="290" t="s">
        <v>102</v>
      </c>
      <c r="B120" s="291" t="s">
        <v>1</v>
      </c>
      <c r="C120" s="291" t="s">
        <v>2</v>
      </c>
      <c r="D120" s="291" t="s">
        <v>3</v>
      </c>
      <c r="E120" s="291" t="s">
        <v>4</v>
      </c>
      <c r="F120" s="291" t="s">
        <v>5</v>
      </c>
      <c r="G120" s="291" t="s">
        <v>6</v>
      </c>
      <c r="H120" s="291" t="s">
        <v>7</v>
      </c>
      <c r="I120" s="291" t="s">
        <v>8</v>
      </c>
      <c r="J120" s="291" t="s">
        <v>9</v>
      </c>
      <c r="K120" s="291" t="s">
        <v>10</v>
      </c>
      <c r="L120" s="291" t="s">
        <v>11</v>
      </c>
      <c r="M120" s="291" t="s">
        <v>12</v>
      </c>
      <c r="N120" s="292" t="s">
        <v>13</v>
      </c>
    </row>
    <row r="121" spans="1:14" ht="13.8" thickBot="1">
      <c r="A121" s="318" t="s">
        <v>241</v>
      </c>
      <c r="B121" s="319">
        <f t="shared" ref="B121:M121" si="13">SUM(B122:B126)</f>
        <v>0</v>
      </c>
      <c r="C121" s="320">
        <f t="shared" si="13"/>
        <v>0</v>
      </c>
      <c r="D121" s="320">
        <f t="shared" si="13"/>
        <v>0</v>
      </c>
      <c r="E121" s="320">
        <f t="shared" si="13"/>
        <v>0</v>
      </c>
      <c r="F121" s="320">
        <f t="shared" si="13"/>
        <v>0</v>
      </c>
      <c r="G121" s="320">
        <f t="shared" si="13"/>
        <v>0</v>
      </c>
      <c r="H121" s="320">
        <f t="shared" si="13"/>
        <v>0</v>
      </c>
      <c r="I121" s="320">
        <f t="shared" si="13"/>
        <v>0</v>
      </c>
      <c r="J121" s="320">
        <f t="shared" si="13"/>
        <v>0</v>
      </c>
      <c r="K121" s="320">
        <f t="shared" si="13"/>
        <v>0</v>
      </c>
      <c r="L121" s="320">
        <f t="shared" si="13"/>
        <v>0</v>
      </c>
      <c r="M121" s="321">
        <f t="shared" si="13"/>
        <v>0</v>
      </c>
      <c r="N121" s="322">
        <f>SUM(N122:N127)</f>
        <v>0</v>
      </c>
    </row>
    <row r="122" spans="1:14">
      <c r="A122" s="323" t="s">
        <v>242</v>
      </c>
      <c r="B122" s="299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1"/>
      <c r="N122" s="324">
        <f>SUM(B122:M122)</f>
        <v>0</v>
      </c>
    </row>
    <row r="123" spans="1:14">
      <c r="A123" s="325" t="s">
        <v>243</v>
      </c>
      <c r="B123" s="304"/>
      <c r="C123" s="305"/>
      <c r="D123" s="305"/>
      <c r="E123" s="305"/>
      <c r="F123" s="305"/>
      <c r="G123" s="305"/>
      <c r="H123" s="305"/>
      <c r="I123" s="305"/>
      <c r="J123" s="305"/>
      <c r="K123" s="305"/>
      <c r="L123" s="305"/>
      <c r="M123" s="306"/>
      <c r="N123" s="306">
        <f>SUM(B123:M123)</f>
        <v>0</v>
      </c>
    </row>
    <row r="124" spans="1:14">
      <c r="A124" s="326" t="s">
        <v>244</v>
      </c>
      <c r="B124" s="309"/>
      <c r="C124" s="310"/>
      <c r="D124" s="310"/>
      <c r="E124" s="310"/>
      <c r="F124" s="310"/>
      <c r="G124" s="310"/>
      <c r="H124" s="310"/>
      <c r="I124" s="310"/>
      <c r="J124" s="310"/>
      <c r="K124" s="310"/>
      <c r="L124" s="310"/>
      <c r="M124" s="311"/>
      <c r="N124" s="327">
        <f>SUM(B124:M124)</f>
        <v>0</v>
      </c>
    </row>
    <row r="125" spans="1:14">
      <c r="A125" s="325" t="s">
        <v>245</v>
      </c>
      <c r="B125" s="304"/>
      <c r="C125" s="305"/>
      <c r="D125" s="305"/>
      <c r="E125" s="305"/>
      <c r="F125" s="305"/>
      <c r="G125" s="305"/>
      <c r="H125" s="305"/>
      <c r="I125" s="305"/>
      <c r="J125" s="305"/>
      <c r="K125" s="305"/>
      <c r="L125" s="305"/>
      <c r="M125" s="306"/>
      <c r="N125" s="306">
        <f>SUM(B125:M125)</f>
        <v>0</v>
      </c>
    </row>
    <row r="126" spans="1:14" ht="13.8" thickBot="1">
      <c r="A126" s="328" t="s">
        <v>240</v>
      </c>
      <c r="B126" s="314"/>
      <c r="C126" s="315"/>
      <c r="D126" s="315"/>
      <c r="E126" s="315"/>
      <c r="F126" s="315"/>
      <c r="G126" s="315"/>
      <c r="H126" s="315"/>
      <c r="I126" s="315"/>
      <c r="J126" s="315"/>
      <c r="K126" s="315"/>
      <c r="L126" s="315"/>
      <c r="M126" s="316"/>
      <c r="N126" s="329">
        <f>SUM(B126:M126)</f>
        <v>0</v>
      </c>
    </row>
    <row r="127" spans="1:14" ht="13.8" thickBot="1"/>
    <row r="128" spans="1:14" ht="24.75" customHeight="1">
      <c r="A128" s="289"/>
      <c r="B128" s="2310" t="s">
        <v>302</v>
      </c>
      <c r="C128" s="2311"/>
      <c r="D128" s="2311"/>
      <c r="E128" s="2311"/>
      <c r="F128" s="2311"/>
      <c r="G128" s="2311"/>
      <c r="H128" s="2311"/>
      <c r="I128" s="2311"/>
      <c r="J128" s="2311"/>
      <c r="K128" s="2311"/>
      <c r="L128" s="2311"/>
      <c r="M128" s="2311"/>
      <c r="N128" s="2312"/>
    </row>
    <row r="129" spans="1:14" ht="24.75" customHeight="1" thickBot="1">
      <c r="A129" s="290" t="s">
        <v>103</v>
      </c>
      <c r="B129" s="291" t="s">
        <v>1</v>
      </c>
      <c r="C129" s="291" t="s">
        <v>2</v>
      </c>
      <c r="D129" s="291" t="s">
        <v>3</v>
      </c>
      <c r="E129" s="291" t="s">
        <v>4</v>
      </c>
      <c r="F129" s="291" t="s">
        <v>5</v>
      </c>
      <c r="G129" s="291" t="s">
        <v>6</v>
      </c>
      <c r="H129" s="291" t="s">
        <v>7</v>
      </c>
      <c r="I129" s="291" t="s">
        <v>8</v>
      </c>
      <c r="J129" s="291" t="s">
        <v>9</v>
      </c>
      <c r="K129" s="291" t="s">
        <v>10</v>
      </c>
      <c r="L129" s="291" t="s">
        <v>11</v>
      </c>
      <c r="M129" s="291" t="s">
        <v>12</v>
      </c>
      <c r="N129" s="292" t="s">
        <v>13</v>
      </c>
    </row>
    <row r="130" spans="1:14" ht="13.8" thickBot="1">
      <c r="A130" s="318" t="s">
        <v>241</v>
      </c>
      <c r="B130" s="319">
        <f t="shared" ref="B130:M130" si="14">SUM(B131:B135)</f>
        <v>0</v>
      </c>
      <c r="C130" s="320">
        <f t="shared" si="14"/>
        <v>0</v>
      </c>
      <c r="D130" s="320">
        <f t="shared" si="14"/>
        <v>0</v>
      </c>
      <c r="E130" s="320">
        <f t="shared" si="14"/>
        <v>0</v>
      </c>
      <c r="F130" s="320">
        <f t="shared" si="14"/>
        <v>0</v>
      </c>
      <c r="G130" s="320">
        <f t="shared" si="14"/>
        <v>0</v>
      </c>
      <c r="H130" s="320">
        <f t="shared" si="14"/>
        <v>0</v>
      </c>
      <c r="I130" s="320">
        <f t="shared" si="14"/>
        <v>0</v>
      </c>
      <c r="J130" s="320">
        <f t="shared" si="14"/>
        <v>0</v>
      </c>
      <c r="K130" s="320">
        <f t="shared" si="14"/>
        <v>0</v>
      </c>
      <c r="L130" s="320">
        <f t="shared" si="14"/>
        <v>0</v>
      </c>
      <c r="M130" s="321">
        <f t="shared" si="14"/>
        <v>0</v>
      </c>
      <c r="N130" s="322">
        <f>SUM(N131:N136)</f>
        <v>0</v>
      </c>
    </row>
    <row r="131" spans="1:14">
      <c r="A131" s="323" t="s">
        <v>242</v>
      </c>
      <c r="B131" s="299"/>
      <c r="C131" s="300"/>
      <c r="D131" s="300"/>
      <c r="E131" s="300"/>
      <c r="F131" s="300"/>
      <c r="G131" s="300"/>
      <c r="H131" s="300"/>
      <c r="I131" s="300"/>
      <c r="J131" s="300"/>
      <c r="K131" s="300"/>
      <c r="L131" s="300"/>
      <c r="M131" s="301"/>
      <c r="N131" s="324">
        <f>SUM(B131:M131)</f>
        <v>0</v>
      </c>
    </row>
    <row r="132" spans="1:14">
      <c r="A132" s="325" t="s">
        <v>243</v>
      </c>
      <c r="B132" s="304"/>
      <c r="C132" s="305"/>
      <c r="D132" s="305"/>
      <c r="E132" s="305"/>
      <c r="F132" s="305"/>
      <c r="G132" s="305"/>
      <c r="H132" s="305"/>
      <c r="I132" s="305"/>
      <c r="J132" s="305"/>
      <c r="K132" s="305"/>
      <c r="L132" s="305"/>
      <c r="M132" s="306"/>
      <c r="N132" s="306">
        <f>SUM(B132:M132)</f>
        <v>0</v>
      </c>
    </row>
    <row r="133" spans="1:14">
      <c r="A133" s="326" t="s">
        <v>244</v>
      </c>
      <c r="B133" s="309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1"/>
      <c r="N133" s="327">
        <f>SUM(B133:M133)</f>
        <v>0</v>
      </c>
    </row>
    <row r="134" spans="1:14">
      <c r="A134" s="325" t="s">
        <v>245</v>
      </c>
      <c r="B134" s="304"/>
      <c r="C134" s="305"/>
      <c r="D134" s="305"/>
      <c r="E134" s="305"/>
      <c r="F134" s="305"/>
      <c r="G134" s="305"/>
      <c r="H134" s="305"/>
      <c r="I134" s="305"/>
      <c r="J134" s="305"/>
      <c r="K134" s="305"/>
      <c r="L134" s="305"/>
      <c r="M134" s="306"/>
      <c r="N134" s="306">
        <f>SUM(B134:M134)</f>
        <v>0</v>
      </c>
    </row>
    <row r="135" spans="1:14" ht="13.8" thickBot="1">
      <c r="A135" s="328" t="s">
        <v>240</v>
      </c>
      <c r="B135" s="314"/>
      <c r="C135" s="315"/>
      <c r="D135" s="315"/>
      <c r="E135" s="315"/>
      <c r="F135" s="315"/>
      <c r="G135" s="315"/>
      <c r="H135" s="315"/>
      <c r="I135" s="315"/>
      <c r="J135" s="315"/>
      <c r="K135" s="315"/>
      <c r="L135" s="315"/>
      <c r="M135" s="316"/>
      <c r="N135" s="329">
        <f>SUM(B135:M135)</f>
        <v>0</v>
      </c>
    </row>
    <row r="136" spans="1:14" ht="13.8" thickBot="1"/>
    <row r="137" spans="1:14" ht="24.75" customHeight="1">
      <c r="A137" s="289"/>
      <c r="B137" s="2310" t="s">
        <v>302</v>
      </c>
      <c r="C137" s="2311"/>
      <c r="D137" s="2311"/>
      <c r="E137" s="2311"/>
      <c r="F137" s="2311"/>
      <c r="G137" s="2311"/>
      <c r="H137" s="2311"/>
      <c r="I137" s="2311"/>
      <c r="J137" s="2311"/>
      <c r="K137" s="2311"/>
      <c r="L137" s="2311"/>
      <c r="M137" s="2311"/>
      <c r="N137" s="2312"/>
    </row>
    <row r="138" spans="1:14" ht="24.75" customHeight="1" thickBot="1">
      <c r="A138" s="290" t="s">
        <v>104</v>
      </c>
      <c r="B138" s="291" t="s">
        <v>1</v>
      </c>
      <c r="C138" s="291" t="s">
        <v>2</v>
      </c>
      <c r="D138" s="291" t="s">
        <v>3</v>
      </c>
      <c r="E138" s="291" t="s">
        <v>4</v>
      </c>
      <c r="F138" s="291" t="s">
        <v>5</v>
      </c>
      <c r="G138" s="291" t="s">
        <v>6</v>
      </c>
      <c r="H138" s="291" t="s">
        <v>7</v>
      </c>
      <c r="I138" s="291" t="s">
        <v>8</v>
      </c>
      <c r="J138" s="291" t="s">
        <v>9</v>
      </c>
      <c r="K138" s="291" t="s">
        <v>10</v>
      </c>
      <c r="L138" s="291" t="s">
        <v>11</v>
      </c>
      <c r="M138" s="291" t="s">
        <v>12</v>
      </c>
      <c r="N138" s="292" t="s">
        <v>13</v>
      </c>
    </row>
    <row r="139" spans="1:14" ht="13.8" thickBot="1">
      <c r="A139" s="318" t="s">
        <v>241</v>
      </c>
      <c r="B139" s="319">
        <f>SUM(B140:B144)</f>
        <v>0</v>
      </c>
      <c r="C139" s="320">
        <f t="shared" ref="C139:M139" si="15">SUM(C140:C144)</f>
        <v>0</v>
      </c>
      <c r="D139" s="320">
        <f t="shared" si="15"/>
        <v>0</v>
      </c>
      <c r="E139" s="320">
        <f t="shared" si="15"/>
        <v>0</v>
      </c>
      <c r="F139" s="320">
        <f t="shared" si="15"/>
        <v>0</v>
      </c>
      <c r="G139" s="320">
        <f t="shared" si="15"/>
        <v>0</v>
      </c>
      <c r="H139" s="320">
        <f t="shared" si="15"/>
        <v>0</v>
      </c>
      <c r="I139" s="320">
        <f t="shared" si="15"/>
        <v>0</v>
      </c>
      <c r="J139" s="320">
        <f t="shared" si="15"/>
        <v>0</v>
      </c>
      <c r="K139" s="320">
        <f t="shared" si="15"/>
        <v>0</v>
      </c>
      <c r="L139" s="320">
        <f t="shared" si="15"/>
        <v>0</v>
      </c>
      <c r="M139" s="321">
        <f t="shared" si="15"/>
        <v>0</v>
      </c>
      <c r="N139" s="322">
        <f>SUM(N140:N145)</f>
        <v>0</v>
      </c>
    </row>
    <row r="140" spans="1:14">
      <c r="A140" s="323" t="s">
        <v>242</v>
      </c>
      <c r="B140" s="299"/>
      <c r="C140" s="300"/>
      <c r="D140" s="300"/>
      <c r="E140" s="300"/>
      <c r="F140" s="300"/>
      <c r="G140" s="300"/>
      <c r="H140" s="300"/>
      <c r="I140" s="300"/>
      <c r="J140" s="300"/>
      <c r="K140" s="300"/>
      <c r="L140" s="300"/>
      <c r="M140" s="301"/>
      <c r="N140" s="324">
        <f>SUM(B140:M140)</f>
        <v>0</v>
      </c>
    </row>
    <row r="141" spans="1:14">
      <c r="A141" s="325" t="s">
        <v>243</v>
      </c>
      <c r="B141" s="304"/>
      <c r="C141" s="305"/>
      <c r="D141" s="305"/>
      <c r="E141" s="305"/>
      <c r="F141" s="305"/>
      <c r="G141" s="305"/>
      <c r="H141" s="305"/>
      <c r="I141" s="305"/>
      <c r="J141" s="305"/>
      <c r="K141" s="305"/>
      <c r="L141" s="305"/>
      <c r="M141" s="306"/>
      <c r="N141" s="306">
        <f>SUM(B141:M141)</f>
        <v>0</v>
      </c>
    </row>
    <row r="142" spans="1:14">
      <c r="A142" s="326" t="s">
        <v>244</v>
      </c>
      <c r="B142" s="309"/>
      <c r="C142" s="310"/>
      <c r="D142" s="310"/>
      <c r="E142" s="310"/>
      <c r="F142" s="310"/>
      <c r="G142" s="310"/>
      <c r="H142" s="310"/>
      <c r="I142" s="310"/>
      <c r="J142" s="310"/>
      <c r="K142" s="310"/>
      <c r="L142" s="310"/>
      <c r="M142" s="311"/>
      <c r="N142" s="327">
        <f>SUM(B142:M142)</f>
        <v>0</v>
      </c>
    </row>
    <row r="143" spans="1:14">
      <c r="A143" s="325" t="s">
        <v>245</v>
      </c>
      <c r="B143" s="304"/>
      <c r="C143" s="305"/>
      <c r="D143" s="305"/>
      <c r="E143" s="305"/>
      <c r="F143" s="305"/>
      <c r="G143" s="305"/>
      <c r="H143" s="305"/>
      <c r="I143" s="305"/>
      <c r="J143" s="305"/>
      <c r="K143" s="305"/>
      <c r="L143" s="305"/>
      <c r="M143" s="306"/>
      <c r="N143" s="306">
        <f>SUM(B143:M143)</f>
        <v>0</v>
      </c>
    </row>
    <row r="144" spans="1:14" ht="13.8" thickBot="1">
      <c r="A144" s="328" t="s">
        <v>240</v>
      </c>
      <c r="B144" s="314"/>
      <c r="C144" s="315"/>
      <c r="D144" s="315"/>
      <c r="E144" s="315"/>
      <c r="F144" s="315"/>
      <c r="G144" s="315"/>
      <c r="H144" s="315"/>
      <c r="I144" s="315"/>
      <c r="J144" s="315"/>
      <c r="K144" s="315"/>
      <c r="L144" s="315"/>
      <c r="M144" s="316"/>
      <c r="N144" s="329">
        <f>SUM(B144:M144)</f>
        <v>0</v>
      </c>
    </row>
    <row r="145" spans="1:14" ht="13.8" thickBot="1"/>
    <row r="146" spans="1:14" ht="24.75" customHeight="1">
      <c r="A146" s="289"/>
      <c r="B146" s="2310" t="s">
        <v>302</v>
      </c>
      <c r="C146" s="2311"/>
      <c r="D146" s="2311"/>
      <c r="E146" s="2311"/>
      <c r="F146" s="2311"/>
      <c r="G146" s="2311"/>
      <c r="H146" s="2311"/>
      <c r="I146" s="2311"/>
      <c r="J146" s="2311"/>
      <c r="K146" s="2311"/>
      <c r="L146" s="2311"/>
      <c r="M146" s="2311"/>
      <c r="N146" s="2312"/>
    </row>
    <row r="147" spans="1:14" ht="24.75" customHeight="1" thickBot="1">
      <c r="A147" s="290" t="s">
        <v>246</v>
      </c>
      <c r="B147" s="291" t="s">
        <v>1</v>
      </c>
      <c r="C147" s="291" t="s">
        <v>2</v>
      </c>
      <c r="D147" s="291" t="s">
        <v>3</v>
      </c>
      <c r="E147" s="291" t="s">
        <v>4</v>
      </c>
      <c r="F147" s="291" t="s">
        <v>5</v>
      </c>
      <c r="G147" s="291" t="s">
        <v>6</v>
      </c>
      <c r="H147" s="291" t="s">
        <v>7</v>
      </c>
      <c r="I147" s="291" t="s">
        <v>8</v>
      </c>
      <c r="J147" s="291" t="s">
        <v>9</v>
      </c>
      <c r="K147" s="291" t="s">
        <v>10</v>
      </c>
      <c r="L147" s="291" t="s">
        <v>11</v>
      </c>
      <c r="M147" s="291" t="s">
        <v>12</v>
      </c>
      <c r="N147" s="292" t="s">
        <v>13</v>
      </c>
    </row>
    <row r="148" spans="1:14" ht="13.8" thickBot="1">
      <c r="A148" s="318" t="s">
        <v>241</v>
      </c>
      <c r="B148" s="319">
        <f>SUM(B149:B153)</f>
        <v>0</v>
      </c>
      <c r="C148" s="320">
        <f t="shared" ref="C148:M148" si="16">SUM(C149:C153)</f>
        <v>0</v>
      </c>
      <c r="D148" s="320">
        <f t="shared" si="16"/>
        <v>0</v>
      </c>
      <c r="E148" s="320">
        <f t="shared" si="16"/>
        <v>0</v>
      </c>
      <c r="F148" s="320">
        <f t="shared" si="16"/>
        <v>0</v>
      </c>
      <c r="G148" s="320">
        <f t="shared" si="16"/>
        <v>0</v>
      </c>
      <c r="H148" s="320">
        <f t="shared" si="16"/>
        <v>0</v>
      </c>
      <c r="I148" s="320">
        <f t="shared" si="16"/>
        <v>0</v>
      </c>
      <c r="J148" s="320">
        <f t="shared" si="16"/>
        <v>0</v>
      </c>
      <c r="K148" s="320">
        <f t="shared" si="16"/>
        <v>0</v>
      </c>
      <c r="L148" s="320">
        <f t="shared" si="16"/>
        <v>0</v>
      </c>
      <c r="M148" s="321">
        <f t="shared" si="16"/>
        <v>0</v>
      </c>
      <c r="N148" s="322">
        <f>SUM(N149:N154)</f>
        <v>0</v>
      </c>
    </row>
    <row r="149" spans="1:14">
      <c r="A149" s="298" t="s">
        <v>242</v>
      </c>
      <c r="B149" s="299">
        <f>SUM(B5+B14+B23+B32+B41+B50+B59+B68+B77+B86+B95+B104+B113+B122+B131+B140)</f>
        <v>0</v>
      </c>
      <c r="C149" s="300">
        <f t="shared" ref="C149:M149" si="17">SUM(C5+C14+C23+C32+C41+C50+C59+C68+C77+C86+C95+C104+C113+C122+C131+C140)</f>
        <v>0</v>
      </c>
      <c r="D149" s="300">
        <f t="shared" si="17"/>
        <v>0</v>
      </c>
      <c r="E149" s="300">
        <f t="shared" si="17"/>
        <v>0</v>
      </c>
      <c r="F149" s="300">
        <f t="shared" si="17"/>
        <v>0</v>
      </c>
      <c r="G149" s="300">
        <f t="shared" si="17"/>
        <v>0</v>
      </c>
      <c r="H149" s="300">
        <f t="shared" si="17"/>
        <v>0</v>
      </c>
      <c r="I149" s="300">
        <f t="shared" si="17"/>
        <v>0</v>
      </c>
      <c r="J149" s="300">
        <f t="shared" si="17"/>
        <v>0</v>
      </c>
      <c r="K149" s="300">
        <f t="shared" si="17"/>
        <v>0</v>
      </c>
      <c r="L149" s="300">
        <f t="shared" si="17"/>
        <v>0</v>
      </c>
      <c r="M149" s="301">
        <f t="shared" si="17"/>
        <v>0</v>
      </c>
      <c r="N149" s="324">
        <f>SUM(B149:M149)</f>
        <v>0</v>
      </c>
    </row>
    <row r="150" spans="1:14">
      <c r="A150" s="303" t="s">
        <v>243</v>
      </c>
      <c r="B150" s="304">
        <f t="shared" ref="B150:M153" si="18">SUM(B6+B15+B24+B33+B42+B51+B60+B69+B78+B87+B96+B105+B114+B123+B132+B141)</f>
        <v>0</v>
      </c>
      <c r="C150" s="305">
        <f t="shared" si="18"/>
        <v>0</v>
      </c>
      <c r="D150" s="305">
        <f t="shared" si="18"/>
        <v>0</v>
      </c>
      <c r="E150" s="305">
        <f t="shared" si="18"/>
        <v>0</v>
      </c>
      <c r="F150" s="305">
        <f t="shared" si="18"/>
        <v>0</v>
      </c>
      <c r="G150" s="305">
        <f t="shared" si="18"/>
        <v>0</v>
      </c>
      <c r="H150" s="305">
        <f t="shared" si="18"/>
        <v>0</v>
      </c>
      <c r="I150" s="305">
        <f t="shared" si="18"/>
        <v>0</v>
      </c>
      <c r="J150" s="305">
        <f t="shared" si="18"/>
        <v>0</v>
      </c>
      <c r="K150" s="305">
        <f t="shared" si="18"/>
        <v>0</v>
      </c>
      <c r="L150" s="305">
        <f t="shared" si="18"/>
        <v>0</v>
      </c>
      <c r="M150" s="306">
        <f t="shared" si="18"/>
        <v>0</v>
      </c>
      <c r="N150" s="306">
        <f>SUM(B150:M150)</f>
        <v>0</v>
      </c>
    </row>
    <row r="151" spans="1:14">
      <c r="A151" s="308" t="s">
        <v>244</v>
      </c>
      <c r="B151" s="309">
        <f t="shared" si="18"/>
        <v>0</v>
      </c>
      <c r="C151" s="310">
        <f t="shared" si="18"/>
        <v>0</v>
      </c>
      <c r="D151" s="310">
        <f t="shared" si="18"/>
        <v>0</v>
      </c>
      <c r="E151" s="310">
        <f t="shared" si="18"/>
        <v>0</v>
      </c>
      <c r="F151" s="310">
        <f t="shared" si="18"/>
        <v>0</v>
      </c>
      <c r="G151" s="310">
        <f t="shared" si="18"/>
        <v>0</v>
      </c>
      <c r="H151" s="310">
        <f t="shared" si="18"/>
        <v>0</v>
      </c>
      <c r="I151" s="310">
        <f t="shared" si="18"/>
        <v>0</v>
      </c>
      <c r="J151" s="310">
        <f t="shared" si="18"/>
        <v>0</v>
      </c>
      <c r="K151" s="310">
        <f t="shared" si="18"/>
        <v>0</v>
      </c>
      <c r="L151" s="310">
        <f t="shared" si="18"/>
        <v>0</v>
      </c>
      <c r="M151" s="311">
        <f t="shared" si="18"/>
        <v>0</v>
      </c>
      <c r="N151" s="327">
        <f>SUM(B151:M151)</f>
        <v>0</v>
      </c>
    </row>
    <row r="152" spans="1:14">
      <c r="A152" s="303" t="s">
        <v>245</v>
      </c>
      <c r="B152" s="304">
        <f t="shared" si="18"/>
        <v>0</v>
      </c>
      <c r="C152" s="305">
        <f t="shared" si="18"/>
        <v>0</v>
      </c>
      <c r="D152" s="305">
        <f t="shared" si="18"/>
        <v>0</v>
      </c>
      <c r="E152" s="305">
        <f t="shared" si="18"/>
        <v>0</v>
      </c>
      <c r="F152" s="305">
        <f t="shared" si="18"/>
        <v>0</v>
      </c>
      <c r="G152" s="305">
        <f t="shared" si="18"/>
        <v>0</v>
      </c>
      <c r="H152" s="305">
        <f t="shared" si="18"/>
        <v>0</v>
      </c>
      <c r="I152" s="305">
        <f t="shared" si="18"/>
        <v>0</v>
      </c>
      <c r="J152" s="305">
        <f t="shared" si="18"/>
        <v>0</v>
      </c>
      <c r="K152" s="305">
        <f t="shared" si="18"/>
        <v>0</v>
      </c>
      <c r="L152" s="305">
        <f t="shared" si="18"/>
        <v>0</v>
      </c>
      <c r="M152" s="306">
        <f t="shared" si="18"/>
        <v>0</v>
      </c>
      <c r="N152" s="306">
        <f>SUM(B152:M152)</f>
        <v>0</v>
      </c>
    </row>
    <row r="153" spans="1:14" ht="13.8" thickBot="1">
      <c r="A153" s="313" t="s">
        <v>240</v>
      </c>
      <c r="B153" s="314">
        <f>SUM(B9+B18+B27+B36+B45+B54+B63+B72+B81+B90+B99+B108+B117+B126+B135+B144)</f>
        <v>0</v>
      </c>
      <c r="C153" s="315">
        <f t="shared" si="18"/>
        <v>0</v>
      </c>
      <c r="D153" s="315">
        <f t="shared" si="18"/>
        <v>0</v>
      </c>
      <c r="E153" s="315">
        <f t="shared" si="18"/>
        <v>0</v>
      </c>
      <c r="F153" s="315">
        <f t="shared" si="18"/>
        <v>0</v>
      </c>
      <c r="G153" s="315">
        <f t="shared" si="18"/>
        <v>0</v>
      </c>
      <c r="H153" s="315">
        <f t="shared" si="18"/>
        <v>0</v>
      </c>
      <c r="I153" s="315">
        <f t="shared" si="18"/>
        <v>0</v>
      </c>
      <c r="J153" s="315">
        <f t="shared" si="18"/>
        <v>0</v>
      </c>
      <c r="K153" s="315">
        <f t="shared" si="18"/>
        <v>0</v>
      </c>
      <c r="L153" s="315">
        <f t="shared" si="18"/>
        <v>0</v>
      </c>
      <c r="M153" s="316">
        <f t="shared" si="18"/>
        <v>0</v>
      </c>
      <c r="N153" s="329">
        <f>SUM(B153:M153)</f>
        <v>0</v>
      </c>
    </row>
    <row r="156" spans="1:14" ht="13.8" thickBot="1"/>
    <row r="157" spans="1:14" ht="24.9" customHeight="1">
      <c r="A157" s="289"/>
      <c r="B157" s="2310" t="s">
        <v>297</v>
      </c>
      <c r="C157" s="2311"/>
      <c r="D157" s="2311"/>
      <c r="E157" s="2311"/>
      <c r="F157" s="2311"/>
      <c r="G157" s="2311"/>
      <c r="H157" s="2311"/>
      <c r="I157" s="2311"/>
      <c r="J157" s="2311"/>
      <c r="K157" s="2311"/>
      <c r="L157" s="2311"/>
      <c r="M157" s="2311"/>
      <c r="N157" s="2312"/>
    </row>
    <row r="158" spans="1:14" ht="24.9" customHeight="1" thickBot="1">
      <c r="A158" s="330" t="s">
        <v>133</v>
      </c>
      <c r="B158" s="331" t="s">
        <v>1</v>
      </c>
      <c r="C158" s="331" t="s">
        <v>2</v>
      </c>
      <c r="D158" s="331" t="s">
        <v>3</v>
      </c>
      <c r="E158" s="331" t="s">
        <v>4</v>
      </c>
      <c r="F158" s="331" t="s">
        <v>5</v>
      </c>
      <c r="G158" s="331" t="s">
        <v>6</v>
      </c>
      <c r="H158" s="331" t="s">
        <v>7</v>
      </c>
      <c r="I158" s="331" t="s">
        <v>8</v>
      </c>
      <c r="J158" s="331" t="s">
        <v>9</v>
      </c>
      <c r="K158" s="331" t="s">
        <v>10</v>
      </c>
      <c r="L158" s="331" t="s">
        <v>11</v>
      </c>
      <c r="M158" s="331" t="s">
        <v>12</v>
      </c>
      <c r="N158" s="332" t="s">
        <v>13</v>
      </c>
    </row>
    <row r="159" spans="1:14">
      <c r="A159" s="333" t="s">
        <v>247</v>
      </c>
      <c r="B159" s="299"/>
      <c r="C159" s="300"/>
      <c r="D159" s="300"/>
      <c r="E159" s="300"/>
      <c r="F159" s="300"/>
      <c r="G159" s="300"/>
      <c r="H159" s="300"/>
      <c r="I159" s="300"/>
      <c r="J159" s="300"/>
      <c r="K159" s="300"/>
      <c r="L159" s="300"/>
      <c r="M159" s="301"/>
      <c r="N159" s="302">
        <f>SUM(B159:M159)</f>
        <v>0</v>
      </c>
    </row>
    <row r="160" spans="1:14">
      <c r="A160" s="303" t="s">
        <v>245</v>
      </c>
      <c r="B160" s="304"/>
      <c r="C160" s="305"/>
      <c r="D160" s="305"/>
      <c r="E160" s="305"/>
      <c r="F160" s="305"/>
      <c r="G160" s="305"/>
      <c r="H160" s="305"/>
      <c r="I160" s="305"/>
      <c r="J160" s="305"/>
      <c r="K160" s="305"/>
      <c r="L160" s="305"/>
      <c r="M160" s="306"/>
      <c r="N160" s="307">
        <f>SUM(B160:M160)</f>
        <v>0</v>
      </c>
    </row>
    <row r="161" spans="1:14">
      <c r="A161" s="308" t="s">
        <v>248</v>
      </c>
      <c r="B161" s="309"/>
      <c r="C161" s="310"/>
      <c r="D161" s="310"/>
      <c r="E161" s="310"/>
      <c r="F161" s="310"/>
      <c r="G161" s="310"/>
      <c r="H161" s="310"/>
      <c r="I161" s="310"/>
      <c r="J161" s="310"/>
      <c r="K161" s="310"/>
      <c r="L161" s="310"/>
      <c r="M161" s="311"/>
      <c r="N161" s="312">
        <f>SUM(B161:M161)</f>
        <v>0</v>
      </c>
    </row>
    <row r="162" spans="1:14" ht="13.8" thickBot="1">
      <c r="A162" s="334" t="s">
        <v>249</v>
      </c>
      <c r="B162" s="335"/>
      <c r="C162" s="336"/>
      <c r="D162" s="336"/>
      <c r="E162" s="336"/>
      <c r="F162" s="336"/>
      <c r="G162" s="336"/>
      <c r="H162" s="336"/>
      <c r="I162" s="336"/>
      <c r="J162" s="336"/>
      <c r="K162" s="336"/>
      <c r="L162" s="336"/>
      <c r="M162" s="337"/>
      <c r="N162" s="338">
        <f>SUM(B162:M162)</f>
        <v>0</v>
      </c>
    </row>
    <row r="163" spans="1:14" ht="13.8" thickBot="1"/>
    <row r="164" spans="1:14" ht="24.9" customHeight="1">
      <c r="A164" s="289"/>
      <c r="B164" s="2310" t="s">
        <v>297</v>
      </c>
      <c r="C164" s="2311"/>
      <c r="D164" s="2311"/>
      <c r="E164" s="2311"/>
      <c r="F164" s="2311"/>
      <c r="G164" s="2311"/>
      <c r="H164" s="2311"/>
      <c r="I164" s="2311"/>
      <c r="J164" s="2311"/>
      <c r="K164" s="2311"/>
      <c r="L164" s="2311"/>
      <c r="M164" s="2311"/>
      <c r="N164" s="2312"/>
    </row>
    <row r="165" spans="1:14" ht="24.9" customHeight="1" thickBot="1">
      <c r="A165" s="290" t="s">
        <v>90</v>
      </c>
      <c r="B165" s="291" t="s">
        <v>1</v>
      </c>
      <c r="C165" s="291" t="s">
        <v>2</v>
      </c>
      <c r="D165" s="291" t="s">
        <v>3</v>
      </c>
      <c r="E165" s="291" t="s">
        <v>4</v>
      </c>
      <c r="F165" s="291" t="s">
        <v>5</v>
      </c>
      <c r="G165" s="291" t="s">
        <v>6</v>
      </c>
      <c r="H165" s="291" t="s">
        <v>7</v>
      </c>
      <c r="I165" s="291" t="s">
        <v>8</v>
      </c>
      <c r="J165" s="291" t="s">
        <v>9</v>
      </c>
      <c r="K165" s="291" t="s">
        <v>10</v>
      </c>
      <c r="L165" s="291" t="s">
        <v>11</v>
      </c>
      <c r="M165" s="291" t="s">
        <v>12</v>
      </c>
      <c r="N165" s="292" t="s">
        <v>13</v>
      </c>
    </row>
    <row r="166" spans="1:14">
      <c r="A166" s="339" t="s">
        <v>247</v>
      </c>
      <c r="B166" s="299"/>
      <c r="C166" s="300"/>
      <c r="D166" s="300"/>
      <c r="E166" s="300"/>
      <c r="F166" s="300"/>
      <c r="G166" s="300"/>
      <c r="H166" s="300"/>
      <c r="I166" s="300"/>
      <c r="J166" s="300"/>
      <c r="K166" s="300"/>
      <c r="L166" s="300"/>
      <c r="M166" s="301"/>
      <c r="N166" s="324">
        <f>SUM(B166:M166)</f>
        <v>0</v>
      </c>
    </row>
    <row r="167" spans="1:14">
      <c r="A167" s="325" t="s">
        <v>245</v>
      </c>
      <c r="B167" s="304"/>
      <c r="C167" s="305"/>
      <c r="D167" s="305"/>
      <c r="E167" s="305"/>
      <c r="F167" s="305"/>
      <c r="G167" s="305"/>
      <c r="H167" s="305"/>
      <c r="I167" s="305"/>
      <c r="J167" s="305"/>
      <c r="K167" s="305"/>
      <c r="L167" s="305"/>
      <c r="M167" s="306"/>
      <c r="N167" s="306">
        <f>SUM(B167:M167)</f>
        <v>0</v>
      </c>
    </row>
    <row r="168" spans="1:14">
      <c r="A168" s="326" t="s">
        <v>248</v>
      </c>
      <c r="B168" s="309"/>
      <c r="C168" s="310"/>
      <c r="D168" s="310"/>
      <c r="E168" s="310"/>
      <c r="F168" s="310"/>
      <c r="G168" s="310"/>
      <c r="H168" s="310"/>
      <c r="I168" s="310"/>
      <c r="J168" s="310"/>
      <c r="K168" s="310"/>
      <c r="L168" s="310"/>
      <c r="M168" s="311"/>
      <c r="N168" s="327">
        <f>SUM(B168:M168)</f>
        <v>0</v>
      </c>
    </row>
    <row r="169" spans="1:14" ht="13.8" thickBot="1">
      <c r="A169" s="340" t="s">
        <v>249</v>
      </c>
      <c r="B169" s="335"/>
      <c r="C169" s="336"/>
      <c r="D169" s="336"/>
      <c r="E169" s="336"/>
      <c r="F169" s="336"/>
      <c r="G169" s="336"/>
      <c r="H169" s="336"/>
      <c r="I169" s="336"/>
      <c r="J169" s="336"/>
      <c r="K169" s="336"/>
      <c r="L169" s="336"/>
      <c r="M169" s="337"/>
      <c r="N169" s="337">
        <f>SUM(B169:M169)</f>
        <v>0</v>
      </c>
    </row>
    <row r="170" spans="1:14" ht="13.8" thickBot="1">
      <c r="A170"/>
      <c r="B170" s="341"/>
      <c r="C170" s="341"/>
      <c r="D170" s="341"/>
      <c r="E170" s="341"/>
      <c r="F170" s="341"/>
      <c r="G170" s="341"/>
      <c r="H170" s="341"/>
      <c r="I170" s="341"/>
      <c r="J170" s="341"/>
      <c r="K170" s="341"/>
      <c r="L170" s="341"/>
      <c r="M170" s="341"/>
    </row>
    <row r="171" spans="1:14" ht="17.399999999999999">
      <c r="A171" s="289"/>
      <c r="B171" s="2310" t="s">
        <v>297</v>
      </c>
      <c r="C171" s="2311"/>
      <c r="D171" s="2311"/>
      <c r="E171" s="2311"/>
      <c r="F171" s="2311"/>
      <c r="G171" s="2311"/>
      <c r="H171" s="2311"/>
      <c r="I171" s="2311"/>
      <c r="J171" s="2311"/>
      <c r="K171" s="2311"/>
      <c r="L171" s="2311"/>
      <c r="M171" s="2311"/>
      <c r="N171" s="2312"/>
    </row>
    <row r="172" spans="1:14" ht="16.2" thickBot="1">
      <c r="A172" s="290" t="s">
        <v>91</v>
      </c>
      <c r="B172" s="291" t="s">
        <v>1</v>
      </c>
      <c r="C172" s="291" t="s">
        <v>2</v>
      </c>
      <c r="D172" s="291" t="s">
        <v>3</v>
      </c>
      <c r="E172" s="291" t="s">
        <v>4</v>
      </c>
      <c r="F172" s="291" t="s">
        <v>5</v>
      </c>
      <c r="G172" s="291" t="s">
        <v>6</v>
      </c>
      <c r="H172" s="291" t="s">
        <v>7</v>
      </c>
      <c r="I172" s="291" t="s">
        <v>8</v>
      </c>
      <c r="J172" s="291" t="s">
        <v>9</v>
      </c>
      <c r="K172" s="291" t="s">
        <v>10</v>
      </c>
      <c r="L172" s="291" t="s">
        <v>11</v>
      </c>
      <c r="M172" s="291" t="s">
        <v>12</v>
      </c>
      <c r="N172" s="292" t="s">
        <v>13</v>
      </c>
    </row>
    <row r="173" spans="1:14">
      <c r="A173" s="339" t="s">
        <v>247</v>
      </c>
      <c r="B173" s="299"/>
      <c r="C173" s="300"/>
      <c r="D173" s="300"/>
      <c r="E173" s="300"/>
      <c r="F173" s="300"/>
      <c r="G173" s="300"/>
      <c r="H173" s="300"/>
      <c r="I173" s="300"/>
      <c r="J173" s="300"/>
      <c r="K173" s="300"/>
      <c r="L173" s="300"/>
      <c r="M173" s="301"/>
      <c r="N173" s="324">
        <f>SUM(B173:M173)</f>
        <v>0</v>
      </c>
    </row>
    <row r="174" spans="1:14">
      <c r="A174" s="325" t="s">
        <v>245</v>
      </c>
      <c r="B174" s="304"/>
      <c r="C174" s="305"/>
      <c r="D174" s="305"/>
      <c r="E174" s="305"/>
      <c r="F174" s="305"/>
      <c r="G174" s="305"/>
      <c r="H174" s="305"/>
      <c r="I174" s="305"/>
      <c r="J174" s="305"/>
      <c r="K174" s="305"/>
      <c r="L174" s="305"/>
      <c r="M174" s="306"/>
      <c r="N174" s="306">
        <f>SUM(B174:M174)</f>
        <v>0</v>
      </c>
    </row>
    <row r="175" spans="1:14">
      <c r="A175" s="326" t="s">
        <v>248</v>
      </c>
      <c r="B175" s="309"/>
      <c r="C175" s="310"/>
      <c r="D175" s="310"/>
      <c r="E175" s="310"/>
      <c r="F175" s="310"/>
      <c r="G175" s="310"/>
      <c r="H175" s="310"/>
      <c r="I175" s="310"/>
      <c r="J175" s="310"/>
      <c r="K175" s="310"/>
      <c r="L175" s="310"/>
      <c r="M175" s="311"/>
      <c r="N175" s="327">
        <f>SUM(B175:M175)</f>
        <v>0</v>
      </c>
    </row>
    <row r="176" spans="1:14" ht="13.8" thickBot="1">
      <c r="A176" s="340" t="s">
        <v>249</v>
      </c>
      <c r="B176" s="335"/>
      <c r="C176" s="336"/>
      <c r="D176" s="336"/>
      <c r="E176" s="336"/>
      <c r="F176" s="336"/>
      <c r="G176" s="336"/>
      <c r="H176" s="336"/>
      <c r="I176" s="336"/>
      <c r="J176" s="336"/>
      <c r="K176" s="336"/>
      <c r="L176" s="336"/>
      <c r="M176" s="337"/>
      <c r="N176" s="337">
        <f>SUM(B176:M176)</f>
        <v>0</v>
      </c>
    </row>
    <row r="177" spans="1:14" ht="13.8" thickBot="1"/>
    <row r="178" spans="1:14" ht="24.9" customHeight="1">
      <c r="A178" s="289"/>
      <c r="B178" s="2310" t="s">
        <v>297</v>
      </c>
      <c r="C178" s="2311"/>
      <c r="D178" s="2311"/>
      <c r="E178" s="2311"/>
      <c r="F178" s="2311"/>
      <c r="G178" s="2311"/>
      <c r="H178" s="2311"/>
      <c r="I178" s="2311"/>
      <c r="J178" s="2311"/>
      <c r="K178" s="2311"/>
      <c r="L178" s="2311"/>
      <c r="M178" s="2311"/>
      <c r="N178" s="2312"/>
    </row>
    <row r="179" spans="1:14" ht="24.9" customHeight="1" thickBot="1">
      <c r="A179" s="290" t="s">
        <v>92</v>
      </c>
      <c r="B179" s="291" t="s">
        <v>1</v>
      </c>
      <c r="C179" s="291" t="s">
        <v>2</v>
      </c>
      <c r="D179" s="291" t="s">
        <v>3</v>
      </c>
      <c r="E179" s="291" t="s">
        <v>4</v>
      </c>
      <c r="F179" s="291" t="s">
        <v>5</v>
      </c>
      <c r="G179" s="291" t="s">
        <v>6</v>
      </c>
      <c r="H179" s="291" t="s">
        <v>7</v>
      </c>
      <c r="I179" s="291" t="s">
        <v>8</v>
      </c>
      <c r="J179" s="291" t="s">
        <v>9</v>
      </c>
      <c r="K179" s="291" t="s">
        <v>10</v>
      </c>
      <c r="L179" s="291" t="s">
        <v>11</v>
      </c>
      <c r="M179" s="291" t="s">
        <v>12</v>
      </c>
      <c r="N179" s="292" t="s">
        <v>13</v>
      </c>
    </row>
    <row r="180" spans="1:14">
      <c r="A180" s="339" t="s">
        <v>247</v>
      </c>
      <c r="B180" s="299"/>
      <c r="C180" s="300"/>
      <c r="D180" s="300"/>
      <c r="E180" s="300"/>
      <c r="F180" s="300"/>
      <c r="G180" s="300"/>
      <c r="H180" s="300"/>
      <c r="I180" s="300"/>
      <c r="J180" s="300"/>
      <c r="K180" s="300"/>
      <c r="L180" s="300"/>
      <c r="M180" s="301"/>
      <c r="N180" s="324">
        <f>SUM(B180:M180)</f>
        <v>0</v>
      </c>
    </row>
    <row r="181" spans="1:14">
      <c r="A181" s="325" t="s">
        <v>245</v>
      </c>
      <c r="B181" s="304"/>
      <c r="C181" s="305"/>
      <c r="D181" s="305"/>
      <c r="E181" s="305"/>
      <c r="F181" s="305"/>
      <c r="G181" s="305"/>
      <c r="H181" s="305"/>
      <c r="I181" s="305"/>
      <c r="J181" s="305"/>
      <c r="K181" s="305"/>
      <c r="L181" s="305"/>
      <c r="M181" s="306"/>
      <c r="N181" s="306">
        <f>SUM(B181:M181)</f>
        <v>0</v>
      </c>
    </row>
    <row r="182" spans="1:14">
      <c r="A182" s="326" t="s">
        <v>248</v>
      </c>
      <c r="B182" s="309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1"/>
      <c r="N182" s="327">
        <f>SUM(B182:M182)</f>
        <v>0</v>
      </c>
    </row>
    <row r="183" spans="1:14" ht="13.8" thickBot="1">
      <c r="A183" s="340" t="s">
        <v>249</v>
      </c>
      <c r="B183" s="335"/>
      <c r="C183" s="336"/>
      <c r="D183" s="336"/>
      <c r="E183" s="336"/>
      <c r="F183" s="336"/>
      <c r="G183" s="336"/>
      <c r="H183" s="336"/>
      <c r="I183" s="336"/>
      <c r="J183" s="336"/>
      <c r="K183" s="336"/>
      <c r="L183" s="336"/>
      <c r="M183" s="337"/>
      <c r="N183" s="337">
        <f>SUM(B183:M183)</f>
        <v>0</v>
      </c>
    </row>
    <row r="184" spans="1:14" ht="13.8" thickBot="1"/>
    <row r="185" spans="1:14" ht="24.9" customHeight="1">
      <c r="A185" s="289"/>
      <c r="B185" s="2310" t="s">
        <v>297</v>
      </c>
      <c r="C185" s="2311"/>
      <c r="D185" s="2311"/>
      <c r="E185" s="2311"/>
      <c r="F185" s="2311"/>
      <c r="G185" s="2311"/>
      <c r="H185" s="2311"/>
      <c r="I185" s="2311"/>
      <c r="J185" s="2311"/>
      <c r="K185" s="2311"/>
      <c r="L185" s="2311"/>
      <c r="M185" s="2311"/>
      <c r="N185" s="2312"/>
    </row>
    <row r="186" spans="1:14" ht="24.9" customHeight="1" thickBot="1">
      <c r="A186" s="290" t="s">
        <v>251</v>
      </c>
      <c r="B186" s="291" t="s">
        <v>1</v>
      </c>
      <c r="C186" s="291" t="s">
        <v>2</v>
      </c>
      <c r="D186" s="291" t="s">
        <v>3</v>
      </c>
      <c r="E186" s="291" t="s">
        <v>4</v>
      </c>
      <c r="F186" s="291" t="s">
        <v>5</v>
      </c>
      <c r="G186" s="291" t="s">
        <v>6</v>
      </c>
      <c r="H186" s="291" t="s">
        <v>7</v>
      </c>
      <c r="I186" s="291" t="s">
        <v>8</v>
      </c>
      <c r="J186" s="291" t="s">
        <v>9</v>
      </c>
      <c r="K186" s="291" t="s">
        <v>10</v>
      </c>
      <c r="L186" s="291" t="s">
        <v>11</v>
      </c>
      <c r="M186" s="291" t="s">
        <v>12</v>
      </c>
      <c r="N186" s="292" t="s">
        <v>13</v>
      </c>
    </row>
    <row r="187" spans="1:14">
      <c r="A187" s="339" t="s">
        <v>247</v>
      </c>
      <c r="B187" s="299"/>
      <c r="C187" s="300"/>
      <c r="D187" s="300"/>
      <c r="E187" s="300"/>
      <c r="F187" s="300"/>
      <c r="G187" s="300"/>
      <c r="H187" s="300"/>
      <c r="I187" s="300"/>
      <c r="J187" s="300"/>
      <c r="K187" s="300"/>
      <c r="L187" s="300"/>
      <c r="M187" s="301"/>
      <c r="N187" s="324">
        <f>SUM(B187:M187)</f>
        <v>0</v>
      </c>
    </row>
    <row r="188" spans="1:14">
      <c r="A188" s="325" t="s">
        <v>245</v>
      </c>
      <c r="B188" s="304"/>
      <c r="C188" s="305"/>
      <c r="D188" s="305"/>
      <c r="E188" s="305"/>
      <c r="F188" s="305"/>
      <c r="G188" s="305"/>
      <c r="H188" s="305"/>
      <c r="I188" s="305"/>
      <c r="J188" s="305"/>
      <c r="K188" s="305"/>
      <c r="L188" s="305"/>
      <c r="M188" s="306"/>
      <c r="N188" s="306">
        <f>SUM(B188:M188)</f>
        <v>0</v>
      </c>
    </row>
    <row r="189" spans="1:14">
      <c r="A189" s="326" t="s">
        <v>248</v>
      </c>
      <c r="B189" s="309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1"/>
      <c r="N189" s="327">
        <f>SUM(B189:M189)</f>
        <v>0</v>
      </c>
    </row>
    <row r="190" spans="1:14" ht="13.8" thickBot="1">
      <c r="A190" s="340" t="s">
        <v>249</v>
      </c>
      <c r="B190" s="335"/>
      <c r="C190" s="336"/>
      <c r="D190" s="336"/>
      <c r="E190" s="336"/>
      <c r="F190" s="336"/>
      <c r="G190" s="336"/>
      <c r="H190" s="336"/>
      <c r="I190" s="336"/>
      <c r="J190" s="336"/>
      <c r="K190" s="336"/>
      <c r="L190" s="336"/>
      <c r="M190" s="337"/>
      <c r="N190" s="337">
        <f>SUM(B190:M190)</f>
        <v>0</v>
      </c>
    </row>
    <row r="191" spans="1:14" ht="13.8" thickBot="1"/>
    <row r="192" spans="1:14" ht="24.9" customHeight="1">
      <c r="A192" s="289"/>
      <c r="B192" s="2310" t="s">
        <v>297</v>
      </c>
      <c r="C192" s="2311"/>
      <c r="D192" s="2311"/>
      <c r="E192" s="2311"/>
      <c r="F192" s="2311"/>
      <c r="G192" s="2311"/>
      <c r="H192" s="2311"/>
      <c r="I192" s="2311"/>
      <c r="J192" s="2311"/>
      <c r="K192" s="2311"/>
      <c r="L192" s="2311"/>
      <c r="M192" s="2311"/>
      <c r="N192" s="2312"/>
    </row>
    <row r="193" spans="1:14" ht="24.9" customHeight="1" thickBot="1">
      <c r="A193" s="290" t="s">
        <v>94</v>
      </c>
      <c r="B193" s="291" t="s">
        <v>1</v>
      </c>
      <c r="C193" s="291" t="s">
        <v>2</v>
      </c>
      <c r="D193" s="291" t="s">
        <v>3</v>
      </c>
      <c r="E193" s="291" t="s">
        <v>4</v>
      </c>
      <c r="F193" s="291" t="s">
        <v>5</v>
      </c>
      <c r="G193" s="291" t="s">
        <v>6</v>
      </c>
      <c r="H193" s="291" t="s">
        <v>7</v>
      </c>
      <c r="I193" s="291" t="s">
        <v>8</v>
      </c>
      <c r="J193" s="291" t="s">
        <v>9</v>
      </c>
      <c r="K193" s="291" t="s">
        <v>10</v>
      </c>
      <c r="L193" s="291" t="s">
        <v>11</v>
      </c>
      <c r="M193" s="291" t="s">
        <v>12</v>
      </c>
      <c r="N193" s="292" t="s">
        <v>13</v>
      </c>
    </row>
    <row r="194" spans="1:14">
      <c r="A194" s="339" t="s">
        <v>247</v>
      </c>
      <c r="B194" s="299"/>
      <c r="C194" s="300"/>
      <c r="D194" s="300"/>
      <c r="E194" s="300"/>
      <c r="F194" s="300"/>
      <c r="G194" s="300"/>
      <c r="H194" s="300"/>
      <c r="I194" s="300"/>
      <c r="J194" s="300"/>
      <c r="K194" s="300"/>
      <c r="L194" s="300"/>
      <c r="M194" s="301"/>
      <c r="N194" s="324">
        <f>SUM(B194:M194)</f>
        <v>0</v>
      </c>
    </row>
    <row r="195" spans="1:14">
      <c r="A195" s="325" t="s">
        <v>245</v>
      </c>
      <c r="B195" s="304"/>
      <c r="C195" s="305"/>
      <c r="D195" s="305"/>
      <c r="E195" s="305"/>
      <c r="F195" s="305"/>
      <c r="G195" s="305"/>
      <c r="H195" s="305"/>
      <c r="I195" s="305"/>
      <c r="J195" s="305"/>
      <c r="K195" s="305"/>
      <c r="L195" s="305"/>
      <c r="M195" s="306"/>
      <c r="N195" s="306">
        <f>SUM(B195:M195)</f>
        <v>0</v>
      </c>
    </row>
    <row r="196" spans="1:14">
      <c r="A196" s="326" t="s">
        <v>248</v>
      </c>
      <c r="B196" s="309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1"/>
      <c r="N196" s="327">
        <f>SUM(B196:M196)</f>
        <v>0</v>
      </c>
    </row>
    <row r="197" spans="1:14" ht="13.8" thickBot="1">
      <c r="A197" s="340" t="s">
        <v>249</v>
      </c>
      <c r="B197" s="335"/>
      <c r="C197" s="336"/>
      <c r="D197" s="336"/>
      <c r="E197" s="336"/>
      <c r="F197" s="336"/>
      <c r="G197" s="336"/>
      <c r="H197" s="336"/>
      <c r="I197" s="336"/>
      <c r="J197" s="336"/>
      <c r="K197" s="336"/>
      <c r="L197" s="336"/>
      <c r="M197" s="337"/>
      <c r="N197" s="337">
        <f>SUM(B197:M197)</f>
        <v>0</v>
      </c>
    </row>
    <row r="198" spans="1:14" ht="13.8" thickBot="1"/>
    <row r="199" spans="1:14" ht="24.9" customHeight="1">
      <c r="A199" s="289"/>
      <c r="B199" s="2310" t="s">
        <v>297</v>
      </c>
      <c r="C199" s="2311"/>
      <c r="D199" s="2311"/>
      <c r="E199" s="2311"/>
      <c r="F199" s="2311"/>
      <c r="G199" s="2311"/>
      <c r="H199" s="2311"/>
      <c r="I199" s="2311"/>
      <c r="J199" s="2311"/>
      <c r="K199" s="2311"/>
      <c r="L199" s="2311"/>
      <c r="M199" s="2311"/>
      <c r="N199" s="2312"/>
    </row>
    <row r="200" spans="1:14" ht="24.9" customHeight="1" thickBot="1">
      <c r="A200" s="290" t="s">
        <v>95</v>
      </c>
      <c r="B200" s="291" t="s">
        <v>1</v>
      </c>
      <c r="C200" s="291" t="s">
        <v>2</v>
      </c>
      <c r="D200" s="291" t="s">
        <v>3</v>
      </c>
      <c r="E200" s="291" t="s">
        <v>4</v>
      </c>
      <c r="F200" s="291" t="s">
        <v>5</v>
      </c>
      <c r="G200" s="291" t="s">
        <v>6</v>
      </c>
      <c r="H200" s="291" t="s">
        <v>7</v>
      </c>
      <c r="I200" s="291" t="s">
        <v>8</v>
      </c>
      <c r="J200" s="291" t="s">
        <v>9</v>
      </c>
      <c r="K200" s="291" t="s">
        <v>10</v>
      </c>
      <c r="L200" s="291" t="s">
        <v>11</v>
      </c>
      <c r="M200" s="291" t="s">
        <v>12</v>
      </c>
      <c r="N200" s="292" t="s">
        <v>13</v>
      </c>
    </row>
    <row r="201" spans="1:14">
      <c r="A201" s="339" t="s">
        <v>247</v>
      </c>
      <c r="B201" s="299"/>
      <c r="C201" s="300"/>
      <c r="D201" s="300"/>
      <c r="E201" s="300"/>
      <c r="F201" s="300"/>
      <c r="G201" s="300"/>
      <c r="H201" s="300"/>
      <c r="I201" s="300"/>
      <c r="J201" s="300"/>
      <c r="K201" s="300"/>
      <c r="L201" s="300"/>
      <c r="M201" s="301"/>
      <c r="N201" s="324">
        <f>SUM(B201:M201)</f>
        <v>0</v>
      </c>
    </row>
    <row r="202" spans="1:14">
      <c r="A202" s="325" t="s">
        <v>245</v>
      </c>
      <c r="B202" s="304"/>
      <c r="C202" s="305"/>
      <c r="D202" s="305"/>
      <c r="E202" s="305"/>
      <c r="F202" s="305"/>
      <c r="G202" s="305"/>
      <c r="H202" s="305"/>
      <c r="I202" s="305"/>
      <c r="J202" s="305"/>
      <c r="K202" s="305"/>
      <c r="L202" s="305"/>
      <c r="M202" s="306"/>
      <c r="N202" s="306">
        <f>SUM(B202:M202)</f>
        <v>0</v>
      </c>
    </row>
    <row r="203" spans="1:14">
      <c r="A203" s="326" t="s">
        <v>248</v>
      </c>
      <c r="B203" s="309"/>
      <c r="C203" s="310"/>
      <c r="D203" s="310"/>
      <c r="E203" s="310"/>
      <c r="F203" s="310"/>
      <c r="G203" s="310"/>
      <c r="H203" s="310"/>
      <c r="I203" s="310"/>
      <c r="J203" s="310"/>
      <c r="K203" s="310"/>
      <c r="L203" s="310"/>
      <c r="M203" s="311"/>
      <c r="N203" s="327">
        <f>SUM(B203:M203)</f>
        <v>0</v>
      </c>
    </row>
    <row r="204" spans="1:14" ht="13.8" thickBot="1">
      <c r="A204" s="340" t="s">
        <v>249</v>
      </c>
      <c r="B204" s="335"/>
      <c r="C204" s="336"/>
      <c r="D204" s="336"/>
      <c r="E204" s="336"/>
      <c r="F204" s="336"/>
      <c r="G204" s="336"/>
      <c r="H204" s="336"/>
      <c r="I204" s="336"/>
      <c r="J204" s="336"/>
      <c r="K204" s="336"/>
      <c r="L204" s="336"/>
      <c r="M204" s="337"/>
      <c r="N204" s="337">
        <f>SUM(B204:M204)</f>
        <v>0</v>
      </c>
    </row>
    <row r="205" spans="1:14" ht="13.8" thickBot="1"/>
    <row r="206" spans="1:14" ht="24.9" customHeight="1">
      <c r="A206" s="289"/>
      <c r="B206" s="2310" t="s">
        <v>297</v>
      </c>
      <c r="C206" s="2311"/>
      <c r="D206" s="2311"/>
      <c r="E206" s="2311"/>
      <c r="F206" s="2311"/>
      <c r="G206" s="2311"/>
      <c r="H206" s="2311"/>
      <c r="I206" s="2311"/>
      <c r="J206" s="2311"/>
      <c r="K206" s="2311"/>
      <c r="L206" s="2311"/>
      <c r="M206" s="2311"/>
      <c r="N206" s="2312"/>
    </row>
    <row r="207" spans="1:14" ht="24.9" customHeight="1" thickBot="1">
      <c r="A207" s="290" t="s">
        <v>96</v>
      </c>
      <c r="B207" s="291" t="s">
        <v>1</v>
      </c>
      <c r="C207" s="291" t="s">
        <v>2</v>
      </c>
      <c r="D207" s="291" t="s">
        <v>3</v>
      </c>
      <c r="E207" s="291" t="s">
        <v>4</v>
      </c>
      <c r="F207" s="291" t="s">
        <v>5</v>
      </c>
      <c r="G207" s="291" t="s">
        <v>6</v>
      </c>
      <c r="H207" s="291" t="s">
        <v>7</v>
      </c>
      <c r="I207" s="291" t="s">
        <v>8</v>
      </c>
      <c r="J207" s="291" t="s">
        <v>9</v>
      </c>
      <c r="K207" s="291" t="s">
        <v>10</v>
      </c>
      <c r="L207" s="291" t="s">
        <v>11</v>
      </c>
      <c r="M207" s="291" t="s">
        <v>12</v>
      </c>
      <c r="N207" s="292" t="s">
        <v>13</v>
      </c>
    </row>
    <row r="208" spans="1:14">
      <c r="A208" s="339" t="s">
        <v>247</v>
      </c>
      <c r="B208" s="299"/>
      <c r="C208" s="300"/>
      <c r="D208" s="300"/>
      <c r="E208" s="300"/>
      <c r="F208" s="300"/>
      <c r="G208" s="300"/>
      <c r="H208" s="300"/>
      <c r="I208" s="300"/>
      <c r="J208" s="300"/>
      <c r="K208" s="300"/>
      <c r="L208" s="300"/>
      <c r="M208" s="301"/>
      <c r="N208" s="324">
        <f>SUM(B208:M208)</f>
        <v>0</v>
      </c>
    </row>
    <row r="209" spans="1:14">
      <c r="A209" s="325" t="s">
        <v>245</v>
      </c>
      <c r="B209" s="304"/>
      <c r="C209" s="305"/>
      <c r="D209" s="305"/>
      <c r="E209" s="305"/>
      <c r="F209" s="305"/>
      <c r="G209" s="305"/>
      <c r="H209" s="305"/>
      <c r="I209" s="305"/>
      <c r="J209" s="305"/>
      <c r="K209" s="305"/>
      <c r="L209" s="305"/>
      <c r="M209" s="306"/>
      <c r="N209" s="306">
        <f>SUM(B209:M209)</f>
        <v>0</v>
      </c>
    </row>
    <row r="210" spans="1:14">
      <c r="A210" s="326" t="s">
        <v>248</v>
      </c>
      <c r="B210" s="309"/>
      <c r="C210" s="310"/>
      <c r="D210" s="310"/>
      <c r="E210" s="310"/>
      <c r="F210" s="310"/>
      <c r="G210" s="310"/>
      <c r="H210" s="310"/>
      <c r="I210" s="310"/>
      <c r="J210" s="310"/>
      <c r="K210" s="310"/>
      <c r="L210" s="310"/>
      <c r="M210" s="311"/>
      <c r="N210" s="327">
        <f>SUM(B210:M210)</f>
        <v>0</v>
      </c>
    </row>
    <row r="211" spans="1:14" ht="13.8" thickBot="1">
      <c r="A211" s="340" t="s">
        <v>249</v>
      </c>
      <c r="B211" s="335"/>
      <c r="C211" s="336"/>
      <c r="D211" s="336"/>
      <c r="E211" s="336"/>
      <c r="F211" s="336"/>
      <c r="G211" s="336"/>
      <c r="H211" s="336"/>
      <c r="I211" s="336"/>
      <c r="J211" s="336"/>
      <c r="K211" s="336"/>
      <c r="L211" s="336"/>
      <c r="M211" s="337"/>
      <c r="N211" s="337">
        <f>SUM(B211:M211)</f>
        <v>0</v>
      </c>
    </row>
    <row r="212" spans="1:14" ht="13.8" thickBot="1"/>
    <row r="213" spans="1:14" ht="24.9" customHeight="1">
      <c r="A213" s="289"/>
      <c r="B213" s="2310" t="s">
        <v>297</v>
      </c>
      <c r="C213" s="2311"/>
      <c r="D213" s="2311"/>
      <c r="E213" s="2311"/>
      <c r="F213" s="2311"/>
      <c r="G213" s="2311"/>
      <c r="H213" s="2311"/>
      <c r="I213" s="2311"/>
      <c r="J213" s="2311"/>
      <c r="K213" s="2311"/>
      <c r="L213" s="2311"/>
      <c r="M213" s="2311"/>
      <c r="N213" s="2312"/>
    </row>
    <row r="214" spans="1:14" ht="24.9" customHeight="1" thickBot="1">
      <c r="A214" s="290" t="s">
        <v>97</v>
      </c>
      <c r="B214" s="291" t="s">
        <v>1</v>
      </c>
      <c r="C214" s="291" t="s">
        <v>2</v>
      </c>
      <c r="D214" s="291" t="s">
        <v>3</v>
      </c>
      <c r="E214" s="291" t="s">
        <v>4</v>
      </c>
      <c r="F214" s="291" t="s">
        <v>5</v>
      </c>
      <c r="G214" s="291" t="s">
        <v>6</v>
      </c>
      <c r="H214" s="291" t="s">
        <v>7</v>
      </c>
      <c r="I214" s="291" t="s">
        <v>8</v>
      </c>
      <c r="J214" s="291" t="s">
        <v>9</v>
      </c>
      <c r="K214" s="291" t="s">
        <v>10</v>
      </c>
      <c r="L214" s="291" t="s">
        <v>11</v>
      </c>
      <c r="M214" s="291" t="s">
        <v>12</v>
      </c>
      <c r="N214" s="292" t="s">
        <v>13</v>
      </c>
    </row>
    <row r="215" spans="1:14">
      <c r="A215" s="339" t="s">
        <v>247</v>
      </c>
      <c r="B215" s="299"/>
      <c r="C215" s="300"/>
      <c r="D215" s="300"/>
      <c r="E215" s="300"/>
      <c r="F215" s="300"/>
      <c r="G215" s="300"/>
      <c r="H215" s="300"/>
      <c r="I215" s="300"/>
      <c r="J215" s="300"/>
      <c r="K215" s="300"/>
      <c r="L215" s="300"/>
      <c r="M215" s="301"/>
      <c r="N215" s="324">
        <f>SUM(B215:M215)</f>
        <v>0</v>
      </c>
    </row>
    <row r="216" spans="1:14">
      <c r="A216" s="325" t="s">
        <v>245</v>
      </c>
      <c r="B216" s="304"/>
      <c r="C216" s="305"/>
      <c r="D216" s="305"/>
      <c r="E216" s="305"/>
      <c r="F216" s="305"/>
      <c r="G216" s="305"/>
      <c r="H216" s="305"/>
      <c r="I216" s="305"/>
      <c r="J216" s="305"/>
      <c r="K216" s="305"/>
      <c r="L216" s="305"/>
      <c r="M216" s="306"/>
      <c r="N216" s="306">
        <f>SUM(B216:M216)</f>
        <v>0</v>
      </c>
    </row>
    <row r="217" spans="1:14">
      <c r="A217" s="326" t="s">
        <v>248</v>
      </c>
      <c r="B217" s="309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1"/>
      <c r="N217" s="327">
        <f>SUM(B217:M217)</f>
        <v>0</v>
      </c>
    </row>
    <row r="218" spans="1:14" ht="13.8" thickBot="1">
      <c r="A218" s="340" t="s">
        <v>249</v>
      </c>
      <c r="B218" s="335"/>
      <c r="C218" s="336"/>
      <c r="D218" s="336"/>
      <c r="E218" s="336"/>
      <c r="F218" s="336"/>
      <c r="G218" s="336"/>
      <c r="H218" s="336"/>
      <c r="I218" s="336"/>
      <c r="J218" s="336"/>
      <c r="K218" s="336"/>
      <c r="L218" s="336"/>
      <c r="M218" s="337"/>
      <c r="N218" s="337">
        <f>SUM(B218:M218)</f>
        <v>0</v>
      </c>
    </row>
    <row r="219" spans="1:14" ht="13.8" thickBot="1"/>
    <row r="220" spans="1:14" ht="24.9" customHeight="1">
      <c r="A220" s="289"/>
      <c r="B220" s="2310" t="s">
        <v>297</v>
      </c>
      <c r="C220" s="2311"/>
      <c r="D220" s="2311"/>
      <c r="E220" s="2311"/>
      <c r="F220" s="2311"/>
      <c r="G220" s="2311"/>
      <c r="H220" s="2311"/>
      <c r="I220" s="2311"/>
      <c r="J220" s="2311"/>
      <c r="K220" s="2311"/>
      <c r="L220" s="2311"/>
      <c r="M220" s="2311"/>
      <c r="N220" s="2312"/>
    </row>
    <row r="221" spans="1:14" ht="24.9" customHeight="1" thickBot="1">
      <c r="A221" s="290" t="s">
        <v>98</v>
      </c>
      <c r="B221" s="291" t="s">
        <v>1</v>
      </c>
      <c r="C221" s="291" t="s">
        <v>2</v>
      </c>
      <c r="D221" s="291" t="s">
        <v>3</v>
      </c>
      <c r="E221" s="291" t="s">
        <v>4</v>
      </c>
      <c r="F221" s="291" t="s">
        <v>5</v>
      </c>
      <c r="G221" s="291" t="s">
        <v>6</v>
      </c>
      <c r="H221" s="291" t="s">
        <v>7</v>
      </c>
      <c r="I221" s="291" t="s">
        <v>8</v>
      </c>
      <c r="J221" s="291" t="s">
        <v>9</v>
      </c>
      <c r="K221" s="291" t="s">
        <v>10</v>
      </c>
      <c r="L221" s="291" t="s">
        <v>11</v>
      </c>
      <c r="M221" s="291" t="s">
        <v>12</v>
      </c>
      <c r="N221" s="292" t="s">
        <v>13</v>
      </c>
    </row>
    <row r="222" spans="1:14">
      <c r="A222" s="339" t="s">
        <v>247</v>
      </c>
      <c r="B222" s="299"/>
      <c r="C222" s="300"/>
      <c r="D222" s="300"/>
      <c r="E222" s="300"/>
      <c r="F222" s="300"/>
      <c r="G222" s="300"/>
      <c r="H222" s="300"/>
      <c r="I222" s="300"/>
      <c r="J222" s="300"/>
      <c r="K222" s="300"/>
      <c r="L222" s="300"/>
      <c r="M222" s="301"/>
      <c r="N222" s="324">
        <f>SUM(B222:M222)</f>
        <v>0</v>
      </c>
    </row>
    <row r="223" spans="1:14">
      <c r="A223" s="325" t="s">
        <v>245</v>
      </c>
      <c r="B223" s="304"/>
      <c r="C223" s="305"/>
      <c r="D223" s="305"/>
      <c r="E223" s="305"/>
      <c r="F223" s="305"/>
      <c r="G223" s="305"/>
      <c r="H223" s="305"/>
      <c r="I223" s="305"/>
      <c r="J223" s="305"/>
      <c r="K223" s="305"/>
      <c r="L223" s="305"/>
      <c r="M223" s="306"/>
      <c r="N223" s="306">
        <f>SUM(B223:M223)</f>
        <v>0</v>
      </c>
    </row>
    <row r="224" spans="1:14">
      <c r="A224" s="326" t="s">
        <v>248</v>
      </c>
      <c r="B224" s="309"/>
      <c r="C224" s="310"/>
      <c r="D224" s="310"/>
      <c r="E224" s="310"/>
      <c r="F224" s="310"/>
      <c r="G224" s="310"/>
      <c r="H224" s="310"/>
      <c r="I224" s="310"/>
      <c r="J224" s="310"/>
      <c r="K224" s="310"/>
      <c r="L224" s="310"/>
      <c r="M224" s="311"/>
      <c r="N224" s="327">
        <f>SUM(B224:M224)</f>
        <v>0</v>
      </c>
    </row>
    <row r="225" spans="1:14" ht="13.8" thickBot="1">
      <c r="A225" s="340" t="s">
        <v>249</v>
      </c>
      <c r="B225" s="335"/>
      <c r="C225" s="336"/>
      <c r="D225" s="336"/>
      <c r="E225" s="336"/>
      <c r="F225" s="336"/>
      <c r="G225" s="336"/>
      <c r="H225" s="336"/>
      <c r="I225" s="336"/>
      <c r="J225" s="336"/>
      <c r="K225" s="336"/>
      <c r="L225" s="336"/>
      <c r="M225" s="337"/>
      <c r="N225" s="337">
        <f>SUM(B225:M225)</f>
        <v>0</v>
      </c>
    </row>
    <row r="226" spans="1:14" ht="13.8" thickBot="1"/>
    <row r="227" spans="1:14" ht="24.9" customHeight="1">
      <c r="A227" s="289"/>
      <c r="B227" s="2310" t="s">
        <v>297</v>
      </c>
      <c r="C227" s="2311"/>
      <c r="D227" s="2311"/>
      <c r="E227" s="2311"/>
      <c r="F227" s="2311"/>
      <c r="G227" s="2311"/>
      <c r="H227" s="2311"/>
      <c r="I227" s="2311"/>
      <c r="J227" s="2311"/>
      <c r="K227" s="2311"/>
      <c r="L227" s="2311"/>
      <c r="M227" s="2311"/>
      <c r="N227" s="2312"/>
    </row>
    <row r="228" spans="1:14" ht="24.9" customHeight="1" thickBot="1">
      <c r="A228" s="290" t="s">
        <v>99</v>
      </c>
      <c r="B228" s="291" t="s">
        <v>1</v>
      </c>
      <c r="C228" s="291" t="s">
        <v>2</v>
      </c>
      <c r="D228" s="291" t="s">
        <v>3</v>
      </c>
      <c r="E228" s="291" t="s">
        <v>4</v>
      </c>
      <c r="F228" s="291" t="s">
        <v>5</v>
      </c>
      <c r="G228" s="291" t="s">
        <v>6</v>
      </c>
      <c r="H228" s="291" t="s">
        <v>7</v>
      </c>
      <c r="I228" s="291" t="s">
        <v>8</v>
      </c>
      <c r="J228" s="291" t="s">
        <v>9</v>
      </c>
      <c r="K228" s="291" t="s">
        <v>10</v>
      </c>
      <c r="L228" s="291" t="s">
        <v>11</v>
      </c>
      <c r="M228" s="291" t="s">
        <v>12</v>
      </c>
      <c r="N228" s="292" t="s">
        <v>13</v>
      </c>
    </row>
    <row r="229" spans="1:14">
      <c r="A229" s="339" t="s">
        <v>247</v>
      </c>
      <c r="B229" s="299"/>
      <c r="C229" s="300"/>
      <c r="D229" s="300"/>
      <c r="E229" s="300"/>
      <c r="F229" s="300"/>
      <c r="G229" s="300"/>
      <c r="H229" s="300"/>
      <c r="I229" s="300"/>
      <c r="J229" s="300"/>
      <c r="K229" s="300"/>
      <c r="L229" s="300"/>
      <c r="M229" s="301"/>
      <c r="N229" s="324">
        <f>SUM(B229:M229)</f>
        <v>0</v>
      </c>
    </row>
    <row r="230" spans="1:14">
      <c r="A230" s="325" t="s">
        <v>245</v>
      </c>
      <c r="B230" s="304"/>
      <c r="C230" s="305"/>
      <c r="D230" s="305"/>
      <c r="E230" s="305"/>
      <c r="F230" s="305"/>
      <c r="G230" s="305"/>
      <c r="H230" s="305"/>
      <c r="I230" s="305"/>
      <c r="J230" s="305"/>
      <c r="K230" s="305"/>
      <c r="L230" s="305"/>
      <c r="M230" s="306"/>
      <c r="N230" s="306">
        <f>SUM(B230:M230)</f>
        <v>0</v>
      </c>
    </row>
    <row r="231" spans="1:14">
      <c r="A231" s="326" t="s">
        <v>248</v>
      </c>
      <c r="B231" s="309"/>
      <c r="C231" s="310"/>
      <c r="D231" s="310"/>
      <c r="E231" s="310"/>
      <c r="F231" s="310"/>
      <c r="G231" s="310"/>
      <c r="H231" s="310"/>
      <c r="I231" s="310"/>
      <c r="J231" s="310"/>
      <c r="K231" s="310"/>
      <c r="L231" s="310"/>
      <c r="M231" s="311"/>
      <c r="N231" s="327">
        <f>SUM(B231:M231)</f>
        <v>0</v>
      </c>
    </row>
    <row r="232" spans="1:14" ht="13.8" thickBot="1">
      <c r="A232" s="340" t="s">
        <v>249</v>
      </c>
      <c r="B232" s="335"/>
      <c r="C232" s="336"/>
      <c r="D232" s="336"/>
      <c r="E232" s="336"/>
      <c r="F232" s="336"/>
      <c r="G232" s="336"/>
      <c r="H232" s="336"/>
      <c r="I232" s="336"/>
      <c r="J232" s="336"/>
      <c r="K232" s="336"/>
      <c r="L232" s="336"/>
      <c r="M232" s="337"/>
      <c r="N232" s="337">
        <f>SUM(B232:M232)</f>
        <v>0</v>
      </c>
    </row>
    <row r="233" spans="1:14" ht="13.8" thickBot="1"/>
    <row r="234" spans="1:14" ht="24.9" customHeight="1">
      <c r="A234" s="289"/>
      <c r="B234" s="2310" t="s">
        <v>297</v>
      </c>
      <c r="C234" s="2311"/>
      <c r="D234" s="2311"/>
      <c r="E234" s="2311"/>
      <c r="F234" s="2311"/>
      <c r="G234" s="2311"/>
      <c r="H234" s="2311"/>
      <c r="I234" s="2311"/>
      <c r="J234" s="2311"/>
      <c r="K234" s="2311"/>
      <c r="L234" s="2311"/>
      <c r="M234" s="2311"/>
      <c r="N234" s="2312"/>
    </row>
    <row r="235" spans="1:14" ht="24.9" customHeight="1" thickBot="1">
      <c r="A235" s="290" t="s">
        <v>100</v>
      </c>
      <c r="B235" s="291" t="s">
        <v>1</v>
      </c>
      <c r="C235" s="291" t="s">
        <v>2</v>
      </c>
      <c r="D235" s="291" t="s">
        <v>3</v>
      </c>
      <c r="E235" s="291" t="s">
        <v>4</v>
      </c>
      <c r="F235" s="291" t="s">
        <v>5</v>
      </c>
      <c r="G235" s="291" t="s">
        <v>6</v>
      </c>
      <c r="H235" s="291" t="s">
        <v>7</v>
      </c>
      <c r="I235" s="291" t="s">
        <v>8</v>
      </c>
      <c r="J235" s="291" t="s">
        <v>9</v>
      </c>
      <c r="K235" s="291" t="s">
        <v>10</v>
      </c>
      <c r="L235" s="291" t="s">
        <v>11</v>
      </c>
      <c r="M235" s="291" t="s">
        <v>12</v>
      </c>
      <c r="N235" s="292" t="s">
        <v>13</v>
      </c>
    </row>
    <row r="236" spans="1:14">
      <c r="A236" s="339" t="s">
        <v>247</v>
      </c>
      <c r="B236" s="299"/>
      <c r="C236" s="300"/>
      <c r="D236" s="300"/>
      <c r="E236" s="300"/>
      <c r="F236" s="300"/>
      <c r="G236" s="300"/>
      <c r="H236" s="300"/>
      <c r="I236" s="300"/>
      <c r="J236" s="300"/>
      <c r="K236" s="300"/>
      <c r="L236" s="300"/>
      <c r="M236" s="301"/>
      <c r="N236" s="324">
        <f>SUM(B236:M236)</f>
        <v>0</v>
      </c>
    </row>
    <row r="237" spans="1:14">
      <c r="A237" s="325" t="s">
        <v>245</v>
      </c>
      <c r="B237" s="304"/>
      <c r="C237" s="305"/>
      <c r="D237" s="305"/>
      <c r="E237" s="305"/>
      <c r="F237" s="305"/>
      <c r="G237" s="305"/>
      <c r="H237" s="305"/>
      <c r="I237" s="305"/>
      <c r="J237" s="305"/>
      <c r="K237" s="305"/>
      <c r="L237" s="305"/>
      <c r="M237" s="306"/>
      <c r="N237" s="306">
        <f>SUM(B237:M237)</f>
        <v>0</v>
      </c>
    </row>
    <row r="238" spans="1:14">
      <c r="A238" s="326" t="s">
        <v>248</v>
      </c>
      <c r="B238" s="309"/>
      <c r="C238" s="310"/>
      <c r="D238" s="310"/>
      <c r="E238" s="310"/>
      <c r="F238" s="310"/>
      <c r="G238" s="310"/>
      <c r="H238" s="310"/>
      <c r="I238" s="310"/>
      <c r="J238" s="310"/>
      <c r="K238" s="310"/>
      <c r="L238" s="310"/>
      <c r="M238" s="311"/>
      <c r="N238" s="327">
        <f>SUM(B238:M238)</f>
        <v>0</v>
      </c>
    </row>
    <row r="239" spans="1:14" ht="13.8" thickBot="1">
      <c r="A239" s="340" t="s">
        <v>249</v>
      </c>
      <c r="B239" s="335"/>
      <c r="C239" s="336"/>
      <c r="D239" s="336"/>
      <c r="E239" s="336"/>
      <c r="F239" s="336"/>
      <c r="G239" s="336"/>
      <c r="H239" s="336"/>
      <c r="I239" s="336"/>
      <c r="J239" s="336"/>
      <c r="K239" s="336"/>
      <c r="L239" s="336"/>
      <c r="M239" s="337"/>
      <c r="N239" s="337">
        <f>SUM(B239:M239)</f>
        <v>0</v>
      </c>
    </row>
    <row r="240" spans="1:14" ht="13.8" thickBot="1"/>
    <row r="241" spans="1:14" ht="24.9" customHeight="1">
      <c r="A241" s="289"/>
      <c r="B241" s="2310" t="s">
        <v>297</v>
      </c>
      <c r="C241" s="2311"/>
      <c r="D241" s="2311"/>
      <c r="E241" s="2311"/>
      <c r="F241" s="2311"/>
      <c r="G241" s="2311"/>
      <c r="H241" s="2311"/>
      <c r="I241" s="2311"/>
      <c r="J241" s="2311"/>
      <c r="K241" s="2311"/>
      <c r="L241" s="2311"/>
      <c r="M241" s="2311"/>
      <c r="N241" s="2312"/>
    </row>
    <row r="242" spans="1:14" ht="24.9" customHeight="1" thickBot="1">
      <c r="A242" s="290" t="s">
        <v>101</v>
      </c>
      <c r="B242" s="291" t="s">
        <v>1</v>
      </c>
      <c r="C242" s="291" t="s">
        <v>2</v>
      </c>
      <c r="D242" s="291" t="s">
        <v>3</v>
      </c>
      <c r="E242" s="291" t="s">
        <v>4</v>
      </c>
      <c r="F242" s="291" t="s">
        <v>5</v>
      </c>
      <c r="G242" s="291" t="s">
        <v>6</v>
      </c>
      <c r="H242" s="291" t="s">
        <v>7</v>
      </c>
      <c r="I242" s="291" t="s">
        <v>8</v>
      </c>
      <c r="J242" s="291" t="s">
        <v>9</v>
      </c>
      <c r="K242" s="291" t="s">
        <v>10</v>
      </c>
      <c r="L242" s="291" t="s">
        <v>11</v>
      </c>
      <c r="M242" s="291" t="s">
        <v>12</v>
      </c>
      <c r="N242" s="292" t="s">
        <v>13</v>
      </c>
    </row>
    <row r="243" spans="1:14">
      <c r="A243" s="339" t="s">
        <v>247</v>
      </c>
      <c r="B243" s="299"/>
      <c r="C243" s="300"/>
      <c r="D243" s="300"/>
      <c r="E243" s="300"/>
      <c r="F243" s="300"/>
      <c r="G243" s="300"/>
      <c r="H243" s="300"/>
      <c r="I243" s="300"/>
      <c r="J243" s="300"/>
      <c r="K243" s="300"/>
      <c r="L243" s="300"/>
      <c r="M243" s="301"/>
      <c r="N243" s="324">
        <f>SUM(B243:M243)</f>
        <v>0</v>
      </c>
    </row>
    <row r="244" spans="1:14">
      <c r="A244" s="325" t="s">
        <v>245</v>
      </c>
      <c r="B244" s="304"/>
      <c r="C244" s="305"/>
      <c r="D244" s="305"/>
      <c r="E244" s="305"/>
      <c r="F244" s="305"/>
      <c r="G244" s="305"/>
      <c r="H244" s="305"/>
      <c r="I244" s="305"/>
      <c r="J244" s="305"/>
      <c r="K244" s="305"/>
      <c r="L244" s="305"/>
      <c r="M244" s="306"/>
      <c r="N244" s="306">
        <f>SUM(B244:M244)</f>
        <v>0</v>
      </c>
    </row>
    <row r="245" spans="1:14">
      <c r="A245" s="326" t="s">
        <v>248</v>
      </c>
      <c r="B245" s="309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1"/>
      <c r="N245" s="327">
        <f>SUM(B245:M245)</f>
        <v>0</v>
      </c>
    </row>
    <row r="246" spans="1:14" ht="13.8" thickBot="1">
      <c r="A246" s="340" t="s">
        <v>249</v>
      </c>
      <c r="B246" s="335"/>
      <c r="C246" s="336"/>
      <c r="D246" s="336"/>
      <c r="E246" s="336"/>
      <c r="F246" s="336"/>
      <c r="G246" s="336"/>
      <c r="H246" s="336"/>
      <c r="I246" s="336"/>
      <c r="J246" s="336"/>
      <c r="K246" s="336"/>
      <c r="L246" s="336"/>
      <c r="M246" s="337"/>
      <c r="N246" s="337">
        <f>SUM(B246:M246)</f>
        <v>0</v>
      </c>
    </row>
    <row r="247" spans="1:14" ht="13.8" thickBot="1"/>
    <row r="248" spans="1:14" ht="24.9" customHeight="1">
      <c r="A248" s="289"/>
      <c r="B248" s="2310" t="s">
        <v>297</v>
      </c>
      <c r="C248" s="2311"/>
      <c r="D248" s="2311"/>
      <c r="E248" s="2311"/>
      <c r="F248" s="2311"/>
      <c r="G248" s="2311"/>
      <c r="H248" s="2311"/>
      <c r="I248" s="2311"/>
      <c r="J248" s="2311"/>
      <c r="K248" s="2311"/>
      <c r="L248" s="2311"/>
      <c r="M248" s="2311"/>
      <c r="N248" s="2312"/>
    </row>
    <row r="249" spans="1:14" ht="24.9" customHeight="1" thickBot="1">
      <c r="A249" s="290" t="s">
        <v>102</v>
      </c>
      <c r="B249" s="291" t="s">
        <v>1</v>
      </c>
      <c r="C249" s="291" t="s">
        <v>2</v>
      </c>
      <c r="D249" s="291" t="s">
        <v>3</v>
      </c>
      <c r="E249" s="291" t="s">
        <v>4</v>
      </c>
      <c r="F249" s="291" t="s">
        <v>5</v>
      </c>
      <c r="G249" s="291" t="s">
        <v>6</v>
      </c>
      <c r="H249" s="291" t="s">
        <v>7</v>
      </c>
      <c r="I249" s="291" t="s">
        <v>8</v>
      </c>
      <c r="J249" s="291" t="s">
        <v>9</v>
      </c>
      <c r="K249" s="291" t="s">
        <v>10</v>
      </c>
      <c r="L249" s="291" t="s">
        <v>11</v>
      </c>
      <c r="M249" s="291" t="s">
        <v>12</v>
      </c>
      <c r="N249" s="292" t="s">
        <v>13</v>
      </c>
    </row>
    <row r="250" spans="1:14">
      <c r="A250" s="339" t="s">
        <v>247</v>
      </c>
      <c r="B250" s="299"/>
      <c r="C250" s="300"/>
      <c r="D250" s="300"/>
      <c r="E250" s="300"/>
      <c r="F250" s="300"/>
      <c r="G250" s="300"/>
      <c r="H250" s="300"/>
      <c r="I250" s="300"/>
      <c r="J250" s="300"/>
      <c r="K250" s="300"/>
      <c r="L250" s="300"/>
      <c r="M250" s="301"/>
      <c r="N250" s="324">
        <f>SUM(B250:M250)</f>
        <v>0</v>
      </c>
    </row>
    <row r="251" spans="1:14">
      <c r="A251" s="325" t="s">
        <v>245</v>
      </c>
      <c r="B251" s="304"/>
      <c r="C251" s="305"/>
      <c r="D251" s="305"/>
      <c r="E251" s="305"/>
      <c r="F251" s="305"/>
      <c r="G251" s="305"/>
      <c r="H251" s="305"/>
      <c r="I251" s="305"/>
      <c r="J251" s="305"/>
      <c r="K251" s="305"/>
      <c r="L251" s="305"/>
      <c r="M251" s="306"/>
      <c r="N251" s="306">
        <f>SUM(B251:M251)</f>
        <v>0</v>
      </c>
    </row>
    <row r="252" spans="1:14">
      <c r="A252" s="326" t="s">
        <v>248</v>
      </c>
      <c r="B252" s="309"/>
      <c r="C252" s="310"/>
      <c r="D252" s="310"/>
      <c r="E252" s="310"/>
      <c r="F252" s="310"/>
      <c r="G252" s="310"/>
      <c r="H252" s="310"/>
      <c r="I252" s="310"/>
      <c r="J252" s="310"/>
      <c r="K252" s="310"/>
      <c r="L252" s="310"/>
      <c r="M252" s="311"/>
      <c r="N252" s="327">
        <f>SUM(B252:M252)</f>
        <v>0</v>
      </c>
    </row>
    <row r="253" spans="1:14" ht="13.8" thickBot="1">
      <c r="A253" s="340" t="s">
        <v>249</v>
      </c>
      <c r="B253" s="335"/>
      <c r="C253" s="336"/>
      <c r="D253" s="336"/>
      <c r="E253" s="336"/>
      <c r="F253" s="336"/>
      <c r="G253" s="336"/>
      <c r="H253" s="336"/>
      <c r="I253" s="336"/>
      <c r="J253" s="336"/>
      <c r="K253" s="336"/>
      <c r="L253" s="336"/>
      <c r="M253" s="337"/>
      <c r="N253" s="337">
        <f>SUM(B253:M253)</f>
        <v>0</v>
      </c>
    </row>
    <row r="254" spans="1:14" ht="13.8" thickBot="1"/>
    <row r="255" spans="1:14" ht="24.9" customHeight="1">
      <c r="A255" s="289"/>
      <c r="B255" s="2310" t="s">
        <v>297</v>
      </c>
      <c r="C255" s="2311"/>
      <c r="D255" s="2311"/>
      <c r="E255" s="2311"/>
      <c r="F255" s="2311"/>
      <c r="G255" s="2311"/>
      <c r="H255" s="2311"/>
      <c r="I255" s="2311"/>
      <c r="J255" s="2311"/>
      <c r="K255" s="2311"/>
      <c r="L255" s="2311"/>
      <c r="M255" s="2311"/>
      <c r="N255" s="2312"/>
    </row>
    <row r="256" spans="1:14" ht="24.9" customHeight="1" thickBot="1">
      <c r="A256" s="290" t="s">
        <v>103</v>
      </c>
      <c r="B256" s="291" t="s">
        <v>1</v>
      </c>
      <c r="C256" s="291" t="s">
        <v>2</v>
      </c>
      <c r="D256" s="291" t="s">
        <v>3</v>
      </c>
      <c r="E256" s="291" t="s">
        <v>4</v>
      </c>
      <c r="F256" s="291" t="s">
        <v>5</v>
      </c>
      <c r="G256" s="291" t="s">
        <v>6</v>
      </c>
      <c r="H256" s="291" t="s">
        <v>7</v>
      </c>
      <c r="I256" s="291" t="s">
        <v>8</v>
      </c>
      <c r="J256" s="291" t="s">
        <v>9</v>
      </c>
      <c r="K256" s="291" t="s">
        <v>10</v>
      </c>
      <c r="L256" s="291" t="s">
        <v>11</v>
      </c>
      <c r="M256" s="291" t="s">
        <v>12</v>
      </c>
      <c r="N256" s="292" t="s">
        <v>13</v>
      </c>
    </row>
    <row r="257" spans="1:14">
      <c r="A257" s="339" t="s">
        <v>247</v>
      </c>
      <c r="B257" s="299"/>
      <c r="C257" s="300"/>
      <c r="D257" s="300"/>
      <c r="E257" s="300"/>
      <c r="F257" s="300"/>
      <c r="G257" s="300"/>
      <c r="H257" s="300"/>
      <c r="I257" s="300"/>
      <c r="J257" s="300"/>
      <c r="K257" s="300"/>
      <c r="L257" s="300"/>
      <c r="M257" s="301"/>
      <c r="N257" s="324">
        <f>SUM(B257:M257)</f>
        <v>0</v>
      </c>
    </row>
    <row r="258" spans="1:14">
      <c r="A258" s="325" t="s">
        <v>245</v>
      </c>
      <c r="B258" s="304"/>
      <c r="C258" s="305"/>
      <c r="D258" s="305"/>
      <c r="E258" s="305"/>
      <c r="F258" s="305"/>
      <c r="G258" s="305"/>
      <c r="H258" s="305"/>
      <c r="I258" s="305"/>
      <c r="J258" s="305"/>
      <c r="K258" s="305"/>
      <c r="L258" s="305"/>
      <c r="M258" s="306"/>
      <c r="N258" s="306">
        <f>SUM(B258:M258)</f>
        <v>0</v>
      </c>
    </row>
    <row r="259" spans="1:14">
      <c r="A259" s="326" t="s">
        <v>248</v>
      </c>
      <c r="B259" s="309"/>
      <c r="C259" s="310"/>
      <c r="D259" s="310"/>
      <c r="E259" s="310"/>
      <c r="F259" s="310"/>
      <c r="G259" s="310"/>
      <c r="H259" s="310"/>
      <c r="I259" s="310"/>
      <c r="J259" s="310"/>
      <c r="K259" s="310"/>
      <c r="L259" s="310"/>
      <c r="M259" s="311"/>
      <c r="N259" s="327">
        <f>SUM(B259:M259)</f>
        <v>0</v>
      </c>
    </row>
    <row r="260" spans="1:14" ht="13.8" thickBot="1">
      <c r="A260" s="340" t="s">
        <v>249</v>
      </c>
      <c r="B260" s="335"/>
      <c r="C260" s="336"/>
      <c r="D260" s="336"/>
      <c r="E260" s="336"/>
      <c r="F260" s="336"/>
      <c r="G260" s="336"/>
      <c r="H260" s="336"/>
      <c r="I260" s="336"/>
      <c r="J260" s="336"/>
      <c r="K260" s="336"/>
      <c r="L260" s="336"/>
      <c r="M260" s="337"/>
      <c r="N260" s="337">
        <f>SUM(B260:M260)</f>
        <v>0</v>
      </c>
    </row>
    <row r="261" spans="1:14" s="342" customFormat="1" ht="13.8" thickBot="1">
      <c r="B261" s="343"/>
      <c r="C261" s="343"/>
      <c r="D261" s="343"/>
      <c r="E261" s="343"/>
      <c r="F261" s="343"/>
      <c r="G261" s="343"/>
      <c r="H261" s="343"/>
      <c r="I261" s="343"/>
      <c r="J261" s="343"/>
      <c r="K261" s="343"/>
      <c r="L261" s="343"/>
      <c r="M261" s="343"/>
      <c r="N261" s="344"/>
    </row>
    <row r="262" spans="1:14" s="342" customFormat="1" ht="17.399999999999999">
      <c r="A262" s="289"/>
      <c r="B262" s="2310" t="s">
        <v>297</v>
      </c>
      <c r="C262" s="2311"/>
      <c r="D262" s="2311"/>
      <c r="E262" s="2311"/>
      <c r="F262" s="2311"/>
      <c r="G262" s="2311"/>
      <c r="H262" s="2311"/>
      <c r="I262" s="2311"/>
      <c r="J262" s="2311"/>
      <c r="K262" s="2311"/>
      <c r="L262" s="2311"/>
      <c r="M262" s="2311"/>
      <c r="N262" s="2312"/>
    </row>
    <row r="263" spans="1:14" s="342" customFormat="1" ht="16.2" thickBot="1">
      <c r="A263" s="290" t="s">
        <v>104</v>
      </c>
      <c r="B263" s="291" t="s">
        <v>1</v>
      </c>
      <c r="C263" s="291" t="s">
        <v>2</v>
      </c>
      <c r="D263" s="291" t="s">
        <v>3</v>
      </c>
      <c r="E263" s="291" t="s">
        <v>4</v>
      </c>
      <c r="F263" s="291" t="s">
        <v>5</v>
      </c>
      <c r="G263" s="291" t="s">
        <v>6</v>
      </c>
      <c r="H263" s="291" t="s">
        <v>7</v>
      </c>
      <c r="I263" s="291" t="s">
        <v>8</v>
      </c>
      <c r="J263" s="291" t="s">
        <v>9</v>
      </c>
      <c r="K263" s="291" t="s">
        <v>10</v>
      </c>
      <c r="L263" s="291" t="s">
        <v>11</v>
      </c>
      <c r="M263" s="291" t="s">
        <v>12</v>
      </c>
      <c r="N263" s="292" t="s">
        <v>13</v>
      </c>
    </row>
    <row r="264" spans="1:14" s="342" customFormat="1">
      <c r="A264" s="339" t="s">
        <v>247</v>
      </c>
      <c r="B264" s="299"/>
      <c r="C264" s="300"/>
      <c r="D264" s="300"/>
      <c r="E264" s="300"/>
      <c r="F264" s="300"/>
      <c r="G264" s="300"/>
      <c r="H264" s="300"/>
      <c r="I264" s="300"/>
      <c r="J264" s="300"/>
      <c r="K264" s="300"/>
      <c r="L264" s="300"/>
      <c r="M264" s="301"/>
      <c r="N264" s="324">
        <f>SUM(B264:M264)</f>
        <v>0</v>
      </c>
    </row>
    <row r="265" spans="1:14" s="342" customFormat="1">
      <c r="A265" s="325" t="s">
        <v>245</v>
      </c>
      <c r="B265" s="304"/>
      <c r="C265" s="305"/>
      <c r="D265" s="305"/>
      <c r="E265" s="305"/>
      <c r="F265" s="305"/>
      <c r="G265" s="305"/>
      <c r="H265" s="305"/>
      <c r="I265" s="305"/>
      <c r="J265" s="305"/>
      <c r="K265" s="305"/>
      <c r="L265" s="305"/>
      <c r="M265" s="306"/>
      <c r="N265" s="306">
        <f>SUM(B265:M265)</f>
        <v>0</v>
      </c>
    </row>
    <row r="266" spans="1:14" s="342" customFormat="1">
      <c r="A266" s="326" t="s">
        <v>248</v>
      </c>
      <c r="B266" s="309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1"/>
      <c r="N266" s="327">
        <f>SUM(B266:M266)</f>
        <v>0</v>
      </c>
    </row>
    <row r="267" spans="1:14" s="342" customFormat="1" ht="13.8" thickBot="1">
      <c r="A267" s="340" t="s">
        <v>249</v>
      </c>
      <c r="B267" s="335"/>
      <c r="C267" s="336"/>
      <c r="D267" s="336"/>
      <c r="E267" s="336"/>
      <c r="F267" s="336"/>
      <c r="G267" s="336"/>
      <c r="H267" s="336"/>
      <c r="I267" s="336"/>
      <c r="J267" s="336"/>
      <c r="K267" s="336"/>
      <c r="L267" s="336"/>
      <c r="M267" s="337"/>
      <c r="N267" s="337">
        <f>SUM(B267:M267)</f>
        <v>0</v>
      </c>
    </row>
    <row r="268" spans="1:14" s="342" customFormat="1" ht="13.8" thickBot="1">
      <c r="B268" s="343"/>
      <c r="C268" s="343"/>
      <c r="D268" s="343"/>
      <c r="E268" s="343"/>
      <c r="F268" s="343"/>
      <c r="G268" s="343"/>
      <c r="H268" s="343"/>
      <c r="I268" s="343"/>
      <c r="J268" s="343"/>
      <c r="K268" s="343"/>
      <c r="L268" s="343"/>
      <c r="M268" s="343"/>
    </row>
    <row r="269" spans="1:14" ht="24.9" customHeight="1">
      <c r="A269" s="289"/>
      <c r="B269" s="2310" t="s">
        <v>303</v>
      </c>
      <c r="C269" s="2311"/>
      <c r="D269" s="2311"/>
      <c r="E269" s="2311"/>
      <c r="F269" s="2311"/>
      <c r="G269" s="2311"/>
      <c r="H269" s="2311"/>
      <c r="I269" s="2311"/>
      <c r="J269" s="2311"/>
      <c r="K269" s="2311"/>
      <c r="L269" s="2311"/>
      <c r="M269" s="2311"/>
      <c r="N269" s="2312"/>
    </row>
    <row r="270" spans="1:14" ht="24.9" customHeight="1" thickBot="1">
      <c r="A270" s="290" t="s">
        <v>250</v>
      </c>
      <c r="B270" s="291" t="s">
        <v>1</v>
      </c>
      <c r="C270" s="291" t="s">
        <v>2</v>
      </c>
      <c r="D270" s="291" t="s">
        <v>3</v>
      </c>
      <c r="E270" s="291" t="s">
        <v>4</v>
      </c>
      <c r="F270" s="291" t="s">
        <v>5</v>
      </c>
      <c r="G270" s="291" t="s">
        <v>6</v>
      </c>
      <c r="H270" s="291" t="s">
        <v>7</v>
      </c>
      <c r="I270" s="291" t="s">
        <v>8</v>
      </c>
      <c r="J270" s="291" t="s">
        <v>9</v>
      </c>
      <c r="K270" s="291" t="s">
        <v>10</v>
      </c>
      <c r="L270" s="291" t="s">
        <v>11</v>
      </c>
      <c r="M270" s="291" t="s">
        <v>12</v>
      </c>
      <c r="N270" s="292" t="s">
        <v>13</v>
      </c>
    </row>
    <row r="271" spans="1:14">
      <c r="A271" s="333" t="s">
        <v>247</v>
      </c>
      <c r="B271" s="299">
        <f>+B159+B166+B173+B180+B187+B194+B201+B208+B215+B222+B229+B236+B243+B250+B257+B264</f>
        <v>0</v>
      </c>
      <c r="C271" s="300">
        <f t="shared" ref="C271:M271" si="19">+C159+C166+C173+C180+C187+C194+C201+C208+C215+C222+C229+C236+C243+C250+C257+C264</f>
        <v>0</v>
      </c>
      <c r="D271" s="300">
        <f t="shared" si="19"/>
        <v>0</v>
      </c>
      <c r="E271" s="300">
        <f t="shared" si="19"/>
        <v>0</v>
      </c>
      <c r="F271" s="300">
        <f t="shared" si="19"/>
        <v>0</v>
      </c>
      <c r="G271" s="300">
        <f t="shared" si="19"/>
        <v>0</v>
      </c>
      <c r="H271" s="300">
        <f t="shared" si="19"/>
        <v>0</v>
      </c>
      <c r="I271" s="300">
        <f t="shared" si="19"/>
        <v>0</v>
      </c>
      <c r="J271" s="300">
        <f t="shared" si="19"/>
        <v>0</v>
      </c>
      <c r="K271" s="300">
        <f t="shared" si="19"/>
        <v>0</v>
      </c>
      <c r="L271" s="300">
        <f t="shared" si="19"/>
        <v>0</v>
      </c>
      <c r="M271" s="301">
        <f t="shared" si="19"/>
        <v>0</v>
      </c>
      <c r="N271" s="324">
        <f>SUM(B271:M271)</f>
        <v>0</v>
      </c>
    </row>
    <row r="272" spans="1:14">
      <c r="A272" s="303" t="s">
        <v>245</v>
      </c>
      <c r="B272" s="304">
        <f t="shared" ref="B272:M274" si="20">+B160+B167+B174+B181+B188+B195+B202+B209+B216+B223+B230+B237+B244+B251+B258+B265</f>
        <v>0</v>
      </c>
      <c r="C272" s="305">
        <f t="shared" si="20"/>
        <v>0</v>
      </c>
      <c r="D272" s="305">
        <f t="shared" si="20"/>
        <v>0</v>
      </c>
      <c r="E272" s="305">
        <f t="shared" si="20"/>
        <v>0</v>
      </c>
      <c r="F272" s="305">
        <f t="shared" si="20"/>
        <v>0</v>
      </c>
      <c r="G272" s="305">
        <f t="shared" si="20"/>
        <v>0</v>
      </c>
      <c r="H272" s="305">
        <f t="shared" si="20"/>
        <v>0</v>
      </c>
      <c r="I272" s="305">
        <f t="shared" si="20"/>
        <v>0</v>
      </c>
      <c r="J272" s="305">
        <f t="shared" si="20"/>
        <v>0</v>
      </c>
      <c r="K272" s="305">
        <f t="shared" si="20"/>
        <v>0</v>
      </c>
      <c r="L272" s="305">
        <f t="shared" si="20"/>
        <v>0</v>
      </c>
      <c r="M272" s="306">
        <f t="shared" si="20"/>
        <v>0</v>
      </c>
      <c r="N272" s="306">
        <f>SUM(B272:M272)</f>
        <v>0</v>
      </c>
    </row>
    <row r="273" spans="1:14">
      <c r="A273" s="308" t="s">
        <v>248</v>
      </c>
      <c r="B273" s="309">
        <f t="shared" si="20"/>
        <v>0</v>
      </c>
      <c r="C273" s="310">
        <f t="shared" si="20"/>
        <v>0</v>
      </c>
      <c r="D273" s="310">
        <f t="shared" si="20"/>
        <v>0</v>
      </c>
      <c r="E273" s="310">
        <f t="shared" si="20"/>
        <v>0</v>
      </c>
      <c r="F273" s="310">
        <f t="shared" si="20"/>
        <v>0</v>
      </c>
      <c r="G273" s="310">
        <f t="shared" si="20"/>
        <v>0</v>
      </c>
      <c r="H273" s="310">
        <f t="shared" si="20"/>
        <v>0</v>
      </c>
      <c r="I273" s="310">
        <f t="shared" si="20"/>
        <v>0</v>
      </c>
      <c r="J273" s="310">
        <f t="shared" si="20"/>
        <v>0</v>
      </c>
      <c r="K273" s="310">
        <f t="shared" si="20"/>
        <v>0</v>
      </c>
      <c r="L273" s="310">
        <f t="shared" si="20"/>
        <v>0</v>
      </c>
      <c r="M273" s="311">
        <f t="shared" si="20"/>
        <v>0</v>
      </c>
      <c r="N273" s="327">
        <f>SUM(B273:M273)</f>
        <v>0</v>
      </c>
    </row>
    <row r="274" spans="1:14" ht="13.8" thickBot="1">
      <c r="A274" s="334" t="s">
        <v>249</v>
      </c>
      <c r="B274" s="335">
        <f t="shared" si="20"/>
        <v>0</v>
      </c>
      <c r="C274" s="336">
        <f t="shared" si="20"/>
        <v>0</v>
      </c>
      <c r="D274" s="336">
        <f t="shared" si="20"/>
        <v>0</v>
      </c>
      <c r="E274" s="336">
        <f t="shared" si="20"/>
        <v>0</v>
      </c>
      <c r="F274" s="336">
        <f t="shared" si="20"/>
        <v>0</v>
      </c>
      <c r="G274" s="336">
        <f t="shared" si="20"/>
        <v>0</v>
      </c>
      <c r="H274" s="336">
        <f t="shared" si="20"/>
        <v>0</v>
      </c>
      <c r="I274" s="336">
        <f t="shared" si="20"/>
        <v>0</v>
      </c>
      <c r="J274" s="336">
        <f t="shared" si="20"/>
        <v>0</v>
      </c>
      <c r="K274" s="336">
        <f t="shared" si="20"/>
        <v>0</v>
      </c>
      <c r="L274" s="336">
        <f t="shared" si="20"/>
        <v>0</v>
      </c>
      <c r="M274" s="337">
        <f t="shared" si="20"/>
        <v>0</v>
      </c>
      <c r="N274" s="337">
        <f>SUM(B274:M274)</f>
        <v>0</v>
      </c>
    </row>
  </sheetData>
  <mergeCells count="34">
    <mergeCell ref="B255:N255"/>
    <mergeCell ref="B262:N262"/>
    <mergeCell ref="B269:N269"/>
    <mergeCell ref="B192:N192"/>
    <mergeCell ref="B213:N213"/>
    <mergeCell ref="B220:N220"/>
    <mergeCell ref="B227:N227"/>
    <mergeCell ref="B234:N234"/>
    <mergeCell ref="B241:N241"/>
    <mergeCell ref="B248:N248"/>
    <mergeCell ref="B206:N206"/>
    <mergeCell ref="B164:N164"/>
    <mergeCell ref="B171:N171"/>
    <mergeCell ref="B178:N178"/>
    <mergeCell ref="B185:N185"/>
    <mergeCell ref="B199:N199"/>
    <mergeCell ref="B157:N157"/>
    <mergeCell ref="B56:N56"/>
    <mergeCell ref="B65:N65"/>
    <mergeCell ref="B74:N74"/>
    <mergeCell ref="B83:N83"/>
    <mergeCell ref="B92:N92"/>
    <mergeCell ref="B101:N101"/>
    <mergeCell ref="B110:N110"/>
    <mergeCell ref="B119:N119"/>
    <mergeCell ref="B128:N128"/>
    <mergeCell ref="B137:N137"/>
    <mergeCell ref="B146:N146"/>
    <mergeCell ref="B47:N47"/>
    <mergeCell ref="B2:N2"/>
    <mergeCell ref="B11:N11"/>
    <mergeCell ref="B20:N20"/>
    <mergeCell ref="B29:N29"/>
    <mergeCell ref="B38:N38"/>
  </mergeCells>
  <pageMargins left="0.75" right="0.75" top="1" bottom="1" header="0.5" footer="0.5"/>
  <pageSetup paperSize="9" scale="68" orientation="landscape" r:id="rId1"/>
  <headerFooter alignWithMargins="0"/>
  <rowBreaks count="8" manualBreakCount="8">
    <brk id="27" max="16383" man="1"/>
    <brk id="54" max="16383" man="1"/>
    <brk id="81" max="16383" man="1"/>
    <brk id="108" max="16383" man="1"/>
    <brk id="126" max="16383" man="1"/>
    <brk id="154" max="16383" man="1"/>
    <brk id="218" max="16383" man="1"/>
    <brk id="246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285"/>
  <sheetViews>
    <sheetView zoomScaleNormal="100" workbookViewId="0">
      <pane xSplit="1" ySplit="4" topLeftCell="B257" activePane="bottomRight" state="frozen"/>
      <selection pane="topRight" activeCell="B1" sqref="B1"/>
      <selection pane="bottomLeft" activeCell="A5" sqref="A5"/>
      <selection pane="bottomRight" activeCell="I160" sqref="I160"/>
    </sheetView>
  </sheetViews>
  <sheetFormatPr defaultColWidth="9.109375" defaultRowHeight="13.2"/>
  <cols>
    <col min="1" max="1" width="32.5546875" style="1" customWidth="1"/>
    <col min="2" max="8" width="10.44140625" style="1" bestFit="1" customWidth="1"/>
    <col min="9" max="9" width="9.5546875" style="1" bestFit="1" customWidth="1"/>
    <col min="10" max="13" width="10.44140625" style="1" bestFit="1" customWidth="1"/>
    <col min="14" max="14" width="11.5546875" style="1" customWidth="1"/>
    <col min="15" max="15" width="15.6640625" style="1" bestFit="1" customWidth="1"/>
    <col min="16" max="16384" width="9.109375" style="1"/>
  </cols>
  <sheetData>
    <row r="1" spans="1:14" hidden="1"/>
    <row r="2" spans="1:14" ht="24.75" hidden="1" customHeight="1">
      <c r="A2" s="289"/>
      <c r="B2" s="2310" t="s">
        <v>302</v>
      </c>
      <c r="C2" s="2311"/>
      <c r="D2" s="2311"/>
      <c r="E2" s="2311"/>
      <c r="F2" s="2311"/>
      <c r="G2" s="2311"/>
      <c r="H2" s="2311"/>
      <c r="I2" s="2311"/>
      <c r="J2" s="2311"/>
      <c r="K2" s="2311"/>
      <c r="L2" s="2311"/>
      <c r="M2" s="2311"/>
      <c r="N2" s="2312"/>
    </row>
    <row r="3" spans="1:14" ht="24.75" hidden="1" customHeight="1" thickBot="1">
      <c r="A3" s="290" t="s">
        <v>133</v>
      </c>
      <c r="B3" s="291" t="s">
        <v>1</v>
      </c>
      <c r="C3" s="291" t="s">
        <v>2</v>
      </c>
      <c r="D3" s="291" t="s">
        <v>3</v>
      </c>
      <c r="E3" s="291" t="s">
        <v>4</v>
      </c>
      <c r="F3" s="291" t="s">
        <v>5</v>
      </c>
      <c r="G3" s="291" t="s">
        <v>6</v>
      </c>
      <c r="H3" s="291" t="s">
        <v>7</v>
      </c>
      <c r="I3" s="291" t="s">
        <v>8</v>
      </c>
      <c r="J3" s="291" t="s">
        <v>9</v>
      </c>
      <c r="K3" s="291" t="s">
        <v>10</v>
      </c>
      <c r="L3" s="291" t="s">
        <v>11</v>
      </c>
      <c r="M3" s="291" t="s">
        <v>12</v>
      </c>
      <c r="N3" s="292" t="s">
        <v>13</v>
      </c>
    </row>
    <row r="4" spans="1:14" hidden="1">
      <c r="A4" s="293" t="s">
        <v>241</v>
      </c>
      <c r="B4" s="294">
        <f t="shared" ref="B4:M4" si="0">SUM(B5:B9)</f>
        <v>0</v>
      </c>
      <c r="C4" s="295">
        <f t="shared" si="0"/>
        <v>0</v>
      </c>
      <c r="D4" s="295">
        <f t="shared" si="0"/>
        <v>0</v>
      </c>
      <c r="E4" s="295">
        <f t="shared" si="0"/>
        <v>0</v>
      </c>
      <c r="F4" s="295">
        <f t="shared" si="0"/>
        <v>0</v>
      </c>
      <c r="G4" s="295">
        <f t="shared" si="0"/>
        <v>0</v>
      </c>
      <c r="H4" s="295">
        <f t="shared" si="0"/>
        <v>0</v>
      </c>
      <c r="I4" s="295">
        <f t="shared" si="0"/>
        <v>0</v>
      </c>
      <c r="J4" s="295">
        <f t="shared" si="0"/>
        <v>0</v>
      </c>
      <c r="K4" s="295">
        <f t="shared" si="0"/>
        <v>0</v>
      </c>
      <c r="L4" s="295">
        <f t="shared" si="0"/>
        <v>0</v>
      </c>
      <c r="M4" s="296">
        <f t="shared" si="0"/>
        <v>0</v>
      </c>
      <c r="N4" s="297">
        <f>SUM(N5:N10)</f>
        <v>0</v>
      </c>
    </row>
    <row r="5" spans="1:14" hidden="1">
      <c r="A5" s="298" t="s">
        <v>242</v>
      </c>
      <c r="B5" s="299"/>
      <c r="C5" s="300"/>
      <c r="D5" s="300"/>
      <c r="E5" s="300"/>
      <c r="F5" s="300"/>
      <c r="G5" s="300"/>
      <c r="H5" s="300"/>
      <c r="I5" s="300"/>
      <c r="J5" s="300"/>
      <c r="K5" s="300"/>
      <c r="L5" s="300"/>
      <c r="M5" s="301"/>
      <c r="N5" s="302">
        <f>SUM(B5:M5)</f>
        <v>0</v>
      </c>
    </row>
    <row r="6" spans="1:14" hidden="1">
      <c r="A6" s="303" t="s">
        <v>243</v>
      </c>
      <c r="B6" s="304"/>
      <c r="C6" s="305"/>
      <c r="D6" s="305"/>
      <c r="E6" s="305"/>
      <c r="F6" s="305"/>
      <c r="G6" s="305"/>
      <c r="H6" s="305"/>
      <c r="I6" s="305"/>
      <c r="J6" s="305"/>
      <c r="K6" s="305"/>
      <c r="L6" s="305"/>
      <c r="M6" s="306"/>
      <c r="N6" s="307">
        <f>SUM(B6:M6)</f>
        <v>0</v>
      </c>
    </row>
    <row r="7" spans="1:14" hidden="1">
      <c r="A7" s="308" t="s">
        <v>244</v>
      </c>
      <c r="B7" s="309"/>
      <c r="C7" s="310"/>
      <c r="D7" s="310"/>
      <c r="E7" s="310"/>
      <c r="F7" s="310"/>
      <c r="G7" s="310"/>
      <c r="H7" s="310"/>
      <c r="I7" s="310"/>
      <c r="J7" s="310"/>
      <c r="K7" s="310"/>
      <c r="L7" s="310"/>
      <c r="M7" s="311"/>
      <c r="N7" s="312">
        <f>SUM(B7:M7)</f>
        <v>0</v>
      </c>
    </row>
    <row r="8" spans="1:14" hidden="1">
      <c r="A8" s="303" t="s">
        <v>245</v>
      </c>
      <c r="B8" s="304"/>
      <c r="C8" s="305"/>
      <c r="D8" s="305"/>
      <c r="E8" s="305"/>
      <c r="F8" s="305"/>
      <c r="G8" s="305"/>
      <c r="H8" s="305"/>
      <c r="I8" s="305"/>
      <c r="J8" s="305"/>
      <c r="K8" s="305"/>
      <c r="L8" s="305"/>
      <c r="M8" s="306"/>
      <c r="N8" s="307">
        <f>SUM(B8:M8)</f>
        <v>0</v>
      </c>
    </row>
    <row r="9" spans="1:14" ht="13.8" hidden="1" thickBot="1">
      <c r="A9" s="313" t="s">
        <v>240</v>
      </c>
      <c r="B9" s="314"/>
      <c r="C9" s="315"/>
      <c r="D9" s="315"/>
      <c r="E9" s="315"/>
      <c r="F9" s="315"/>
      <c r="G9" s="315"/>
      <c r="H9" s="315"/>
      <c r="I9" s="315"/>
      <c r="J9" s="315"/>
      <c r="K9" s="315"/>
      <c r="L9" s="315"/>
      <c r="M9" s="316"/>
      <c r="N9" s="317">
        <f>SUM(B9:M9)</f>
        <v>0</v>
      </c>
    </row>
    <row r="10" spans="1:14" hidden="1"/>
    <row r="11" spans="1:14" ht="24.75" hidden="1" customHeight="1">
      <c r="A11" s="289"/>
      <c r="B11" s="2310" t="s">
        <v>302</v>
      </c>
      <c r="C11" s="2311"/>
      <c r="D11" s="2311"/>
      <c r="E11" s="2311"/>
      <c r="F11" s="2311"/>
      <c r="G11" s="2311"/>
      <c r="H11" s="2311"/>
      <c r="I11" s="2311"/>
      <c r="J11" s="2311"/>
      <c r="K11" s="2311"/>
      <c r="L11" s="2311"/>
      <c r="M11" s="2311"/>
      <c r="N11" s="2312"/>
    </row>
    <row r="12" spans="1:14" ht="24.75" hidden="1" customHeight="1" thickBot="1">
      <c r="A12" s="290" t="s">
        <v>90</v>
      </c>
      <c r="B12" s="291" t="s">
        <v>1</v>
      </c>
      <c r="C12" s="291" t="s">
        <v>2</v>
      </c>
      <c r="D12" s="291" t="s">
        <v>3</v>
      </c>
      <c r="E12" s="291" t="s">
        <v>4</v>
      </c>
      <c r="F12" s="291" t="s">
        <v>5</v>
      </c>
      <c r="G12" s="291" t="s">
        <v>6</v>
      </c>
      <c r="H12" s="291" t="s">
        <v>7</v>
      </c>
      <c r="I12" s="291" t="s">
        <v>8</v>
      </c>
      <c r="J12" s="291" t="s">
        <v>9</v>
      </c>
      <c r="K12" s="291" t="s">
        <v>10</v>
      </c>
      <c r="L12" s="291" t="s">
        <v>11</v>
      </c>
      <c r="M12" s="291" t="s">
        <v>12</v>
      </c>
      <c r="N12" s="292" t="s">
        <v>13</v>
      </c>
    </row>
    <row r="13" spans="1:14" ht="13.8" hidden="1" thickBot="1">
      <c r="A13" s="318" t="s">
        <v>241</v>
      </c>
      <c r="B13" s="319">
        <f t="shared" ref="B13:M13" si="1">SUM(B14:B18)</f>
        <v>0</v>
      </c>
      <c r="C13" s="320">
        <f t="shared" si="1"/>
        <v>0</v>
      </c>
      <c r="D13" s="320">
        <f t="shared" si="1"/>
        <v>0</v>
      </c>
      <c r="E13" s="320">
        <f t="shared" si="1"/>
        <v>0</v>
      </c>
      <c r="F13" s="320">
        <f t="shared" si="1"/>
        <v>0</v>
      </c>
      <c r="G13" s="320">
        <f t="shared" si="1"/>
        <v>0</v>
      </c>
      <c r="H13" s="320">
        <f t="shared" si="1"/>
        <v>0</v>
      </c>
      <c r="I13" s="320">
        <f t="shared" si="1"/>
        <v>0</v>
      </c>
      <c r="J13" s="320">
        <f t="shared" si="1"/>
        <v>0</v>
      </c>
      <c r="K13" s="320">
        <f t="shared" si="1"/>
        <v>0</v>
      </c>
      <c r="L13" s="320">
        <f t="shared" si="1"/>
        <v>0</v>
      </c>
      <c r="M13" s="321">
        <f t="shared" si="1"/>
        <v>0</v>
      </c>
      <c r="N13" s="322">
        <f>SUM(N14:N19)</f>
        <v>0</v>
      </c>
    </row>
    <row r="14" spans="1:14" hidden="1">
      <c r="A14" s="323" t="s">
        <v>242</v>
      </c>
      <c r="B14" s="299"/>
      <c r="C14" s="300"/>
      <c r="D14" s="300"/>
      <c r="E14" s="300"/>
      <c r="F14" s="300"/>
      <c r="G14" s="300"/>
      <c r="H14" s="300"/>
      <c r="I14" s="300"/>
      <c r="J14" s="300"/>
      <c r="K14" s="300"/>
      <c r="L14" s="300"/>
      <c r="M14" s="301"/>
      <c r="N14" s="324">
        <f>SUM(B14:M14)</f>
        <v>0</v>
      </c>
    </row>
    <row r="15" spans="1:14" hidden="1">
      <c r="A15" s="325" t="s">
        <v>243</v>
      </c>
      <c r="B15" s="304"/>
      <c r="C15" s="305"/>
      <c r="D15" s="305"/>
      <c r="E15" s="305"/>
      <c r="F15" s="305"/>
      <c r="G15" s="305"/>
      <c r="H15" s="305"/>
      <c r="I15" s="305"/>
      <c r="J15" s="305"/>
      <c r="K15" s="305"/>
      <c r="L15" s="305"/>
      <c r="M15" s="306"/>
      <c r="N15" s="306">
        <f>SUM(B15:M15)</f>
        <v>0</v>
      </c>
    </row>
    <row r="16" spans="1:14" hidden="1">
      <c r="A16" s="326" t="s">
        <v>244</v>
      </c>
      <c r="B16" s="309"/>
      <c r="C16" s="310"/>
      <c r="D16" s="310"/>
      <c r="E16" s="310"/>
      <c r="F16" s="310"/>
      <c r="G16" s="310"/>
      <c r="H16" s="310"/>
      <c r="I16" s="310"/>
      <c r="J16" s="310"/>
      <c r="K16" s="310"/>
      <c r="L16" s="310"/>
      <c r="M16" s="311"/>
      <c r="N16" s="327">
        <f>SUM(B16:M16)</f>
        <v>0</v>
      </c>
    </row>
    <row r="17" spans="1:14" hidden="1">
      <c r="A17" s="325" t="s">
        <v>245</v>
      </c>
      <c r="B17" s="304"/>
      <c r="C17" s="305"/>
      <c r="D17" s="305"/>
      <c r="E17" s="305"/>
      <c r="F17" s="305"/>
      <c r="G17" s="305"/>
      <c r="H17" s="305"/>
      <c r="I17" s="305"/>
      <c r="J17" s="305"/>
      <c r="K17" s="305"/>
      <c r="L17" s="305"/>
      <c r="M17" s="306"/>
      <c r="N17" s="306">
        <f>SUM(B17:M17)</f>
        <v>0</v>
      </c>
    </row>
    <row r="18" spans="1:14" ht="13.8" hidden="1" thickBot="1">
      <c r="A18" s="328" t="s">
        <v>240</v>
      </c>
      <c r="B18" s="314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6"/>
      <c r="N18" s="329">
        <f>SUM(B18:M18)</f>
        <v>0</v>
      </c>
    </row>
    <row r="19" spans="1:14" hidden="1"/>
    <row r="20" spans="1:14" ht="24.75" hidden="1" customHeight="1">
      <c r="A20" s="289"/>
      <c r="B20" s="2310" t="s">
        <v>302</v>
      </c>
      <c r="C20" s="2311"/>
      <c r="D20" s="2311"/>
      <c r="E20" s="2311"/>
      <c r="F20" s="2311"/>
      <c r="G20" s="2311"/>
      <c r="H20" s="2311"/>
      <c r="I20" s="2311"/>
      <c r="J20" s="2311"/>
      <c r="K20" s="2311"/>
      <c r="L20" s="2311"/>
      <c r="M20" s="2311"/>
      <c r="N20" s="2312"/>
    </row>
    <row r="21" spans="1:14" ht="24.75" hidden="1" customHeight="1" thickBot="1">
      <c r="A21" s="290" t="s">
        <v>91</v>
      </c>
      <c r="B21" s="291" t="s">
        <v>1</v>
      </c>
      <c r="C21" s="291" t="s">
        <v>2</v>
      </c>
      <c r="D21" s="291" t="s">
        <v>3</v>
      </c>
      <c r="E21" s="291" t="s">
        <v>4</v>
      </c>
      <c r="F21" s="291" t="s">
        <v>5</v>
      </c>
      <c r="G21" s="291" t="s">
        <v>6</v>
      </c>
      <c r="H21" s="291" t="s">
        <v>7</v>
      </c>
      <c r="I21" s="291" t="s">
        <v>8</v>
      </c>
      <c r="J21" s="291" t="s">
        <v>9</v>
      </c>
      <c r="K21" s="291" t="s">
        <v>10</v>
      </c>
      <c r="L21" s="291" t="s">
        <v>11</v>
      </c>
      <c r="M21" s="291" t="s">
        <v>12</v>
      </c>
      <c r="N21" s="292" t="s">
        <v>13</v>
      </c>
    </row>
    <row r="22" spans="1:14" ht="13.8" hidden="1" thickBot="1">
      <c r="A22" s="318" t="s">
        <v>241</v>
      </c>
      <c r="B22" s="319">
        <f t="shared" ref="B22:M22" si="2">SUM(B23:B27)</f>
        <v>0</v>
      </c>
      <c r="C22" s="320">
        <f t="shared" si="2"/>
        <v>0</v>
      </c>
      <c r="D22" s="320">
        <f t="shared" si="2"/>
        <v>0</v>
      </c>
      <c r="E22" s="320">
        <f t="shared" si="2"/>
        <v>0</v>
      </c>
      <c r="F22" s="320">
        <f t="shared" si="2"/>
        <v>0</v>
      </c>
      <c r="G22" s="320">
        <f t="shared" si="2"/>
        <v>0</v>
      </c>
      <c r="H22" s="320">
        <f t="shared" si="2"/>
        <v>0</v>
      </c>
      <c r="I22" s="320">
        <f t="shared" si="2"/>
        <v>0</v>
      </c>
      <c r="J22" s="320">
        <f t="shared" si="2"/>
        <v>0</v>
      </c>
      <c r="K22" s="320">
        <f t="shared" si="2"/>
        <v>0</v>
      </c>
      <c r="L22" s="320">
        <f t="shared" si="2"/>
        <v>0</v>
      </c>
      <c r="M22" s="321">
        <f t="shared" si="2"/>
        <v>0</v>
      </c>
      <c r="N22" s="322">
        <f>SUM(N23:N28)</f>
        <v>0</v>
      </c>
    </row>
    <row r="23" spans="1:14" hidden="1">
      <c r="A23" s="323" t="s">
        <v>242</v>
      </c>
      <c r="B23" s="299"/>
      <c r="C23" s="300"/>
      <c r="D23" s="300"/>
      <c r="E23" s="300"/>
      <c r="F23" s="300"/>
      <c r="G23" s="300"/>
      <c r="H23" s="300"/>
      <c r="I23" s="300"/>
      <c r="J23" s="300"/>
      <c r="K23" s="300"/>
      <c r="L23" s="300"/>
      <c r="M23" s="301"/>
      <c r="N23" s="324">
        <f>SUM(B23:M23)</f>
        <v>0</v>
      </c>
    </row>
    <row r="24" spans="1:14" hidden="1">
      <c r="A24" s="325" t="s">
        <v>243</v>
      </c>
      <c r="B24" s="304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6"/>
      <c r="N24" s="306">
        <f>SUM(B24:M24)</f>
        <v>0</v>
      </c>
    </row>
    <row r="25" spans="1:14" hidden="1">
      <c r="A25" s="326" t="s">
        <v>244</v>
      </c>
      <c r="B25" s="309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1"/>
      <c r="N25" s="327">
        <f>SUM(B25:M25)</f>
        <v>0</v>
      </c>
    </row>
    <row r="26" spans="1:14" hidden="1">
      <c r="A26" s="325" t="s">
        <v>245</v>
      </c>
      <c r="B26" s="304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6"/>
      <c r="N26" s="306">
        <f>SUM(B26:M26)</f>
        <v>0</v>
      </c>
    </row>
    <row r="27" spans="1:14" ht="13.8" hidden="1" thickBot="1">
      <c r="A27" s="328" t="s">
        <v>240</v>
      </c>
      <c r="B27" s="314"/>
      <c r="C27" s="315"/>
      <c r="D27" s="315"/>
      <c r="E27" s="315"/>
      <c r="F27" s="315"/>
      <c r="G27" s="315"/>
      <c r="H27" s="315"/>
      <c r="I27" s="315"/>
      <c r="J27" s="315"/>
      <c r="K27" s="315"/>
      <c r="L27" s="315"/>
      <c r="M27" s="316"/>
      <c r="N27" s="329">
        <f>SUM(B27:M27)</f>
        <v>0</v>
      </c>
    </row>
    <row r="28" spans="1:14" hidden="1"/>
    <row r="29" spans="1:14" ht="24.75" hidden="1" customHeight="1">
      <c r="A29" s="289"/>
      <c r="B29" s="2310" t="s">
        <v>302</v>
      </c>
      <c r="C29" s="2311"/>
      <c r="D29" s="2311"/>
      <c r="E29" s="2311"/>
      <c r="F29" s="2311"/>
      <c r="G29" s="2311"/>
      <c r="H29" s="2311"/>
      <c r="I29" s="2311"/>
      <c r="J29" s="2311"/>
      <c r="K29" s="2311"/>
      <c r="L29" s="2311"/>
      <c r="M29" s="2311"/>
      <c r="N29" s="2312"/>
    </row>
    <row r="30" spans="1:14" ht="24.75" hidden="1" customHeight="1" thickBot="1">
      <c r="A30" s="290" t="s">
        <v>92</v>
      </c>
      <c r="B30" s="291" t="s">
        <v>1</v>
      </c>
      <c r="C30" s="291" t="s">
        <v>2</v>
      </c>
      <c r="D30" s="291" t="s">
        <v>3</v>
      </c>
      <c r="E30" s="291" t="s">
        <v>4</v>
      </c>
      <c r="F30" s="291" t="s">
        <v>5</v>
      </c>
      <c r="G30" s="291" t="s">
        <v>6</v>
      </c>
      <c r="H30" s="291" t="s">
        <v>7</v>
      </c>
      <c r="I30" s="291" t="s">
        <v>8</v>
      </c>
      <c r="J30" s="291" t="s">
        <v>9</v>
      </c>
      <c r="K30" s="291" t="s">
        <v>10</v>
      </c>
      <c r="L30" s="291" t="s">
        <v>11</v>
      </c>
      <c r="M30" s="291" t="s">
        <v>12</v>
      </c>
      <c r="N30" s="292" t="s">
        <v>13</v>
      </c>
    </row>
    <row r="31" spans="1:14" ht="13.8" hidden="1" thickBot="1">
      <c r="A31" s="318" t="s">
        <v>241</v>
      </c>
      <c r="B31" s="319">
        <f t="shared" ref="B31:M31" si="3">SUM(B32:B36)</f>
        <v>0</v>
      </c>
      <c r="C31" s="320">
        <f t="shared" si="3"/>
        <v>0</v>
      </c>
      <c r="D31" s="320">
        <f t="shared" si="3"/>
        <v>0</v>
      </c>
      <c r="E31" s="320">
        <f t="shared" si="3"/>
        <v>0</v>
      </c>
      <c r="F31" s="320">
        <f t="shared" si="3"/>
        <v>0</v>
      </c>
      <c r="G31" s="320">
        <f t="shared" si="3"/>
        <v>0</v>
      </c>
      <c r="H31" s="320">
        <f t="shared" si="3"/>
        <v>0</v>
      </c>
      <c r="I31" s="320">
        <f t="shared" si="3"/>
        <v>0</v>
      </c>
      <c r="J31" s="320">
        <f t="shared" si="3"/>
        <v>0</v>
      </c>
      <c r="K31" s="320">
        <f t="shared" si="3"/>
        <v>0</v>
      </c>
      <c r="L31" s="320">
        <f t="shared" si="3"/>
        <v>0</v>
      </c>
      <c r="M31" s="321">
        <f t="shared" si="3"/>
        <v>0</v>
      </c>
      <c r="N31" s="322">
        <f>SUM(N32:N36)</f>
        <v>0</v>
      </c>
    </row>
    <row r="32" spans="1:14" hidden="1">
      <c r="A32" s="323" t="s">
        <v>242</v>
      </c>
      <c r="B32" s="299"/>
      <c r="C32" s="300"/>
      <c r="D32" s="300"/>
      <c r="E32" s="300"/>
      <c r="F32" s="300"/>
      <c r="G32" s="300"/>
      <c r="H32" s="300"/>
      <c r="I32" s="300"/>
      <c r="J32" s="300"/>
      <c r="K32" s="300"/>
      <c r="L32" s="300"/>
      <c r="M32" s="301"/>
      <c r="N32" s="324">
        <f>SUM(B32:M32)</f>
        <v>0</v>
      </c>
    </row>
    <row r="33" spans="1:14" hidden="1">
      <c r="A33" s="325" t="s">
        <v>243</v>
      </c>
      <c r="B33" s="304"/>
      <c r="C33" s="305"/>
      <c r="D33" s="305"/>
      <c r="E33" s="305"/>
      <c r="F33" s="305"/>
      <c r="G33" s="305"/>
      <c r="H33" s="305"/>
      <c r="I33" s="305"/>
      <c r="J33" s="305"/>
      <c r="K33" s="305"/>
      <c r="L33" s="305"/>
      <c r="M33" s="306"/>
      <c r="N33" s="306">
        <f>SUM(B33:M33)</f>
        <v>0</v>
      </c>
    </row>
    <row r="34" spans="1:14" hidden="1">
      <c r="A34" s="326" t="s">
        <v>244</v>
      </c>
      <c r="B34" s="309"/>
      <c r="C34" s="310"/>
      <c r="D34" s="310"/>
      <c r="E34" s="310"/>
      <c r="F34" s="310"/>
      <c r="G34" s="310"/>
      <c r="H34" s="310"/>
      <c r="I34" s="310"/>
      <c r="J34" s="310"/>
      <c r="K34" s="310"/>
      <c r="L34" s="310"/>
      <c r="M34" s="311"/>
      <c r="N34" s="327">
        <f>SUM(B34:M34)</f>
        <v>0</v>
      </c>
    </row>
    <row r="35" spans="1:14" hidden="1">
      <c r="A35" s="325" t="s">
        <v>245</v>
      </c>
      <c r="B35" s="304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6"/>
      <c r="N35" s="306">
        <f>SUM(B35:M35)</f>
        <v>0</v>
      </c>
    </row>
    <row r="36" spans="1:14" ht="13.8" hidden="1" thickBot="1">
      <c r="A36" s="328" t="s">
        <v>240</v>
      </c>
      <c r="B36" s="314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6"/>
      <c r="N36" s="329">
        <f>SUM(B36:M36)</f>
        <v>0</v>
      </c>
    </row>
    <row r="37" spans="1:14" hidden="1"/>
    <row r="38" spans="1:14" ht="24.75" hidden="1" customHeight="1">
      <c r="A38" s="289"/>
      <c r="B38" s="2310" t="s">
        <v>302</v>
      </c>
      <c r="C38" s="2311"/>
      <c r="D38" s="2311"/>
      <c r="E38" s="2311"/>
      <c r="F38" s="2311"/>
      <c r="G38" s="2311"/>
      <c r="H38" s="2311"/>
      <c r="I38" s="2311"/>
      <c r="J38" s="2311"/>
      <c r="K38" s="2311"/>
      <c r="L38" s="2311"/>
      <c r="M38" s="2311"/>
      <c r="N38" s="2312"/>
    </row>
    <row r="39" spans="1:14" ht="24.75" hidden="1" customHeight="1" thickBot="1">
      <c r="A39" s="290" t="s">
        <v>94</v>
      </c>
      <c r="B39" s="291" t="s">
        <v>1</v>
      </c>
      <c r="C39" s="291" t="s">
        <v>2</v>
      </c>
      <c r="D39" s="291" t="s">
        <v>3</v>
      </c>
      <c r="E39" s="291" t="s">
        <v>4</v>
      </c>
      <c r="F39" s="291" t="s">
        <v>5</v>
      </c>
      <c r="G39" s="291" t="s">
        <v>6</v>
      </c>
      <c r="H39" s="291" t="s">
        <v>7</v>
      </c>
      <c r="I39" s="291" t="s">
        <v>8</v>
      </c>
      <c r="J39" s="291" t="s">
        <v>9</v>
      </c>
      <c r="K39" s="291" t="s">
        <v>10</v>
      </c>
      <c r="L39" s="291" t="s">
        <v>11</v>
      </c>
      <c r="M39" s="291" t="s">
        <v>12</v>
      </c>
      <c r="N39" s="292" t="s">
        <v>13</v>
      </c>
    </row>
    <row r="40" spans="1:14" ht="13.8" hidden="1" thickBot="1">
      <c r="A40" s="318" t="s">
        <v>241</v>
      </c>
      <c r="B40" s="319">
        <f t="shared" ref="B40:M40" si="4">SUM(B41:B45)</f>
        <v>0</v>
      </c>
      <c r="C40" s="320">
        <f t="shared" si="4"/>
        <v>0</v>
      </c>
      <c r="D40" s="320">
        <f t="shared" si="4"/>
        <v>0</v>
      </c>
      <c r="E40" s="320">
        <f t="shared" si="4"/>
        <v>0</v>
      </c>
      <c r="F40" s="320">
        <f t="shared" si="4"/>
        <v>0</v>
      </c>
      <c r="G40" s="320">
        <f t="shared" si="4"/>
        <v>0</v>
      </c>
      <c r="H40" s="320">
        <f t="shared" si="4"/>
        <v>0</v>
      </c>
      <c r="I40" s="320">
        <f t="shared" si="4"/>
        <v>0</v>
      </c>
      <c r="J40" s="320">
        <f t="shared" si="4"/>
        <v>0</v>
      </c>
      <c r="K40" s="320">
        <f t="shared" si="4"/>
        <v>0</v>
      </c>
      <c r="L40" s="320">
        <f t="shared" si="4"/>
        <v>0</v>
      </c>
      <c r="M40" s="321">
        <f t="shared" si="4"/>
        <v>0</v>
      </c>
      <c r="N40" s="322">
        <f>SUM(N41:N46)</f>
        <v>0</v>
      </c>
    </row>
    <row r="41" spans="1:14" hidden="1">
      <c r="A41" s="323" t="s">
        <v>242</v>
      </c>
      <c r="B41" s="299"/>
      <c r="C41" s="300"/>
      <c r="D41" s="300"/>
      <c r="E41" s="300"/>
      <c r="F41" s="300"/>
      <c r="G41" s="300"/>
      <c r="H41" s="300"/>
      <c r="I41" s="300"/>
      <c r="J41" s="300"/>
      <c r="K41" s="300"/>
      <c r="L41" s="300"/>
      <c r="M41" s="301"/>
      <c r="N41" s="324">
        <f>SUM(B41:M41)</f>
        <v>0</v>
      </c>
    </row>
    <row r="42" spans="1:14" hidden="1">
      <c r="A42" s="325" t="s">
        <v>243</v>
      </c>
      <c r="B42" s="304"/>
      <c r="C42" s="305"/>
      <c r="D42" s="305"/>
      <c r="E42" s="305"/>
      <c r="F42" s="305"/>
      <c r="G42" s="305"/>
      <c r="H42" s="305"/>
      <c r="I42" s="305"/>
      <c r="J42" s="305"/>
      <c r="K42" s="305"/>
      <c r="L42" s="305"/>
      <c r="M42" s="306"/>
      <c r="N42" s="306">
        <f>SUM(B42:M42)</f>
        <v>0</v>
      </c>
    </row>
    <row r="43" spans="1:14" hidden="1">
      <c r="A43" s="326" t="s">
        <v>244</v>
      </c>
      <c r="B43" s="309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1"/>
      <c r="N43" s="327">
        <f>SUM(B43:M43)</f>
        <v>0</v>
      </c>
    </row>
    <row r="44" spans="1:14" hidden="1">
      <c r="A44" s="325" t="s">
        <v>245</v>
      </c>
      <c r="B44" s="304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6"/>
      <c r="N44" s="306">
        <f>SUM(B44:M44)</f>
        <v>0</v>
      </c>
    </row>
    <row r="45" spans="1:14" ht="13.8" hidden="1" thickBot="1">
      <c r="A45" s="328" t="s">
        <v>240</v>
      </c>
      <c r="B45" s="314"/>
      <c r="C45" s="315"/>
      <c r="D45" s="315"/>
      <c r="E45" s="315"/>
      <c r="F45" s="315"/>
      <c r="G45" s="315"/>
      <c r="H45" s="315"/>
      <c r="I45" s="315"/>
      <c r="J45" s="315"/>
      <c r="K45" s="315"/>
      <c r="L45" s="315"/>
      <c r="M45" s="316"/>
      <c r="N45" s="329">
        <f>SUM(B45:M45)</f>
        <v>0</v>
      </c>
    </row>
    <row r="46" spans="1:14" hidden="1"/>
    <row r="47" spans="1:14" ht="24.75" hidden="1" customHeight="1">
      <c r="A47" s="289"/>
      <c r="B47" s="2310" t="s">
        <v>302</v>
      </c>
      <c r="C47" s="2311"/>
      <c r="D47" s="2311"/>
      <c r="E47" s="2311"/>
      <c r="F47" s="2311"/>
      <c r="G47" s="2311"/>
      <c r="H47" s="2311"/>
      <c r="I47" s="2311"/>
      <c r="J47" s="2311"/>
      <c r="K47" s="2311"/>
      <c r="L47" s="2311"/>
      <c r="M47" s="2311"/>
      <c r="N47" s="2312"/>
    </row>
    <row r="48" spans="1:14" ht="24.75" hidden="1" customHeight="1" thickBot="1">
      <c r="A48" s="290" t="s">
        <v>95</v>
      </c>
      <c r="B48" s="291" t="s">
        <v>1</v>
      </c>
      <c r="C48" s="291" t="s">
        <v>2</v>
      </c>
      <c r="D48" s="291" t="s">
        <v>3</v>
      </c>
      <c r="E48" s="291" t="s">
        <v>4</v>
      </c>
      <c r="F48" s="291" t="s">
        <v>5</v>
      </c>
      <c r="G48" s="291" t="s">
        <v>6</v>
      </c>
      <c r="H48" s="291" t="s">
        <v>7</v>
      </c>
      <c r="I48" s="291" t="s">
        <v>8</v>
      </c>
      <c r="J48" s="291" t="s">
        <v>9</v>
      </c>
      <c r="K48" s="291" t="s">
        <v>10</v>
      </c>
      <c r="L48" s="291" t="s">
        <v>11</v>
      </c>
      <c r="M48" s="291" t="s">
        <v>12</v>
      </c>
      <c r="N48" s="292" t="s">
        <v>13</v>
      </c>
    </row>
    <row r="49" spans="1:14" ht="13.8" hidden="1" thickBot="1">
      <c r="A49" s="318" t="s">
        <v>241</v>
      </c>
      <c r="B49" s="319">
        <f t="shared" ref="B49:M49" si="5">SUM(B50:B54)</f>
        <v>0</v>
      </c>
      <c r="C49" s="320">
        <f t="shared" si="5"/>
        <v>0</v>
      </c>
      <c r="D49" s="320">
        <f t="shared" si="5"/>
        <v>0</v>
      </c>
      <c r="E49" s="320">
        <f t="shared" si="5"/>
        <v>0</v>
      </c>
      <c r="F49" s="320">
        <f t="shared" si="5"/>
        <v>0</v>
      </c>
      <c r="G49" s="320">
        <f t="shared" si="5"/>
        <v>0</v>
      </c>
      <c r="H49" s="320">
        <f t="shared" si="5"/>
        <v>0</v>
      </c>
      <c r="I49" s="320">
        <f t="shared" si="5"/>
        <v>0</v>
      </c>
      <c r="J49" s="320">
        <f t="shared" si="5"/>
        <v>0</v>
      </c>
      <c r="K49" s="320">
        <f t="shared" si="5"/>
        <v>0</v>
      </c>
      <c r="L49" s="320">
        <f t="shared" si="5"/>
        <v>0</v>
      </c>
      <c r="M49" s="321">
        <f t="shared" si="5"/>
        <v>0</v>
      </c>
      <c r="N49" s="322">
        <f>SUM(N50:N55)</f>
        <v>0</v>
      </c>
    </row>
    <row r="50" spans="1:14" hidden="1">
      <c r="A50" s="323" t="s">
        <v>242</v>
      </c>
      <c r="B50" s="299"/>
      <c r="C50" s="300"/>
      <c r="D50" s="300"/>
      <c r="E50" s="300"/>
      <c r="F50" s="300"/>
      <c r="G50" s="300"/>
      <c r="H50" s="300"/>
      <c r="I50" s="300"/>
      <c r="J50" s="300"/>
      <c r="K50" s="300"/>
      <c r="L50" s="300"/>
      <c r="M50" s="301"/>
      <c r="N50" s="324">
        <f>SUM(B50:M50)</f>
        <v>0</v>
      </c>
    </row>
    <row r="51" spans="1:14" hidden="1">
      <c r="A51" s="325" t="s">
        <v>243</v>
      </c>
      <c r="B51" s="304"/>
      <c r="C51" s="305"/>
      <c r="D51" s="305"/>
      <c r="E51" s="305"/>
      <c r="F51" s="305"/>
      <c r="G51" s="305"/>
      <c r="H51" s="305"/>
      <c r="I51" s="305"/>
      <c r="J51" s="305"/>
      <c r="K51" s="305"/>
      <c r="L51" s="305"/>
      <c r="M51" s="306"/>
      <c r="N51" s="306">
        <f>SUM(B51:M51)</f>
        <v>0</v>
      </c>
    </row>
    <row r="52" spans="1:14" hidden="1">
      <c r="A52" s="326" t="s">
        <v>244</v>
      </c>
      <c r="B52" s="309"/>
      <c r="C52" s="310"/>
      <c r="D52" s="310"/>
      <c r="E52" s="310"/>
      <c r="F52" s="310"/>
      <c r="G52" s="310"/>
      <c r="H52" s="310"/>
      <c r="I52" s="310"/>
      <c r="J52" s="310"/>
      <c r="K52" s="310"/>
      <c r="L52" s="310"/>
      <c r="M52" s="311"/>
      <c r="N52" s="327">
        <f>SUM(B52:M52)</f>
        <v>0</v>
      </c>
    </row>
    <row r="53" spans="1:14" hidden="1">
      <c r="A53" s="325" t="s">
        <v>245</v>
      </c>
      <c r="B53" s="304"/>
      <c r="C53" s="305"/>
      <c r="D53" s="305"/>
      <c r="E53" s="305"/>
      <c r="F53" s="305"/>
      <c r="G53" s="305"/>
      <c r="H53" s="305"/>
      <c r="I53" s="305"/>
      <c r="J53" s="305"/>
      <c r="K53" s="305"/>
      <c r="L53" s="305"/>
      <c r="M53" s="306"/>
      <c r="N53" s="306">
        <f>SUM(B53:M53)</f>
        <v>0</v>
      </c>
    </row>
    <row r="54" spans="1:14" ht="13.8" hidden="1" thickBot="1">
      <c r="A54" s="328" t="s">
        <v>240</v>
      </c>
      <c r="B54" s="314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6"/>
      <c r="N54" s="329">
        <f>SUM(B54:M54)</f>
        <v>0</v>
      </c>
    </row>
    <row r="55" spans="1:14" hidden="1"/>
    <row r="56" spans="1:14" ht="24.75" hidden="1" customHeight="1">
      <c r="A56" s="289"/>
      <c r="B56" s="2310" t="s">
        <v>302</v>
      </c>
      <c r="C56" s="2311"/>
      <c r="D56" s="2311"/>
      <c r="E56" s="2311"/>
      <c r="F56" s="2311"/>
      <c r="G56" s="2311"/>
      <c r="H56" s="2311"/>
      <c r="I56" s="2311"/>
      <c r="J56" s="2311"/>
      <c r="K56" s="2311"/>
      <c r="L56" s="2311"/>
      <c r="M56" s="2311"/>
      <c r="N56" s="2312"/>
    </row>
    <row r="57" spans="1:14" ht="24.75" hidden="1" customHeight="1" thickBot="1">
      <c r="A57" s="290" t="s">
        <v>96</v>
      </c>
      <c r="B57" s="291" t="s">
        <v>1</v>
      </c>
      <c r="C57" s="291" t="s">
        <v>2</v>
      </c>
      <c r="D57" s="291" t="s">
        <v>3</v>
      </c>
      <c r="E57" s="291" t="s">
        <v>4</v>
      </c>
      <c r="F57" s="291" t="s">
        <v>5</v>
      </c>
      <c r="G57" s="291" t="s">
        <v>6</v>
      </c>
      <c r="H57" s="291" t="s">
        <v>7</v>
      </c>
      <c r="I57" s="291" t="s">
        <v>8</v>
      </c>
      <c r="J57" s="291" t="s">
        <v>9</v>
      </c>
      <c r="K57" s="291" t="s">
        <v>10</v>
      </c>
      <c r="L57" s="291" t="s">
        <v>11</v>
      </c>
      <c r="M57" s="291" t="s">
        <v>12</v>
      </c>
      <c r="N57" s="292" t="s">
        <v>13</v>
      </c>
    </row>
    <row r="58" spans="1:14" ht="13.8" hidden="1" thickBot="1">
      <c r="A58" s="318" t="s">
        <v>241</v>
      </c>
      <c r="B58" s="319">
        <f t="shared" ref="B58:M58" si="6">SUM(B59:B63)</f>
        <v>0</v>
      </c>
      <c r="C58" s="320">
        <f t="shared" si="6"/>
        <v>0</v>
      </c>
      <c r="D58" s="320">
        <f t="shared" si="6"/>
        <v>0</v>
      </c>
      <c r="E58" s="320">
        <f t="shared" si="6"/>
        <v>0</v>
      </c>
      <c r="F58" s="320">
        <f t="shared" si="6"/>
        <v>0</v>
      </c>
      <c r="G58" s="320">
        <f t="shared" si="6"/>
        <v>0</v>
      </c>
      <c r="H58" s="320">
        <f t="shared" si="6"/>
        <v>0</v>
      </c>
      <c r="I58" s="320">
        <f t="shared" si="6"/>
        <v>0</v>
      </c>
      <c r="J58" s="320">
        <f t="shared" si="6"/>
        <v>0</v>
      </c>
      <c r="K58" s="320">
        <f t="shared" si="6"/>
        <v>0</v>
      </c>
      <c r="L58" s="320">
        <f t="shared" si="6"/>
        <v>0</v>
      </c>
      <c r="M58" s="321">
        <f t="shared" si="6"/>
        <v>0</v>
      </c>
      <c r="N58" s="322">
        <f>SUM(N59:N64)</f>
        <v>0</v>
      </c>
    </row>
    <row r="59" spans="1:14" hidden="1">
      <c r="A59" s="323" t="s">
        <v>242</v>
      </c>
      <c r="B59" s="299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1"/>
      <c r="N59" s="324">
        <f>SUM(B59:M59)</f>
        <v>0</v>
      </c>
    </row>
    <row r="60" spans="1:14" hidden="1">
      <c r="A60" s="325" t="s">
        <v>243</v>
      </c>
      <c r="B60" s="304"/>
      <c r="C60" s="305"/>
      <c r="D60" s="305"/>
      <c r="E60" s="305"/>
      <c r="F60" s="305"/>
      <c r="G60" s="305"/>
      <c r="H60" s="305"/>
      <c r="I60" s="305"/>
      <c r="J60" s="305"/>
      <c r="K60" s="305"/>
      <c r="L60" s="305"/>
      <c r="M60" s="306"/>
      <c r="N60" s="306">
        <f>SUM(B60:M60)</f>
        <v>0</v>
      </c>
    </row>
    <row r="61" spans="1:14" hidden="1">
      <c r="A61" s="326" t="s">
        <v>244</v>
      </c>
      <c r="B61" s="309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1"/>
      <c r="N61" s="327">
        <f>SUM(B61:M61)</f>
        <v>0</v>
      </c>
    </row>
    <row r="62" spans="1:14" hidden="1">
      <c r="A62" s="325" t="s">
        <v>245</v>
      </c>
      <c r="B62" s="304"/>
      <c r="C62" s="305"/>
      <c r="D62" s="305"/>
      <c r="E62" s="305"/>
      <c r="F62" s="305"/>
      <c r="G62" s="305"/>
      <c r="H62" s="305"/>
      <c r="I62" s="305"/>
      <c r="J62" s="305"/>
      <c r="K62" s="305"/>
      <c r="L62" s="305"/>
      <c r="M62" s="306"/>
      <c r="N62" s="306">
        <f>SUM(B62:M62)</f>
        <v>0</v>
      </c>
    </row>
    <row r="63" spans="1:14" ht="13.8" hidden="1" thickBot="1">
      <c r="A63" s="328" t="s">
        <v>240</v>
      </c>
      <c r="B63" s="314"/>
      <c r="C63" s="315"/>
      <c r="D63" s="315"/>
      <c r="E63" s="315"/>
      <c r="F63" s="315"/>
      <c r="G63" s="315"/>
      <c r="H63" s="315"/>
      <c r="I63" s="315"/>
      <c r="J63" s="315"/>
      <c r="K63" s="315"/>
      <c r="L63" s="315"/>
      <c r="M63" s="316"/>
      <c r="N63" s="329">
        <f>SUM(B63:M63)</f>
        <v>0</v>
      </c>
    </row>
    <row r="64" spans="1:14" hidden="1"/>
    <row r="65" spans="1:14" ht="24.75" hidden="1" customHeight="1">
      <c r="A65" s="289"/>
      <c r="B65" s="2310" t="s">
        <v>302</v>
      </c>
      <c r="C65" s="2311"/>
      <c r="D65" s="2311"/>
      <c r="E65" s="2311"/>
      <c r="F65" s="2311"/>
      <c r="G65" s="2311"/>
      <c r="H65" s="2311"/>
      <c r="I65" s="2311"/>
      <c r="J65" s="2311"/>
      <c r="K65" s="2311"/>
      <c r="L65" s="2311"/>
      <c r="M65" s="2311"/>
      <c r="N65" s="2312"/>
    </row>
    <row r="66" spans="1:14" ht="24.75" hidden="1" customHeight="1" thickBot="1">
      <c r="A66" s="290" t="s">
        <v>97</v>
      </c>
      <c r="B66" s="291" t="s">
        <v>1</v>
      </c>
      <c r="C66" s="291" t="s">
        <v>2</v>
      </c>
      <c r="D66" s="291" t="s">
        <v>3</v>
      </c>
      <c r="E66" s="291" t="s">
        <v>4</v>
      </c>
      <c r="F66" s="291" t="s">
        <v>5</v>
      </c>
      <c r="G66" s="291" t="s">
        <v>6</v>
      </c>
      <c r="H66" s="291" t="s">
        <v>7</v>
      </c>
      <c r="I66" s="291" t="s">
        <v>8</v>
      </c>
      <c r="J66" s="291" t="s">
        <v>9</v>
      </c>
      <c r="K66" s="291" t="s">
        <v>10</v>
      </c>
      <c r="L66" s="291" t="s">
        <v>11</v>
      </c>
      <c r="M66" s="291" t="s">
        <v>12</v>
      </c>
      <c r="N66" s="292" t="s">
        <v>13</v>
      </c>
    </row>
    <row r="67" spans="1:14" ht="13.8" hidden="1" thickBot="1">
      <c r="A67" s="318" t="s">
        <v>241</v>
      </c>
      <c r="B67" s="319">
        <f t="shared" ref="B67:M67" si="7">SUM(B68:B72)</f>
        <v>0</v>
      </c>
      <c r="C67" s="320">
        <f t="shared" si="7"/>
        <v>0</v>
      </c>
      <c r="D67" s="320">
        <f t="shared" si="7"/>
        <v>0</v>
      </c>
      <c r="E67" s="320">
        <f t="shared" si="7"/>
        <v>0</v>
      </c>
      <c r="F67" s="320">
        <f t="shared" si="7"/>
        <v>0</v>
      </c>
      <c r="G67" s="320">
        <f t="shared" si="7"/>
        <v>0</v>
      </c>
      <c r="H67" s="320">
        <f t="shared" si="7"/>
        <v>0</v>
      </c>
      <c r="I67" s="320">
        <f t="shared" si="7"/>
        <v>0</v>
      </c>
      <c r="J67" s="320">
        <f t="shared" si="7"/>
        <v>0</v>
      </c>
      <c r="K67" s="320">
        <f t="shared" si="7"/>
        <v>0</v>
      </c>
      <c r="L67" s="320">
        <f t="shared" si="7"/>
        <v>0</v>
      </c>
      <c r="M67" s="321">
        <f t="shared" si="7"/>
        <v>0</v>
      </c>
      <c r="N67" s="322">
        <f>SUM(N68:N73)</f>
        <v>0</v>
      </c>
    </row>
    <row r="68" spans="1:14" hidden="1">
      <c r="A68" s="323" t="s">
        <v>242</v>
      </c>
      <c r="B68" s="299"/>
      <c r="C68" s="300"/>
      <c r="D68" s="300"/>
      <c r="E68" s="300"/>
      <c r="F68" s="300"/>
      <c r="G68" s="300"/>
      <c r="H68" s="300"/>
      <c r="I68" s="300"/>
      <c r="J68" s="300"/>
      <c r="K68" s="300"/>
      <c r="L68" s="300"/>
      <c r="M68" s="301"/>
      <c r="N68" s="324">
        <f>SUM(B68:M68)</f>
        <v>0</v>
      </c>
    </row>
    <row r="69" spans="1:14" hidden="1">
      <c r="A69" s="325" t="s">
        <v>243</v>
      </c>
      <c r="B69" s="304"/>
      <c r="C69" s="305"/>
      <c r="D69" s="305"/>
      <c r="E69" s="305"/>
      <c r="F69" s="305"/>
      <c r="G69" s="305"/>
      <c r="H69" s="305"/>
      <c r="I69" s="305"/>
      <c r="J69" s="305"/>
      <c r="K69" s="305"/>
      <c r="L69" s="305"/>
      <c r="M69" s="306"/>
      <c r="N69" s="306">
        <f>SUM(B69:M69)</f>
        <v>0</v>
      </c>
    </row>
    <row r="70" spans="1:14" hidden="1">
      <c r="A70" s="326" t="s">
        <v>244</v>
      </c>
      <c r="B70" s="309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1"/>
      <c r="N70" s="327">
        <f>SUM(B70:M70)</f>
        <v>0</v>
      </c>
    </row>
    <row r="71" spans="1:14" hidden="1">
      <c r="A71" s="325" t="s">
        <v>245</v>
      </c>
      <c r="B71" s="304"/>
      <c r="C71" s="305"/>
      <c r="D71" s="305"/>
      <c r="E71" s="305"/>
      <c r="F71" s="305"/>
      <c r="G71" s="305"/>
      <c r="H71" s="305"/>
      <c r="I71" s="305"/>
      <c r="J71" s="305"/>
      <c r="K71" s="305"/>
      <c r="L71" s="305"/>
      <c r="M71" s="306"/>
      <c r="N71" s="306">
        <f>SUM(B71:M71)</f>
        <v>0</v>
      </c>
    </row>
    <row r="72" spans="1:14" ht="13.8" hidden="1" thickBot="1">
      <c r="A72" s="328" t="s">
        <v>240</v>
      </c>
      <c r="B72" s="314"/>
      <c r="C72" s="315"/>
      <c r="D72" s="315"/>
      <c r="E72" s="315"/>
      <c r="F72" s="315"/>
      <c r="G72" s="315"/>
      <c r="H72" s="315"/>
      <c r="I72" s="315"/>
      <c r="J72" s="315"/>
      <c r="K72" s="315"/>
      <c r="L72" s="315"/>
      <c r="M72" s="316"/>
      <c r="N72" s="329">
        <f>SUM(B72:M72)</f>
        <v>0</v>
      </c>
    </row>
    <row r="73" spans="1:14" hidden="1"/>
    <row r="74" spans="1:14" ht="24.75" hidden="1" customHeight="1">
      <c r="A74" s="289"/>
      <c r="B74" s="2310" t="s">
        <v>302</v>
      </c>
      <c r="C74" s="2311"/>
      <c r="D74" s="2311"/>
      <c r="E74" s="2311"/>
      <c r="F74" s="2311"/>
      <c r="G74" s="2311"/>
      <c r="H74" s="2311"/>
      <c r="I74" s="2311"/>
      <c r="J74" s="2311"/>
      <c r="K74" s="2311"/>
      <c r="L74" s="2311"/>
      <c r="M74" s="2311"/>
      <c r="N74" s="2312"/>
    </row>
    <row r="75" spans="1:14" ht="24.75" hidden="1" customHeight="1" thickBot="1">
      <c r="A75" s="290" t="s">
        <v>98</v>
      </c>
      <c r="B75" s="291" t="s">
        <v>1</v>
      </c>
      <c r="C75" s="291" t="s">
        <v>2</v>
      </c>
      <c r="D75" s="291" t="s">
        <v>3</v>
      </c>
      <c r="E75" s="291" t="s">
        <v>4</v>
      </c>
      <c r="F75" s="291" t="s">
        <v>5</v>
      </c>
      <c r="G75" s="291" t="s">
        <v>6</v>
      </c>
      <c r="H75" s="291" t="s">
        <v>7</v>
      </c>
      <c r="I75" s="291" t="s">
        <v>8</v>
      </c>
      <c r="J75" s="291" t="s">
        <v>9</v>
      </c>
      <c r="K75" s="291" t="s">
        <v>10</v>
      </c>
      <c r="L75" s="291" t="s">
        <v>11</v>
      </c>
      <c r="M75" s="291" t="s">
        <v>12</v>
      </c>
      <c r="N75" s="292" t="s">
        <v>13</v>
      </c>
    </row>
    <row r="76" spans="1:14" ht="13.8" hidden="1" thickBot="1">
      <c r="A76" s="318" t="s">
        <v>241</v>
      </c>
      <c r="B76" s="319">
        <f t="shared" ref="B76:M76" si="8">SUM(B77:B81)</f>
        <v>0</v>
      </c>
      <c r="C76" s="320">
        <f t="shared" si="8"/>
        <v>0</v>
      </c>
      <c r="D76" s="320">
        <f t="shared" si="8"/>
        <v>0</v>
      </c>
      <c r="E76" s="320">
        <f t="shared" si="8"/>
        <v>0</v>
      </c>
      <c r="F76" s="320">
        <f t="shared" si="8"/>
        <v>0</v>
      </c>
      <c r="G76" s="320">
        <f t="shared" si="8"/>
        <v>0</v>
      </c>
      <c r="H76" s="320">
        <f t="shared" si="8"/>
        <v>0</v>
      </c>
      <c r="I76" s="320">
        <f t="shared" si="8"/>
        <v>0</v>
      </c>
      <c r="J76" s="320">
        <f t="shared" si="8"/>
        <v>0</v>
      </c>
      <c r="K76" s="320">
        <f t="shared" si="8"/>
        <v>0</v>
      </c>
      <c r="L76" s="320">
        <f t="shared" si="8"/>
        <v>0</v>
      </c>
      <c r="M76" s="321">
        <f t="shared" si="8"/>
        <v>0</v>
      </c>
      <c r="N76" s="322">
        <f>SUM(N77:N81)</f>
        <v>0</v>
      </c>
    </row>
    <row r="77" spans="1:14" hidden="1">
      <c r="A77" s="323" t="s">
        <v>242</v>
      </c>
      <c r="B77" s="299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1"/>
      <c r="N77" s="324">
        <f>SUM(B77:M77)</f>
        <v>0</v>
      </c>
    </row>
    <row r="78" spans="1:14" hidden="1">
      <c r="A78" s="325" t="s">
        <v>243</v>
      </c>
      <c r="B78" s="304"/>
      <c r="C78" s="305"/>
      <c r="D78" s="305"/>
      <c r="E78" s="305"/>
      <c r="F78" s="305"/>
      <c r="G78" s="305"/>
      <c r="H78" s="305"/>
      <c r="I78" s="305"/>
      <c r="J78" s="305"/>
      <c r="K78" s="305"/>
      <c r="L78" s="305"/>
      <c r="M78" s="306"/>
      <c r="N78" s="306">
        <f>SUM(B78:M78)</f>
        <v>0</v>
      </c>
    </row>
    <row r="79" spans="1:14" hidden="1">
      <c r="A79" s="326" t="s">
        <v>244</v>
      </c>
      <c r="B79" s="309"/>
      <c r="C79" s="310"/>
      <c r="D79" s="310"/>
      <c r="E79" s="310"/>
      <c r="F79" s="310"/>
      <c r="G79" s="310"/>
      <c r="H79" s="310"/>
      <c r="I79" s="310"/>
      <c r="J79" s="310"/>
      <c r="K79" s="310"/>
      <c r="L79" s="310"/>
      <c r="M79" s="311"/>
      <c r="N79" s="327">
        <f>SUM(B79:M79)</f>
        <v>0</v>
      </c>
    </row>
    <row r="80" spans="1:14" hidden="1">
      <c r="A80" s="325" t="s">
        <v>245</v>
      </c>
      <c r="B80" s="304"/>
      <c r="C80" s="305"/>
      <c r="D80" s="305"/>
      <c r="E80" s="305"/>
      <c r="F80" s="305"/>
      <c r="G80" s="305"/>
      <c r="H80" s="305"/>
      <c r="I80" s="305"/>
      <c r="J80" s="305"/>
      <c r="K80" s="305"/>
      <c r="L80" s="305"/>
      <c r="M80" s="306"/>
      <c r="N80" s="306">
        <f>SUM(B80:M80)</f>
        <v>0</v>
      </c>
    </row>
    <row r="81" spans="1:14" ht="13.8" hidden="1" thickBot="1">
      <c r="A81" s="328" t="s">
        <v>240</v>
      </c>
      <c r="B81" s="314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6"/>
      <c r="N81" s="329">
        <f>SUM(B81:M81)</f>
        <v>0</v>
      </c>
    </row>
    <row r="82" spans="1:14" hidden="1"/>
    <row r="83" spans="1:14" ht="24.75" hidden="1" customHeight="1">
      <c r="A83" s="289"/>
      <c r="B83" s="2310" t="s">
        <v>302</v>
      </c>
      <c r="C83" s="2311"/>
      <c r="D83" s="2311"/>
      <c r="E83" s="2311"/>
      <c r="F83" s="2311"/>
      <c r="G83" s="2311"/>
      <c r="H83" s="2311"/>
      <c r="I83" s="2311"/>
      <c r="J83" s="2311"/>
      <c r="K83" s="2311"/>
      <c r="L83" s="2311"/>
      <c r="M83" s="2311"/>
      <c r="N83" s="2312"/>
    </row>
    <row r="84" spans="1:14" ht="24.75" hidden="1" customHeight="1" thickBot="1">
      <c r="A84" s="290" t="s">
        <v>99</v>
      </c>
      <c r="B84" s="291" t="s">
        <v>1</v>
      </c>
      <c r="C84" s="291" t="s">
        <v>2</v>
      </c>
      <c r="D84" s="291" t="s">
        <v>3</v>
      </c>
      <c r="E84" s="291" t="s">
        <v>4</v>
      </c>
      <c r="F84" s="291" t="s">
        <v>5</v>
      </c>
      <c r="G84" s="291" t="s">
        <v>6</v>
      </c>
      <c r="H84" s="291" t="s">
        <v>7</v>
      </c>
      <c r="I84" s="291" t="s">
        <v>8</v>
      </c>
      <c r="J84" s="291" t="s">
        <v>9</v>
      </c>
      <c r="K84" s="291" t="s">
        <v>10</v>
      </c>
      <c r="L84" s="291" t="s">
        <v>11</v>
      </c>
      <c r="M84" s="291" t="s">
        <v>12</v>
      </c>
      <c r="N84" s="292" t="s">
        <v>13</v>
      </c>
    </row>
    <row r="85" spans="1:14" ht="13.8" hidden="1" thickBot="1">
      <c r="A85" s="318" t="s">
        <v>241</v>
      </c>
      <c r="B85" s="319">
        <f t="shared" ref="B85:M85" si="9">SUM(B86:B90)</f>
        <v>0</v>
      </c>
      <c r="C85" s="320">
        <f t="shared" si="9"/>
        <v>0</v>
      </c>
      <c r="D85" s="320">
        <f t="shared" si="9"/>
        <v>0</v>
      </c>
      <c r="E85" s="320">
        <f t="shared" si="9"/>
        <v>0</v>
      </c>
      <c r="F85" s="320">
        <f t="shared" si="9"/>
        <v>0</v>
      </c>
      <c r="G85" s="320">
        <f t="shared" si="9"/>
        <v>0</v>
      </c>
      <c r="H85" s="320">
        <f t="shared" si="9"/>
        <v>0</v>
      </c>
      <c r="I85" s="320">
        <f t="shared" si="9"/>
        <v>0</v>
      </c>
      <c r="J85" s="320">
        <f t="shared" si="9"/>
        <v>0</v>
      </c>
      <c r="K85" s="320">
        <f t="shared" si="9"/>
        <v>0</v>
      </c>
      <c r="L85" s="320">
        <f t="shared" si="9"/>
        <v>0</v>
      </c>
      <c r="M85" s="321">
        <f t="shared" si="9"/>
        <v>0</v>
      </c>
      <c r="N85" s="322">
        <f>SUM(N86:N100)</f>
        <v>0</v>
      </c>
    </row>
    <row r="86" spans="1:14" hidden="1">
      <c r="A86" s="323" t="s">
        <v>242</v>
      </c>
      <c r="B86" s="299"/>
      <c r="C86" s="300"/>
      <c r="D86" s="300"/>
      <c r="E86" s="300"/>
      <c r="F86" s="300"/>
      <c r="G86" s="300"/>
      <c r="H86" s="300"/>
      <c r="I86" s="300"/>
      <c r="J86" s="300"/>
      <c r="K86" s="300"/>
      <c r="L86" s="300"/>
      <c r="M86" s="301"/>
      <c r="N86" s="324">
        <f>SUM(B86:M86)</f>
        <v>0</v>
      </c>
    </row>
    <row r="87" spans="1:14" hidden="1">
      <c r="A87" s="325" t="s">
        <v>243</v>
      </c>
      <c r="B87" s="304"/>
      <c r="C87" s="305"/>
      <c r="D87" s="305"/>
      <c r="E87" s="305"/>
      <c r="F87" s="305"/>
      <c r="G87" s="305"/>
      <c r="H87" s="305"/>
      <c r="I87" s="305"/>
      <c r="J87" s="305"/>
      <c r="K87" s="305"/>
      <c r="L87" s="305"/>
      <c r="M87" s="306"/>
      <c r="N87" s="306">
        <f>SUM(B87:M87)</f>
        <v>0</v>
      </c>
    </row>
    <row r="88" spans="1:14" hidden="1">
      <c r="A88" s="326" t="s">
        <v>244</v>
      </c>
      <c r="B88" s="309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1"/>
      <c r="N88" s="327">
        <f>SUM(B88:M88)</f>
        <v>0</v>
      </c>
    </row>
    <row r="89" spans="1:14" hidden="1">
      <c r="A89" s="325" t="s">
        <v>245</v>
      </c>
      <c r="B89" s="304"/>
      <c r="C89" s="305"/>
      <c r="D89" s="305"/>
      <c r="E89" s="305"/>
      <c r="F89" s="305"/>
      <c r="G89" s="305"/>
      <c r="H89" s="305"/>
      <c r="I89" s="305"/>
      <c r="J89" s="305"/>
      <c r="K89" s="305"/>
      <c r="L89" s="305"/>
      <c r="M89" s="306"/>
      <c r="N89" s="306">
        <f>SUM(B89:M89)</f>
        <v>0</v>
      </c>
    </row>
    <row r="90" spans="1:14" ht="13.8" hidden="1" thickBot="1">
      <c r="A90" s="328" t="s">
        <v>240</v>
      </c>
      <c r="B90" s="314"/>
      <c r="C90" s="315"/>
      <c r="D90" s="315"/>
      <c r="E90" s="315"/>
      <c r="F90" s="315"/>
      <c r="G90" s="315"/>
      <c r="H90" s="315"/>
      <c r="I90" s="315"/>
      <c r="J90" s="315"/>
      <c r="K90" s="315"/>
      <c r="L90" s="315"/>
      <c r="M90" s="316"/>
      <c r="N90" s="329">
        <f>SUM(B90:M90)</f>
        <v>0</v>
      </c>
    </row>
    <row r="91" spans="1:14" hidden="1"/>
    <row r="92" spans="1:14" ht="24.75" hidden="1" customHeight="1">
      <c r="A92" s="289"/>
      <c r="B92" s="2310" t="s">
        <v>302</v>
      </c>
      <c r="C92" s="2311"/>
      <c r="D92" s="2311"/>
      <c r="E92" s="2311"/>
      <c r="F92" s="2311"/>
      <c r="G92" s="2311"/>
      <c r="H92" s="2311"/>
      <c r="I92" s="2311"/>
      <c r="J92" s="2311"/>
      <c r="K92" s="2311"/>
      <c r="L92" s="2311"/>
      <c r="M92" s="2311"/>
      <c r="N92" s="2312"/>
    </row>
    <row r="93" spans="1:14" ht="24.75" hidden="1" customHeight="1" thickBot="1">
      <c r="A93" s="290" t="s">
        <v>100</v>
      </c>
      <c r="B93" s="291" t="s">
        <v>1</v>
      </c>
      <c r="C93" s="291" t="s">
        <v>2</v>
      </c>
      <c r="D93" s="291" t="s">
        <v>3</v>
      </c>
      <c r="E93" s="291" t="s">
        <v>4</v>
      </c>
      <c r="F93" s="291" t="s">
        <v>5</v>
      </c>
      <c r="G93" s="291" t="s">
        <v>6</v>
      </c>
      <c r="H93" s="291" t="s">
        <v>7</v>
      </c>
      <c r="I93" s="291" t="s">
        <v>8</v>
      </c>
      <c r="J93" s="291" t="s">
        <v>9</v>
      </c>
      <c r="K93" s="291" t="s">
        <v>10</v>
      </c>
      <c r="L93" s="291" t="s">
        <v>11</v>
      </c>
      <c r="M93" s="291" t="s">
        <v>12</v>
      </c>
      <c r="N93" s="292" t="s">
        <v>13</v>
      </c>
    </row>
    <row r="94" spans="1:14" ht="13.8" hidden="1" thickBot="1">
      <c r="A94" s="318" t="s">
        <v>241</v>
      </c>
      <c r="B94" s="319">
        <f t="shared" ref="B94:M94" si="10">SUM(B95:B99)</f>
        <v>0</v>
      </c>
      <c r="C94" s="320">
        <f t="shared" si="10"/>
        <v>0</v>
      </c>
      <c r="D94" s="320">
        <f t="shared" si="10"/>
        <v>0</v>
      </c>
      <c r="E94" s="320">
        <f t="shared" si="10"/>
        <v>0</v>
      </c>
      <c r="F94" s="320">
        <f t="shared" si="10"/>
        <v>0</v>
      </c>
      <c r="G94" s="320">
        <f t="shared" si="10"/>
        <v>0</v>
      </c>
      <c r="H94" s="320">
        <f t="shared" si="10"/>
        <v>0</v>
      </c>
      <c r="I94" s="320">
        <f t="shared" si="10"/>
        <v>0</v>
      </c>
      <c r="J94" s="320">
        <f t="shared" si="10"/>
        <v>0</v>
      </c>
      <c r="K94" s="320">
        <f t="shared" si="10"/>
        <v>0</v>
      </c>
      <c r="L94" s="320">
        <f t="shared" si="10"/>
        <v>0</v>
      </c>
      <c r="M94" s="321">
        <f t="shared" si="10"/>
        <v>0</v>
      </c>
      <c r="N94" s="322">
        <f>SUM(N95:N100)</f>
        <v>0</v>
      </c>
    </row>
    <row r="95" spans="1:14" hidden="1">
      <c r="A95" s="323" t="s">
        <v>242</v>
      </c>
      <c r="B95" s="299"/>
      <c r="C95" s="300"/>
      <c r="D95" s="300"/>
      <c r="E95" s="300"/>
      <c r="F95" s="300"/>
      <c r="G95" s="300"/>
      <c r="H95" s="300"/>
      <c r="I95" s="300"/>
      <c r="J95" s="300"/>
      <c r="K95" s="300"/>
      <c r="L95" s="300"/>
      <c r="M95" s="301"/>
      <c r="N95" s="324">
        <f>SUM(B95:M95)</f>
        <v>0</v>
      </c>
    </row>
    <row r="96" spans="1:14" hidden="1">
      <c r="A96" s="325" t="s">
        <v>243</v>
      </c>
      <c r="B96" s="304"/>
      <c r="C96" s="305"/>
      <c r="D96" s="305"/>
      <c r="E96" s="305"/>
      <c r="F96" s="305"/>
      <c r="G96" s="305"/>
      <c r="H96" s="305"/>
      <c r="I96" s="305"/>
      <c r="J96" s="305"/>
      <c r="K96" s="305"/>
      <c r="L96" s="305"/>
      <c r="M96" s="306"/>
      <c r="N96" s="306">
        <f>SUM(B96:M96)</f>
        <v>0</v>
      </c>
    </row>
    <row r="97" spans="1:14" hidden="1">
      <c r="A97" s="326" t="s">
        <v>244</v>
      </c>
      <c r="B97" s="309"/>
      <c r="C97" s="310"/>
      <c r="D97" s="310"/>
      <c r="E97" s="310"/>
      <c r="F97" s="310"/>
      <c r="G97" s="310"/>
      <c r="H97" s="310"/>
      <c r="I97" s="310"/>
      <c r="J97" s="310"/>
      <c r="K97" s="310"/>
      <c r="L97" s="310"/>
      <c r="M97" s="311"/>
      <c r="N97" s="327">
        <f>SUM(B97:M97)</f>
        <v>0</v>
      </c>
    </row>
    <row r="98" spans="1:14" hidden="1">
      <c r="A98" s="325" t="s">
        <v>245</v>
      </c>
      <c r="B98" s="304"/>
      <c r="C98" s="305"/>
      <c r="D98" s="305"/>
      <c r="E98" s="305"/>
      <c r="F98" s="305"/>
      <c r="G98" s="305"/>
      <c r="H98" s="305"/>
      <c r="I98" s="305"/>
      <c r="J98" s="305"/>
      <c r="K98" s="305"/>
      <c r="L98" s="305"/>
      <c r="M98" s="306"/>
      <c r="N98" s="306">
        <f>SUM(B98:M98)</f>
        <v>0</v>
      </c>
    </row>
    <row r="99" spans="1:14" ht="13.8" hidden="1" thickBot="1">
      <c r="A99" s="328" t="s">
        <v>240</v>
      </c>
      <c r="B99" s="314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6"/>
      <c r="N99" s="329">
        <f>SUM(B99:M99)</f>
        <v>0</v>
      </c>
    </row>
    <row r="100" spans="1:14" hidden="1"/>
    <row r="101" spans="1:14" ht="24.75" hidden="1" customHeight="1">
      <c r="A101" s="289"/>
      <c r="B101" s="2310" t="s">
        <v>302</v>
      </c>
      <c r="C101" s="2311"/>
      <c r="D101" s="2311"/>
      <c r="E101" s="2311"/>
      <c r="F101" s="2311"/>
      <c r="G101" s="2311"/>
      <c r="H101" s="2311"/>
      <c r="I101" s="2311"/>
      <c r="J101" s="2311"/>
      <c r="K101" s="2311"/>
      <c r="L101" s="2311"/>
      <c r="M101" s="2311"/>
      <c r="N101" s="2312"/>
    </row>
    <row r="102" spans="1:14" ht="24.75" hidden="1" customHeight="1" thickBot="1">
      <c r="A102" s="290" t="s">
        <v>101</v>
      </c>
      <c r="B102" s="291" t="s">
        <v>1</v>
      </c>
      <c r="C102" s="291" t="s">
        <v>2</v>
      </c>
      <c r="D102" s="291" t="s">
        <v>3</v>
      </c>
      <c r="E102" s="291" t="s">
        <v>4</v>
      </c>
      <c r="F102" s="291" t="s">
        <v>5</v>
      </c>
      <c r="G102" s="291" t="s">
        <v>6</v>
      </c>
      <c r="H102" s="291" t="s">
        <v>7</v>
      </c>
      <c r="I102" s="291" t="s">
        <v>8</v>
      </c>
      <c r="J102" s="291" t="s">
        <v>9</v>
      </c>
      <c r="K102" s="291" t="s">
        <v>10</v>
      </c>
      <c r="L102" s="291" t="s">
        <v>11</v>
      </c>
      <c r="M102" s="291" t="s">
        <v>12</v>
      </c>
      <c r="N102" s="292" t="s">
        <v>13</v>
      </c>
    </row>
    <row r="103" spans="1:14" ht="13.8" hidden="1" thickBot="1">
      <c r="A103" s="318" t="s">
        <v>241</v>
      </c>
      <c r="B103" s="319">
        <f t="shared" ref="B103:M103" si="11">SUM(B104:B108)</f>
        <v>0</v>
      </c>
      <c r="C103" s="320">
        <f t="shared" si="11"/>
        <v>0</v>
      </c>
      <c r="D103" s="320">
        <f t="shared" si="11"/>
        <v>0</v>
      </c>
      <c r="E103" s="320">
        <f t="shared" si="11"/>
        <v>0</v>
      </c>
      <c r="F103" s="320">
        <f t="shared" si="11"/>
        <v>0</v>
      </c>
      <c r="G103" s="320">
        <f t="shared" si="11"/>
        <v>0</v>
      </c>
      <c r="H103" s="320">
        <f t="shared" si="11"/>
        <v>0</v>
      </c>
      <c r="I103" s="320">
        <f t="shared" si="11"/>
        <v>0</v>
      </c>
      <c r="J103" s="320">
        <f t="shared" si="11"/>
        <v>0</v>
      </c>
      <c r="K103" s="320">
        <f t="shared" si="11"/>
        <v>0</v>
      </c>
      <c r="L103" s="320">
        <f t="shared" si="11"/>
        <v>0</v>
      </c>
      <c r="M103" s="321">
        <f t="shared" si="11"/>
        <v>0</v>
      </c>
      <c r="N103" s="322">
        <f>SUM(N104:N108)</f>
        <v>0</v>
      </c>
    </row>
    <row r="104" spans="1:14" hidden="1">
      <c r="A104" s="323" t="s">
        <v>242</v>
      </c>
      <c r="B104" s="299"/>
      <c r="C104" s="300"/>
      <c r="D104" s="300"/>
      <c r="E104" s="300"/>
      <c r="F104" s="300"/>
      <c r="G104" s="300"/>
      <c r="H104" s="300"/>
      <c r="I104" s="300"/>
      <c r="J104" s="300"/>
      <c r="K104" s="300"/>
      <c r="L104" s="300"/>
      <c r="M104" s="301"/>
      <c r="N104" s="324">
        <f>SUM(B104:M104)</f>
        <v>0</v>
      </c>
    </row>
    <row r="105" spans="1:14" hidden="1">
      <c r="A105" s="325" t="s">
        <v>243</v>
      </c>
      <c r="B105" s="304"/>
      <c r="C105" s="305"/>
      <c r="D105" s="305"/>
      <c r="E105" s="305"/>
      <c r="F105" s="305"/>
      <c r="G105" s="305"/>
      <c r="H105" s="305"/>
      <c r="I105" s="305"/>
      <c r="J105" s="305"/>
      <c r="K105" s="305"/>
      <c r="L105" s="305"/>
      <c r="M105" s="306"/>
      <c r="N105" s="306">
        <f>SUM(B105:M105)</f>
        <v>0</v>
      </c>
    </row>
    <row r="106" spans="1:14" hidden="1">
      <c r="A106" s="326" t="s">
        <v>244</v>
      </c>
      <c r="B106" s="309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1"/>
      <c r="N106" s="327">
        <f>SUM(B106:M106)</f>
        <v>0</v>
      </c>
    </row>
    <row r="107" spans="1:14" hidden="1">
      <c r="A107" s="325" t="s">
        <v>245</v>
      </c>
      <c r="B107" s="304"/>
      <c r="C107" s="305"/>
      <c r="D107" s="305"/>
      <c r="E107" s="305"/>
      <c r="F107" s="305"/>
      <c r="G107" s="305"/>
      <c r="H107" s="305"/>
      <c r="I107" s="305"/>
      <c r="J107" s="305"/>
      <c r="K107" s="305"/>
      <c r="L107" s="305"/>
      <c r="M107" s="306"/>
      <c r="N107" s="306">
        <f>SUM(B107:M107)</f>
        <v>0</v>
      </c>
    </row>
    <row r="108" spans="1:14" ht="13.8" hidden="1" thickBot="1">
      <c r="A108" s="328" t="s">
        <v>240</v>
      </c>
      <c r="B108" s="314"/>
      <c r="C108" s="315"/>
      <c r="D108" s="315"/>
      <c r="E108" s="315"/>
      <c r="F108" s="315"/>
      <c r="G108" s="315"/>
      <c r="H108" s="315"/>
      <c r="I108" s="315"/>
      <c r="J108" s="315"/>
      <c r="K108" s="315"/>
      <c r="L108" s="315"/>
      <c r="M108" s="316"/>
      <c r="N108" s="329">
        <f>SUM(B108:M108)</f>
        <v>0</v>
      </c>
    </row>
    <row r="109" spans="1:14" hidden="1"/>
    <row r="110" spans="1:14" ht="24.75" hidden="1" customHeight="1">
      <c r="A110" s="289"/>
      <c r="B110" s="2310" t="s">
        <v>302</v>
      </c>
      <c r="C110" s="2311"/>
      <c r="D110" s="2311"/>
      <c r="E110" s="2311"/>
      <c r="F110" s="2311"/>
      <c r="G110" s="2311"/>
      <c r="H110" s="2311"/>
      <c r="I110" s="2311"/>
      <c r="J110" s="2311"/>
      <c r="K110" s="2311"/>
      <c r="L110" s="2311"/>
      <c r="M110" s="2311"/>
      <c r="N110" s="2312"/>
    </row>
    <row r="111" spans="1:14" ht="24.75" hidden="1" customHeight="1" thickBot="1">
      <c r="A111" s="290" t="s">
        <v>102</v>
      </c>
      <c r="B111" s="291" t="s">
        <v>1</v>
      </c>
      <c r="C111" s="291" t="s">
        <v>2</v>
      </c>
      <c r="D111" s="291" t="s">
        <v>3</v>
      </c>
      <c r="E111" s="291" t="s">
        <v>4</v>
      </c>
      <c r="F111" s="291" t="s">
        <v>5</v>
      </c>
      <c r="G111" s="291" t="s">
        <v>6</v>
      </c>
      <c r="H111" s="291" t="s">
        <v>7</v>
      </c>
      <c r="I111" s="291" t="s">
        <v>8</v>
      </c>
      <c r="J111" s="291" t="s">
        <v>9</v>
      </c>
      <c r="K111" s="291" t="s">
        <v>10</v>
      </c>
      <c r="L111" s="291" t="s">
        <v>11</v>
      </c>
      <c r="M111" s="291" t="s">
        <v>12</v>
      </c>
      <c r="N111" s="292" t="s">
        <v>13</v>
      </c>
    </row>
    <row r="112" spans="1:14" ht="13.8" hidden="1" thickBot="1">
      <c r="A112" s="318" t="s">
        <v>241</v>
      </c>
      <c r="B112" s="319">
        <f t="shared" ref="B112:M112" si="12">SUM(B113:B117)</f>
        <v>0</v>
      </c>
      <c r="C112" s="320">
        <f t="shared" si="12"/>
        <v>0</v>
      </c>
      <c r="D112" s="320">
        <f t="shared" si="12"/>
        <v>0</v>
      </c>
      <c r="E112" s="320">
        <f t="shared" si="12"/>
        <v>0</v>
      </c>
      <c r="F112" s="320">
        <f t="shared" si="12"/>
        <v>0</v>
      </c>
      <c r="G112" s="320">
        <f t="shared" si="12"/>
        <v>0</v>
      </c>
      <c r="H112" s="320">
        <f t="shared" si="12"/>
        <v>0</v>
      </c>
      <c r="I112" s="320">
        <f t="shared" si="12"/>
        <v>0</v>
      </c>
      <c r="J112" s="320">
        <f t="shared" si="12"/>
        <v>0</v>
      </c>
      <c r="K112" s="320">
        <f t="shared" si="12"/>
        <v>0</v>
      </c>
      <c r="L112" s="320">
        <f t="shared" si="12"/>
        <v>0</v>
      </c>
      <c r="M112" s="321">
        <f t="shared" si="12"/>
        <v>0</v>
      </c>
      <c r="N112" s="322">
        <f>SUM(N113:N118)</f>
        <v>0</v>
      </c>
    </row>
    <row r="113" spans="1:14" hidden="1">
      <c r="A113" s="323" t="s">
        <v>242</v>
      </c>
      <c r="B113" s="299"/>
      <c r="C113" s="300"/>
      <c r="D113" s="300"/>
      <c r="E113" s="300"/>
      <c r="F113" s="300"/>
      <c r="G113" s="300"/>
      <c r="H113" s="300"/>
      <c r="I113" s="300"/>
      <c r="J113" s="300"/>
      <c r="K113" s="300"/>
      <c r="L113" s="300"/>
      <c r="M113" s="301"/>
      <c r="N113" s="324">
        <f>SUM(B113:M113)</f>
        <v>0</v>
      </c>
    </row>
    <row r="114" spans="1:14" hidden="1">
      <c r="A114" s="325" t="s">
        <v>243</v>
      </c>
      <c r="B114" s="304"/>
      <c r="C114" s="305"/>
      <c r="D114" s="305"/>
      <c r="E114" s="305"/>
      <c r="F114" s="305"/>
      <c r="G114" s="305"/>
      <c r="H114" s="305"/>
      <c r="I114" s="305"/>
      <c r="J114" s="305"/>
      <c r="K114" s="305"/>
      <c r="L114" s="305"/>
      <c r="M114" s="306"/>
      <c r="N114" s="306">
        <f>SUM(B114:M114)</f>
        <v>0</v>
      </c>
    </row>
    <row r="115" spans="1:14" hidden="1">
      <c r="A115" s="326" t="s">
        <v>244</v>
      </c>
      <c r="B115" s="309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1"/>
      <c r="N115" s="327">
        <f>SUM(B115:M115)</f>
        <v>0</v>
      </c>
    </row>
    <row r="116" spans="1:14" hidden="1">
      <c r="A116" s="325" t="s">
        <v>245</v>
      </c>
      <c r="B116" s="304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6"/>
      <c r="N116" s="306">
        <f>SUM(B116:M116)</f>
        <v>0</v>
      </c>
    </row>
    <row r="117" spans="1:14" ht="13.8" hidden="1" thickBot="1">
      <c r="A117" s="328" t="s">
        <v>240</v>
      </c>
      <c r="B117" s="314"/>
      <c r="C117" s="315"/>
      <c r="D117" s="315"/>
      <c r="E117" s="315"/>
      <c r="F117" s="315"/>
      <c r="G117" s="315"/>
      <c r="H117" s="315"/>
      <c r="I117" s="315"/>
      <c r="J117" s="315"/>
      <c r="K117" s="315"/>
      <c r="L117" s="315"/>
      <c r="M117" s="316"/>
      <c r="N117" s="329">
        <f>SUM(B117:M117)</f>
        <v>0</v>
      </c>
    </row>
    <row r="118" spans="1:14" hidden="1"/>
    <row r="119" spans="1:14" ht="24.75" hidden="1" customHeight="1">
      <c r="A119" s="289"/>
      <c r="B119" s="2310" t="s">
        <v>302</v>
      </c>
      <c r="C119" s="2311"/>
      <c r="D119" s="2311"/>
      <c r="E119" s="2311"/>
      <c r="F119" s="2311"/>
      <c r="G119" s="2311"/>
      <c r="H119" s="2311"/>
      <c r="I119" s="2311"/>
      <c r="J119" s="2311"/>
      <c r="K119" s="2311"/>
      <c r="L119" s="2311"/>
      <c r="M119" s="2311"/>
      <c r="N119" s="2312"/>
    </row>
    <row r="120" spans="1:14" ht="24.75" hidden="1" customHeight="1" thickBot="1">
      <c r="A120" s="290" t="s">
        <v>103</v>
      </c>
      <c r="B120" s="291" t="s">
        <v>1</v>
      </c>
      <c r="C120" s="291" t="s">
        <v>2</v>
      </c>
      <c r="D120" s="291" t="s">
        <v>3</v>
      </c>
      <c r="E120" s="291" t="s">
        <v>4</v>
      </c>
      <c r="F120" s="291" t="s">
        <v>5</v>
      </c>
      <c r="G120" s="291" t="s">
        <v>6</v>
      </c>
      <c r="H120" s="291" t="s">
        <v>7</v>
      </c>
      <c r="I120" s="291" t="s">
        <v>8</v>
      </c>
      <c r="J120" s="291" t="s">
        <v>9</v>
      </c>
      <c r="K120" s="291" t="s">
        <v>10</v>
      </c>
      <c r="L120" s="291" t="s">
        <v>11</v>
      </c>
      <c r="M120" s="291" t="s">
        <v>12</v>
      </c>
      <c r="N120" s="292" t="s">
        <v>13</v>
      </c>
    </row>
    <row r="121" spans="1:14" ht="13.8" hidden="1" thickBot="1">
      <c r="A121" s="318" t="s">
        <v>241</v>
      </c>
      <c r="B121" s="319">
        <f t="shared" ref="B121:M121" si="13">SUM(B122:B126)</f>
        <v>0</v>
      </c>
      <c r="C121" s="320">
        <f t="shared" si="13"/>
        <v>0</v>
      </c>
      <c r="D121" s="320">
        <f t="shared" si="13"/>
        <v>0</v>
      </c>
      <c r="E121" s="320">
        <f t="shared" si="13"/>
        <v>0</v>
      </c>
      <c r="F121" s="320">
        <f t="shared" si="13"/>
        <v>0</v>
      </c>
      <c r="G121" s="320">
        <f t="shared" si="13"/>
        <v>0</v>
      </c>
      <c r="H121" s="320">
        <f t="shared" si="13"/>
        <v>0</v>
      </c>
      <c r="I121" s="320">
        <f t="shared" si="13"/>
        <v>0</v>
      </c>
      <c r="J121" s="320">
        <f t="shared" si="13"/>
        <v>0</v>
      </c>
      <c r="K121" s="320">
        <f t="shared" si="13"/>
        <v>0</v>
      </c>
      <c r="L121" s="320">
        <f t="shared" si="13"/>
        <v>0</v>
      </c>
      <c r="M121" s="321">
        <f t="shared" si="13"/>
        <v>0</v>
      </c>
      <c r="N121" s="322">
        <f>SUM(N122:N127)</f>
        <v>0</v>
      </c>
    </row>
    <row r="122" spans="1:14" hidden="1">
      <c r="A122" s="323" t="s">
        <v>242</v>
      </c>
      <c r="B122" s="299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1"/>
      <c r="N122" s="324">
        <f>SUM(B122:M122)</f>
        <v>0</v>
      </c>
    </row>
    <row r="123" spans="1:14" hidden="1">
      <c r="A123" s="325" t="s">
        <v>243</v>
      </c>
      <c r="B123" s="304"/>
      <c r="C123" s="305"/>
      <c r="D123" s="305"/>
      <c r="E123" s="305"/>
      <c r="F123" s="305"/>
      <c r="G123" s="305"/>
      <c r="H123" s="305"/>
      <c r="I123" s="305"/>
      <c r="J123" s="305"/>
      <c r="K123" s="305"/>
      <c r="L123" s="305"/>
      <c r="M123" s="306"/>
      <c r="N123" s="306">
        <f>SUM(B123:M123)</f>
        <v>0</v>
      </c>
    </row>
    <row r="124" spans="1:14" hidden="1">
      <c r="A124" s="326" t="s">
        <v>244</v>
      </c>
      <c r="B124" s="309"/>
      <c r="C124" s="310"/>
      <c r="D124" s="310"/>
      <c r="E124" s="310"/>
      <c r="F124" s="310"/>
      <c r="G124" s="310"/>
      <c r="H124" s="310"/>
      <c r="I124" s="310"/>
      <c r="J124" s="310"/>
      <c r="K124" s="310"/>
      <c r="L124" s="310"/>
      <c r="M124" s="311"/>
      <c r="N124" s="327">
        <f>SUM(B124:M124)</f>
        <v>0</v>
      </c>
    </row>
    <row r="125" spans="1:14" hidden="1">
      <c r="A125" s="325" t="s">
        <v>245</v>
      </c>
      <c r="B125" s="304"/>
      <c r="C125" s="305"/>
      <c r="D125" s="305"/>
      <c r="E125" s="305"/>
      <c r="F125" s="305"/>
      <c r="G125" s="305"/>
      <c r="H125" s="305"/>
      <c r="I125" s="305"/>
      <c r="J125" s="305"/>
      <c r="K125" s="305"/>
      <c r="L125" s="305"/>
      <c r="M125" s="306"/>
      <c r="N125" s="306">
        <f>SUM(B125:M125)</f>
        <v>0</v>
      </c>
    </row>
    <row r="126" spans="1:14" ht="13.8" hidden="1" thickBot="1">
      <c r="A126" s="328" t="s">
        <v>240</v>
      </c>
      <c r="B126" s="314"/>
      <c r="C126" s="315"/>
      <c r="D126" s="315"/>
      <c r="E126" s="315"/>
      <c r="F126" s="315"/>
      <c r="G126" s="315"/>
      <c r="H126" s="315"/>
      <c r="I126" s="315"/>
      <c r="J126" s="315"/>
      <c r="K126" s="315"/>
      <c r="L126" s="315"/>
      <c r="M126" s="316"/>
      <c r="N126" s="329">
        <f>SUM(B126:M126)</f>
        <v>0</v>
      </c>
    </row>
    <row r="127" spans="1:14" hidden="1"/>
    <row r="128" spans="1:14" ht="24.75" hidden="1" customHeight="1">
      <c r="A128" s="289"/>
      <c r="B128" s="2310" t="s">
        <v>302</v>
      </c>
      <c r="C128" s="2311"/>
      <c r="D128" s="2311"/>
      <c r="E128" s="2311"/>
      <c r="F128" s="2311"/>
      <c r="G128" s="2311"/>
      <c r="H128" s="2311"/>
      <c r="I128" s="2311"/>
      <c r="J128" s="2311"/>
      <c r="K128" s="2311"/>
      <c r="L128" s="2311"/>
      <c r="M128" s="2311"/>
      <c r="N128" s="2312"/>
    </row>
    <row r="129" spans="1:14" ht="24.75" hidden="1" customHeight="1" thickBot="1">
      <c r="A129" s="290" t="s">
        <v>104</v>
      </c>
      <c r="B129" s="291" t="s">
        <v>1</v>
      </c>
      <c r="C129" s="291" t="s">
        <v>2</v>
      </c>
      <c r="D129" s="291" t="s">
        <v>3</v>
      </c>
      <c r="E129" s="291" t="s">
        <v>4</v>
      </c>
      <c r="F129" s="291" t="s">
        <v>5</v>
      </c>
      <c r="G129" s="291" t="s">
        <v>6</v>
      </c>
      <c r="H129" s="291" t="s">
        <v>7</v>
      </c>
      <c r="I129" s="291" t="s">
        <v>8</v>
      </c>
      <c r="J129" s="291" t="s">
        <v>9</v>
      </c>
      <c r="K129" s="291" t="s">
        <v>10</v>
      </c>
      <c r="L129" s="291" t="s">
        <v>11</v>
      </c>
      <c r="M129" s="291" t="s">
        <v>12</v>
      </c>
      <c r="N129" s="292" t="s">
        <v>13</v>
      </c>
    </row>
    <row r="130" spans="1:14" ht="13.8" hidden="1" thickBot="1">
      <c r="A130" s="318" t="s">
        <v>241</v>
      </c>
      <c r="B130" s="319">
        <f t="shared" ref="B130:M130" si="14">SUM(B131:B135)</f>
        <v>0</v>
      </c>
      <c r="C130" s="320">
        <f t="shared" si="14"/>
        <v>0</v>
      </c>
      <c r="D130" s="320">
        <f t="shared" si="14"/>
        <v>0</v>
      </c>
      <c r="E130" s="320">
        <f t="shared" si="14"/>
        <v>0</v>
      </c>
      <c r="F130" s="320">
        <f t="shared" si="14"/>
        <v>0</v>
      </c>
      <c r="G130" s="320">
        <f t="shared" si="14"/>
        <v>0</v>
      </c>
      <c r="H130" s="320">
        <f t="shared" si="14"/>
        <v>0</v>
      </c>
      <c r="I130" s="320">
        <f t="shared" si="14"/>
        <v>0</v>
      </c>
      <c r="J130" s="320">
        <f t="shared" si="14"/>
        <v>0</v>
      </c>
      <c r="K130" s="320">
        <f t="shared" si="14"/>
        <v>0</v>
      </c>
      <c r="L130" s="320">
        <f t="shared" si="14"/>
        <v>0</v>
      </c>
      <c r="M130" s="321">
        <f t="shared" si="14"/>
        <v>0</v>
      </c>
      <c r="N130" s="322">
        <f>SUM(N131:N136)</f>
        <v>0</v>
      </c>
    </row>
    <row r="131" spans="1:14" hidden="1">
      <c r="A131" s="323" t="s">
        <v>242</v>
      </c>
      <c r="B131" s="299"/>
      <c r="C131" s="300"/>
      <c r="D131" s="300"/>
      <c r="E131" s="300"/>
      <c r="F131" s="300"/>
      <c r="G131" s="300"/>
      <c r="H131" s="300"/>
      <c r="I131" s="300"/>
      <c r="J131" s="300"/>
      <c r="K131" s="300"/>
      <c r="L131" s="300"/>
      <c r="M131" s="301"/>
      <c r="N131" s="324">
        <f>SUM(B131:M131)</f>
        <v>0</v>
      </c>
    </row>
    <row r="132" spans="1:14" hidden="1">
      <c r="A132" s="325" t="s">
        <v>243</v>
      </c>
      <c r="B132" s="304"/>
      <c r="C132" s="305"/>
      <c r="D132" s="305"/>
      <c r="E132" s="305"/>
      <c r="F132" s="305"/>
      <c r="G132" s="305"/>
      <c r="H132" s="305"/>
      <c r="I132" s="305"/>
      <c r="J132" s="305"/>
      <c r="K132" s="305"/>
      <c r="L132" s="305"/>
      <c r="M132" s="306"/>
      <c r="N132" s="306">
        <f>SUM(B132:M132)</f>
        <v>0</v>
      </c>
    </row>
    <row r="133" spans="1:14" hidden="1">
      <c r="A133" s="326" t="s">
        <v>244</v>
      </c>
      <c r="B133" s="309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1"/>
      <c r="N133" s="327">
        <f>SUM(B133:M133)</f>
        <v>0</v>
      </c>
    </row>
    <row r="134" spans="1:14" hidden="1">
      <c r="A134" s="325" t="s">
        <v>245</v>
      </c>
      <c r="B134" s="304"/>
      <c r="C134" s="305"/>
      <c r="D134" s="305"/>
      <c r="E134" s="305"/>
      <c r="F134" s="305"/>
      <c r="G134" s="305"/>
      <c r="H134" s="305"/>
      <c r="I134" s="305"/>
      <c r="J134" s="305"/>
      <c r="K134" s="305"/>
      <c r="L134" s="305"/>
      <c r="M134" s="306"/>
      <c r="N134" s="306">
        <f>SUM(B134:M134)</f>
        <v>0</v>
      </c>
    </row>
    <row r="135" spans="1:14" ht="13.8" hidden="1" thickBot="1">
      <c r="A135" s="328" t="s">
        <v>240</v>
      </c>
      <c r="B135" s="314"/>
      <c r="C135" s="315"/>
      <c r="D135" s="315"/>
      <c r="E135" s="315"/>
      <c r="F135" s="315"/>
      <c r="G135" s="315"/>
      <c r="H135" s="315"/>
      <c r="I135" s="315"/>
      <c r="J135" s="315"/>
      <c r="K135" s="315"/>
      <c r="L135" s="315"/>
      <c r="M135" s="316"/>
      <c r="N135" s="329">
        <f>SUM(B135:M135)</f>
        <v>0</v>
      </c>
    </row>
    <row r="136" spans="1:14" hidden="1"/>
    <row r="137" spans="1:14" ht="24.75" hidden="1" customHeight="1">
      <c r="A137" s="289"/>
      <c r="B137" s="2310" t="s">
        <v>302</v>
      </c>
      <c r="C137" s="2311"/>
      <c r="D137" s="2311"/>
      <c r="E137" s="2311"/>
      <c r="F137" s="2311"/>
      <c r="G137" s="2311"/>
      <c r="H137" s="2311"/>
      <c r="I137" s="2311"/>
      <c r="J137" s="2311"/>
      <c r="K137" s="2311"/>
      <c r="L137" s="2311"/>
      <c r="M137" s="2311"/>
      <c r="N137" s="2312"/>
    </row>
    <row r="138" spans="1:14" ht="24.75" hidden="1" customHeight="1" thickBot="1">
      <c r="A138" s="290" t="s">
        <v>246</v>
      </c>
      <c r="B138" s="291" t="s">
        <v>1</v>
      </c>
      <c r="C138" s="291" t="s">
        <v>2</v>
      </c>
      <c r="D138" s="291" t="s">
        <v>3</v>
      </c>
      <c r="E138" s="291" t="s">
        <v>4</v>
      </c>
      <c r="F138" s="291" t="s">
        <v>5</v>
      </c>
      <c r="G138" s="291" t="s">
        <v>6</v>
      </c>
      <c r="H138" s="291" t="s">
        <v>7</v>
      </c>
      <c r="I138" s="291" t="s">
        <v>8</v>
      </c>
      <c r="J138" s="291" t="s">
        <v>9</v>
      </c>
      <c r="K138" s="291" t="s">
        <v>10</v>
      </c>
      <c r="L138" s="291" t="s">
        <v>11</v>
      </c>
      <c r="M138" s="291" t="s">
        <v>12</v>
      </c>
      <c r="N138" s="292" t="s">
        <v>13</v>
      </c>
    </row>
    <row r="139" spans="1:14" ht="13.8" hidden="1" thickBot="1">
      <c r="A139" s="318" t="s">
        <v>241</v>
      </c>
      <c r="B139" s="319">
        <f>SUM(B140:B144)</f>
        <v>0</v>
      </c>
      <c r="C139" s="320">
        <f t="shared" ref="C139:M139" si="15">SUM(C140:C144)</f>
        <v>0</v>
      </c>
      <c r="D139" s="320">
        <f t="shared" si="15"/>
        <v>0</v>
      </c>
      <c r="E139" s="320">
        <f t="shared" si="15"/>
        <v>0</v>
      </c>
      <c r="F139" s="320">
        <f t="shared" si="15"/>
        <v>0</v>
      </c>
      <c r="G139" s="320">
        <f t="shared" si="15"/>
        <v>0</v>
      </c>
      <c r="H139" s="320">
        <f t="shared" si="15"/>
        <v>0</v>
      </c>
      <c r="I139" s="320">
        <f t="shared" si="15"/>
        <v>0</v>
      </c>
      <c r="J139" s="320">
        <f t="shared" si="15"/>
        <v>0</v>
      </c>
      <c r="K139" s="320">
        <f t="shared" si="15"/>
        <v>0</v>
      </c>
      <c r="L139" s="320">
        <f t="shared" si="15"/>
        <v>0</v>
      </c>
      <c r="M139" s="321">
        <f t="shared" si="15"/>
        <v>0</v>
      </c>
      <c r="N139" s="322">
        <f>SUM(N140:N145)</f>
        <v>0</v>
      </c>
    </row>
    <row r="140" spans="1:14" hidden="1">
      <c r="A140" s="298" t="s">
        <v>242</v>
      </c>
      <c r="B140" s="299">
        <f>SUM(B131,B122,B113,B104,B95,B77,B68,B59,B50,B41,B32,B23,B14,B5,B86)</f>
        <v>0</v>
      </c>
      <c r="C140" s="300">
        <f t="shared" ref="C140:M140" si="16">SUM(C131,C122,C113,C104,C95,C77,C68,C59,C50,C41,C32,C23,C14,C5,C86)</f>
        <v>0</v>
      </c>
      <c r="D140" s="300">
        <f t="shared" si="16"/>
        <v>0</v>
      </c>
      <c r="E140" s="300">
        <f t="shared" si="16"/>
        <v>0</v>
      </c>
      <c r="F140" s="300">
        <f t="shared" si="16"/>
        <v>0</v>
      </c>
      <c r="G140" s="300">
        <f t="shared" si="16"/>
        <v>0</v>
      </c>
      <c r="H140" s="300">
        <f t="shared" si="16"/>
        <v>0</v>
      </c>
      <c r="I140" s="300">
        <f t="shared" si="16"/>
        <v>0</v>
      </c>
      <c r="J140" s="300">
        <f t="shared" si="16"/>
        <v>0</v>
      </c>
      <c r="K140" s="300">
        <f t="shared" si="16"/>
        <v>0</v>
      </c>
      <c r="L140" s="300">
        <f t="shared" si="16"/>
        <v>0</v>
      </c>
      <c r="M140" s="301">
        <f t="shared" si="16"/>
        <v>0</v>
      </c>
      <c r="N140" s="302">
        <f>SUM(B140:M140)</f>
        <v>0</v>
      </c>
    </row>
    <row r="141" spans="1:14" hidden="1">
      <c r="A141" s="303" t="s">
        <v>243</v>
      </c>
      <c r="B141" s="304">
        <f t="shared" ref="B141:M144" si="17">SUM(B132,B123,B114,B105,B96,B78,B69,B60,B51,B42,B33,B24,B15,B6,B87)</f>
        <v>0</v>
      </c>
      <c r="C141" s="305">
        <f t="shared" si="17"/>
        <v>0</v>
      </c>
      <c r="D141" s="305">
        <f t="shared" si="17"/>
        <v>0</v>
      </c>
      <c r="E141" s="305">
        <f t="shared" si="17"/>
        <v>0</v>
      </c>
      <c r="F141" s="305">
        <f t="shared" si="17"/>
        <v>0</v>
      </c>
      <c r="G141" s="305">
        <f t="shared" si="17"/>
        <v>0</v>
      </c>
      <c r="H141" s="305">
        <f t="shared" si="17"/>
        <v>0</v>
      </c>
      <c r="I141" s="305">
        <f t="shared" si="17"/>
        <v>0</v>
      </c>
      <c r="J141" s="305">
        <f t="shared" si="17"/>
        <v>0</v>
      </c>
      <c r="K141" s="305">
        <f t="shared" si="17"/>
        <v>0</v>
      </c>
      <c r="L141" s="305">
        <f t="shared" si="17"/>
        <v>0</v>
      </c>
      <c r="M141" s="306">
        <f t="shared" si="17"/>
        <v>0</v>
      </c>
      <c r="N141" s="307">
        <f>SUM(B141:M141)</f>
        <v>0</v>
      </c>
    </row>
    <row r="142" spans="1:14" hidden="1">
      <c r="A142" s="308" t="s">
        <v>244</v>
      </c>
      <c r="B142" s="309">
        <f t="shared" si="17"/>
        <v>0</v>
      </c>
      <c r="C142" s="310">
        <f t="shared" si="17"/>
        <v>0</v>
      </c>
      <c r="D142" s="310">
        <f t="shared" si="17"/>
        <v>0</v>
      </c>
      <c r="E142" s="310">
        <f t="shared" si="17"/>
        <v>0</v>
      </c>
      <c r="F142" s="310">
        <f t="shared" si="17"/>
        <v>0</v>
      </c>
      <c r="G142" s="310">
        <f t="shared" si="17"/>
        <v>0</v>
      </c>
      <c r="H142" s="310">
        <f t="shared" si="17"/>
        <v>0</v>
      </c>
      <c r="I142" s="310">
        <f t="shared" si="17"/>
        <v>0</v>
      </c>
      <c r="J142" s="310">
        <f t="shared" si="17"/>
        <v>0</v>
      </c>
      <c r="K142" s="310">
        <f t="shared" si="17"/>
        <v>0</v>
      </c>
      <c r="L142" s="310">
        <f t="shared" si="17"/>
        <v>0</v>
      </c>
      <c r="M142" s="311">
        <f t="shared" si="17"/>
        <v>0</v>
      </c>
      <c r="N142" s="312">
        <f>SUM(B142:M142)</f>
        <v>0</v>
      </c>
    </row>
    <row r="143" spans="1:14" hidden="1">
      <c r="A143" s="303" t="s">
        <v>245</v>
      </c>
      <c r="B143" s="304">
        <f t="shared" si="17"/>
        <v>0</v>
      </c>
      <c r="C143" s="305">
        <f t="shared" si="17"/>
        <v>0</v>
      </c>
      <c r="D143" s="305">
        <f t="shared" si="17"/>
        <v>0</v>
      </c>
      <c r="E143" s="305">
        <f t="shared" si="17"/>
        <v>0</v>
      </c>
      <c r="F143" s="305">
        <f t="shared" si="17"/>
        <v>0</v>
      </c>
      <c r="G143" s="305">
        <f t="shared" si="17"/>
        <v>0</v>
      </c>
      <c r="H143" s="305">
        <f t="shared" si="17"/>
        <v>0</v>
      </c>
      <c r="I143" s="305">
        <f t="shared" si="17"/>
        <v>0</v>
      </c>
      <c r="J143" s="305">
        <f t="shared" si="17"/>
        <v>0</v>
      </c>
      <c r="K143" s="305">
        <f t="shared" si="17"/>
        <v>0</v>
      </c>
      <c r="L143" s="305">
        <f t="shared" si="17"/>
        <v>0</v>
      </c>
      <c r="M143" s="306">
        <f t="shared" si="17"/>
        <v>0</v>
      </c>
      <c r="N143" s="307">
        <f>SUM(B143:M143)</f>
        <v>0</v>
      </c>
    </row>
    <row r="144" spans="1:14" ht="13.8" hidden="1" thickBot="1">
      <c r="A144" s="313" t="s">
        <v>240</v>
      </c>
      <c r="B144" s="314">
        <f t="shared" si="17"/>
        <v>0</v>
      </c>
      <c r="C144" s="315">
        <f t="shared" si="17"/>
        <v>0</v>
      </c>
      <c r="D144" s="315">
        <f t="shared" si="17"/>
        <v>0</v>
      </c>
      <c r="E144" s="315">
        <f t="shared" si="17"/>
        <v>0</v>
      </c>
      <c r="F144" s="315">
        <f t="shared" si="17"/>
        <v>0</v>
      </c>
      <c r="G144" s="315">
        <f t="shared" si="17"/>
        <v>0</v>
      </c>
      <c r="H144" s="315">
        <f t="shared" si="17"/>
        <v>0</v>
      </c>
      <c r="I144" s="315">
        <f t="shared" si="17"/>
        <v>0</v>
      </c>
      <c r="J144" s="315">
        <f t="shared" si="17"/>
        <v>0</v>
      </c>
      <c r="K144" s="315">
        <f t="shared" si="17"/>
        <v>0</v>
      </c>
      <c r="L144" s="315">
        <f t="shared" si="17"/>
        <v>0</v>
      </c>
      <c r="M144" s="316">
        <f t="shared" si="17"/>
        <v>0</v>
      </c>
      <c r="N144" s="317">
        <f>SUM(B144:M144)</f>
        <v>0</v>
      </c>
    </row>
    <row r="145" spans="1:14" hidden="1"/>
    <row r="147" spans="1:14" ht="13.8" thickBot="1"/>
    <row r="148" spans="1:14" ht="24.9" customHeight="1">
      <c r="A148" s="289"/>
      <c r="B148" s="2310" t="s">
        <v>297</v>
      </c>
      <c r="C148" s="2311"/>
      <c r="D148" s="2311"/>
      <c r="E148" s="2311"/>
      <c r="F148" s="2311"/>
      <c r="G148" s="2311"/>
      <c r="H148" s="2311"/>
      <c r="I148" s="2311"/>
      <c r="J148" s="2311"/>
      <c r="K148" s="2311"/>
      <c r="L148" s="2311"/>
      <c r="M148" s="2311"/>
      <c r="N148" s="2312"/>
    </row>
    <row r="149" spans="1:14" ht="24.9" customHeight="1" thickBot="1">
      <c r="A149" s="330" t="s">
        <v>133</v>
      </c>
      <c r="B149" s="331" t="s">
        <v>1</v>
      </c>
      <c r="C149" s="331" t="s">
        <v>2</v>
      </c>
      <c r="D149" s="331" t="s">
        <v>3</v>
      </c>
      <c r="E149" s="331" t="s">
        <v>4</v>
      </c>
      <c r="F149" s="331" t="s">
        <v>5</v>
      </c>
      <c r="G149" s="331" t="s">
        <v>6</v>
      </c>
      <c r="H149" s="331" t="s">
        <v>7</v>
      </c>
      <c r="I149" s="331" t="s">
        <v>8</v>
      </c>
      <c r="J149" s="331" t="s">
        <v>9</v>
      </c>
      <c r="K149" s="331" t="s">
        <v>10</v>
      </c>
      <c r="L149" s="331" t="s">
        <v>11</v>
      </c>
      <c r="M149" s="331" t="s">
        <v>12</v>
      </c>
      <c r="N149" s="332" t="s">
        <v>13</v>
      </c>
    </row>
    <row r="150" spans="1:14">
      <c r="A150" s="333" t="s">
        <v>247</v>
      </c>
      <c r="B150" s="299"/>
      <c r="C150" s="300"/>
      <c r="D150" s="300"/>
      <c r="E150" s="300">
        <v>1</v>
      </c>
      <c r="F150" s="300"/>
      <c r="G150" s="300"/>
      <c r="H150" s="300">
        <v>1</v>
      </c>
      <c r="I150" s="300"/>
      <c r="J150" s="300"/>
      <c r="K150" s="300"/>
      <c r="L150" s="300"/>
      <c r="M150" s="301"/>
      <c r="N150" s="302">
        <f>SUM(B150:M150)</f>
        <v>2</v>
      </c>
    </row>
    <row r="151" spans="1:14">
      <c r="A151" s="303" t="s">
        <v>239</v>
      </c>
      <c r="B151" s="304"/>
      <c r="C151" s="305"/>
      <c r="D151" s="305"/>
      <c r="E151" s="305">
        <v>100000</v>
      </c>
      <c r="F151" s="305"/>
      <c r="G151" s="305"/>
      <c r="H151" s="305">
        <v>100000</v>
      </c>
      <c r="I151" s="305"/>
      <c r="J151" s="305"/>
      <c r="K151" s="305"/>
      <c r="L151" s="305"/>
      <c r="M151" s="306"/>
      <c r="N151" s="307">
        <f>SUM(B151:M151)</f>
        <v>200000</v>
      </c>
    </row>
    <row r="152" spans="1:14">
      <c r="A152" s="308" t="s">
        <v>263</v>
      </c>
      <c r="B152" s="309"/>
      <c r="C152" s="310"/>
      <c r="D152" s="310"/>
      <c r="E152" s="310">
        <v>125000</v>
      </c>
      <c r="F152" s="310"/>
      <c r="G152" s="310"/>
      <c r="H152" s="310">
        <v>125000</v>
      </c>
      <c r="I152" s="310"/>
      <c r="J152" s="310"/>
      <c r="K152" s="310"/>
      <c r="L152" s="310"/>
      <c r="M152" s="311"/>
      <c r="N152" s="312">
        <f>SUM(B152:M152)</f>
        <v>250000</v>
      </c>
    </row>
    <row r="153" spans="1:14" ht="13.8" thickBot="1">
      <c r="A153" s="334" t="s">
        <v>264</v>
      </c>
      <c r="B153" s="335"/>
      <c r="C153" s="336"/>
      <c r="D153" s="336"/>
      <c r="E153" s="336"/>
      <c r="F153" s="336"/>
      <c r="G153" s="336"/>
      <c r="H153" s="336"/>
      <c r="I153" s="336"/>
      <c r="J153" s="336"/>
      <c r="K153" s="336"/>
      <c r="L153" s="336"/>
      <c r="M153" s="337"/>
      <c r="N153" s="338">
        <f>SUM(B153:M153)</f>
        <v>0</v>
      </c>
    </row>
    <row r="154" spans="1:14" ht="13.8" thickBot="1"/>
    <row r="155" spans="1:14" ht="24.9" customHeight="1">
      <c r="A155" s="289"/>
      <c r="B155" s="2310" t="s">
        <v>297</v>
      </c>
      <c r="C155" s="2311"/>
      <c r="D155" s="2311"/>
      <c r="E155" s="2311"/>
      <c r="F155" s="2311"/>
      <c r="G155" s="2311"/>
      <c r="H155" s="2311"/>
      <c r="I155" s="2311"/>
      <c r="J155" s="2311"/>
      <c r="K155" s="2311"/>
      <c r="L155" s="2311"/>
      <c r="M155" s="2311"/>
      <c r="N155" s="2312"/>
    </row>
    <row r="156" spans="1:14" ht="24.9" customHeight="1" thickBot="1">
      <c r="A156" s="290" t="s">
        <v>90</v>
      </c>
      <c r="B156" s="291" t="s">
        <v>1</v>
      </c>
      <c r="C156" s="291" t="s">
        <v>2</v>
      </c>
      <c r="D156" s="291" t="s">
        <v>3</v>
      </c>
      <c r="E156" s="291" t="s">
        <v>4</v>
      </c>
      <c r="F156" s="291" t="s">
        <v>5</v>
      </c>
      <c r="G156" s="291" t="s">
        <v>6</v>
      </c>
      <c r="H156" s="291" t="s">
        <v>7</v>
      </c>
      <c r="I156" s="291" t="s">
        <v>8</v>
      </c>
      <c r="J156" s="291" t="s">
        <v>9</v>
      </c>
      <c r="K156" s="291" t="s">
        <v>10</v>
      </c>
      <c r="L156" s="291" t="s">
        <v>11</v>
      </c>
      <c r="M156" s="291" t="s">
        <v>12</v>
      </c>
      <c r="N156" s="292" t="s">
        <v>13</v>
      </c>
    </row>
    <row r="157" spans="1:14">
      <c r="A157" s="339" t="s">
        <v>247</v>
      </c>
      <c r="B157" s="299"/>
      <c r="C157" s="300"/>
      <c r="D157" s="300"/>
      <c r="E157" s="300"/>
      <c r="F157" s="300">
        <v>1</v>
      </c>
      <c r="G157" s="300"/>
      <c r="H157" s="300"/>
      <c r="I157" s="300"/>
      <c r="J157" s="300"/>
      <c r="K157" s="300">
        <v>1</v>
      </c>
      <c r="L157" s="300"/>
      <c r="M157" s="301"/>
      <c r="N157" s="324">
        <f>SUM(B157:M157)</f>
        <v>2</v>
      </c>
    </row>
    <row r="158" spans="1:14">
      <c r="A158" s="325" t="s">
        <v>239</v>
      </c>
      <c r="B158" s="304"/>
      <c r="C158" s="305"/>
      <c r="D158" s="305"/>
      <c r="E158" s="305"/>
      <c r="F158" s="305">
        <v>1150000</v>
      </c>
      <c r="G158" s="305"/>
      <c r="H158" s="305"/>
      <c r="I158" s="305"/>
      <c r="J158" s="305"/>
      <c r="K158" s="305">
        <v>1150000</v>
      </c>
      <c r="L158" s="305"/>
      <c r="M158" s="306"/>
      <c r="N158" s="306">
        <f>SUM(B158:M158)</f>
        <v>2300000</v>
      </c>
    </row>
    <row r="159" spans="1:14">
      <c r="A159" s="326" t="s">
        <v>263</v>
      </c>
      <c r="B159" s="309"/>
      <c r="C159" s="310"/>
      <c r="D159" s="310"/>
      <c r="E159" s="310"/>
      <c r="F159" s="310">
        <v>350000</v>
      </c>
      <c r="G159" s="310"/>
      <c r="H159" s="310"/>
      <c r="I159" s="310"/>
      <c r="J159" s="310"/>
      <c r="K159" s="310">
        <v>350000</v>
      </c>
      <c r="L159" s="310"/>
      <c r="M159" s="311"/>
      <c r="N159" s="327">
        <f>SUM(B159:M159)</f>
        <v>700000</v>
      </c>
    </row>
    <row r="160" spans="1:14" ht="13.8" thickBot="1">
      <c r="A160" s="340" t="s">
        <v>264</v>
      </c>
      <c r="B160" s="335"/>
      <c r="C160" s="336"/>
      <c r="D160" s="336"/>
      <c r="E160" s="336"/>
      <c r="F160" s="336">
        <v>50000</v>
      </c>
      <c r="G160" s="336"/>
      <c r="H160" s="336"/>
      <c r="I160" s="336"/>
      <c r="J160" s="336"/>
      <c r="K160" s="336">
        <v>50000</v>
      </c>
      <c r="L160" s="336"/>
      <c r="M160" s="337"/>
      <c r="N160" s="337">
        <f>SUM(B160:M160)</f>
        <v>100000</v>
      </c>
    </row>
    <row r="161" spans="1:14" ht="13.8" thickBot="1">
      <c r="A161"/>
      <c r="B161" s="341"/>
      <c r="C161" s="341"/>
      <c r="D161" s="341"/>
      <c r="E161" s="341"/>
      <c r="F161" s="341"/>
      <c r="G161" s="341"/>
      <c r="H161" s="341"/>
      <c r="I161" s="341"/>
      <c r="J161" s="341"/>
      <c r="K161" s="341"/>
      <c r="L161" s="341"/>
      <c r="M161" s="341"/>
    </row>
    <row r="162" spans="1:14" ht="17.399999999999999">
      <c r="A162" s="289"/>
      <c r="B162" s="2310" t="s">
        <v>297</v>
      </c>
      <c r="C162" s="2311"/>
      <c r="D162" s="2311"/>
      <c r="E162" s="2311"/>
      <c r="F162" s="2311"/>
      <c r="G162" s="2311"/>
      <c r="H162" s="2311"/>
      <c r="I162" s="2311"/>
      <c r="J162" s="2311"/>
      <c r="K162" s="2311"/>
      <c r="L162" s="2311"/>
      <c r="M162" s="2311"/>
      <c r="N162" s="2312"/>
    </row>
    <row r="163" spans="1:14" ht="16.2" thickBot="1">
      <c r="A163" s="290" t="s">
        <v>91</v>
      </c>
      <c r="B163" s="291" t="s">
        <v>1</v>
      </c>
      <c r="C163" s="291" t="s">
        <v>2</v>
      </c>
      <c r="D163" s="291" t="s">
        <v>3</v>
      </c>
      <c r="E163" s="291" t="s">
        <v>4</v>
      </c>
      <c r="F163" s="291" t="s">
        <v>5</v>
      </c>
      <c r="G163" s="291" t="s">
        <v>6</v>
      </c>
      <c r="H163" s="291" t="s">
        <v>7</v>
      </c>
      <c r="I163" s="291" t="s">
        <v>8</v>
      </c>
      <c r="J163" s="291" t="s">
        <v>9</v>
      </c>
      <c r="K163" s="291" t="s">
        <v>10</v>
      </c>
      <c r="L163" s="291" t="s">
        <v>11</v>
      </c>
      <c r="M163" s="291" t="s">
        <v>12</v>
      </c>
      <c r="N163" s="292" t="s">
        <v>13</v>
      </c>
    </row>
    <row r="164" spans="1:14">
      <c r="A164" s="339" t="s">
        <v>247</v>
      </c>
      <c r="B164" s="299"/>
      <c r="C164" s="300"/>
      <c r="D164" s="300"/>
      <c r="E164" s="300"/>
      <c r="F164" s="300"/>
      <c r="G164" s="300">
        <v>1</v>
      </c>
      <c r="H164" s="300"/>
      <c r="I164" s="300"/>
      <c r="J164" s="300"/>
      <c r="K164" s="300"/>
      <c r="L164" s="300">
        <v>1</v>
      </c>
      <c r="M164" s="301"/>
      <c r="N164" s="324">
        <f>SUM(B164:M164)</f>
        <v>2</v>
      </c>
    </row>
    <row r="165" spans="1:14">
      <c r="A165" s="325" t="s">
        <v>239</v>
      </c>
      <c r="B165" s="304"/>
      <c r="C165" s="305"/>
      <c r="D165" s="305"/>
      <c r="E165" s="305"/>
      <c r="F165" s="305"/>
      <c r="G165" s="305">
        <v>200000</v>
      </c>
      <c r="H165" s="305"/>
      <c r="I165" s="305"/>
      <c r="J165" s="305"/>
      <c r="K165" s="305"/>
      <c r="L165" s="305">
        <v>200000</v>
      </c>
      <c r="M165" s="306"/>
      <c r="N165" s="306">
        <f>SUM(B165:M165)</f>
        <v>400000</v>
      </c>
    </row>
    <row r="166" spans="1:14">
      <c r="A166" s="326" t="s">
        <v>263</v>
      </c>
      <c r="B166" s="309"/>
      <c r="C166" s="310"/>
      <c r="D166" s="310"/>
      <c r="E166" s="310"/>
      <c r="F166" s="310"/>
      <c r="G166" s="310">
        <v>200000</v>
      </c>
      <c r="H166" s="310"/>
      <c r="I166" s="310"/>
      <c r="J166" s="310"/>
      <c r="K166" s="310"/>
      <c r="L166" s="310">
        <v>200000</v>
      </c>
      <c r="M166" s="311"/>
      <c r="N166" s="327">
        <f>SUM(B166:M166)</f>
        <v>400000</v>
      </c>
    </row>
    <row r="167" spans="1:14" ht="13.8" thickBot="1">
      <c r="A167" s="340" t="s">
        <v>264</v>
      </c>
      <c r="B167" s="335"/>
      <c r="C167" s="336"/>
      <c r="D167" s="336"/>
      <c r="E167" s="336"/>
      <c r="F167" s="336"/>
      <c r="G167" s="336">
        <v>50000</v>
      </c>
      <c r="H167" s="336"/>
      <c r="I167" s="336"/>
      <c r="J167" s="336"/>
      <c r="K167" s="336"/>
      <c r="L167" s="336">
        <v>50000</v>
      </c>
      <c r="M167" s="337"/>
      <c r="N167" s="337">
        <f>SUM(B167:M167)</f>
        <v>100000</v>
      </c>
    </row>
    <row r="168" spans="1:14" ht="13.8" thickBot="1"/>
    <row r="169" spans="1:14" ht="24.9" customHeight="1">
      <c r="A169" s="289"/>
      <c r="B169" s="2310" t="s">
        <v>297</v>
      </c>
      <c r="C169" s="2311"/>
      <c r="D169" s="2311"/>
      <c r="E169" s="2311"/>
      <c r="F169" s="2311"/>
      <c r="G169" s="2311"/>
      <c r="H169" s="2311"/>
      <c r="I169" s="2311"/>
      <c r="J169" s="2311"/>
      <c r="K169" s="2311"/>
      <c r="L169" s="2311"/>
      <c r="M169" s="2311"/>
      <c r="N169" s="2312"/>
    </row>
    <row r="170" spans="1:14" ht="24.9" customHeight="1" thickBot="1">
      <c r="A170" s="290" t="s">
        <v>92</v>
      </c>
      <c r="B170" s="291" t="s">
        <v>1</v>
      </c>
      <c r="C170" s="291" t="s">
        <v>2</v>
      </c>
      <c r="D170" s="291" t="s">
        <v>3</v>
      </c>
      <c r="E170" s="291" t="s">
        <v>4</v>
      </c>
      <c r="F170" s="291" t="s">
        <v>5</v>
      </c>
      <c r="G170" s="291" t="s">
        <v>6</v>
      </c>
      <c r="H170" s="291" t="s">
        <v>7</v>
      </c>
      <c r="I170" s="291" t="s">
        <v>8</v>
      </c>
      <c r="J170" s="291" t="s">
        <v>9</v>
      </c>
      <c r="K170" s="291" t="s">
        <v>10</v>
      </c>
      <c r="L170" s="291" t="s">
        <v>11</v>
      </c>
      <c r="M170" s="291" t="s">
        <v>12</v>
      </c>
      <c r="N170" s="292" t="s">
        <v>13</v>
      </c>
    </row>
    <row r="171" spans="1:14">
      <c r="A171" s="339" t="s">
        <v>247</v>
      </c>
      <c r="B171" s="299"/>
      <c r="C171" s="300">
        <v>1</v>
      </c>
      <c r="D171" s="300"/>
      <c r="E171" s="300"/>
      <c r="F171" s="300">
        <v>1</v>
      </c>
      <c r="G171" s="300"/>
      <c r="H171" s="300"/>
      <c r="I171" s="300"/>
      <c r="J171" s="300">
        <v>1</v>
      </c>
      <c r="K171" s="300"/>
      <c r="L171" s="300"/>
      <c r="M171" s="301">
        <v>1</v>
      </c>
      <c r="N171" s="324">
        <f>SUM(B171:M171)</f>
        <v>4</v>
      </c>
    </row>
    <row r="172" spans="1:14">
      <c r="A172" s="325" t="s">
        <v>239</v>
      </c>
      <c r="B172" s="304"/>
      <c r="C172" s="305">
        <v>50000</v>
      </c>
      <c r="D172" s="305"/>
      <c r="E172" s="305"/>
      <c r="F172" s="305">
        <v>50000</v>
      </c>
      <c r="G172" s="305"/>
      <c r="H172" s="305"/>
      <c r="I172" s="305"/>
      <c r="J172" s="305">
        <v>50000</v>
      </c>
      <c r="K172" s="305"/>
      <c r="L172" s="305"/>
      <c r="M172" s="306">
        <v>50000</v>
      </c>
      <c r="N172" s="306">
        <f>SUM(B172:M172)</f>
        <v>200000</v>
      </c>
    </row>
    <row r="173" spans="1:14">
      <c r="A173" s="326" t="s">
        <v>263</v>
      </c>
      <c r="B173" s="309"/>
      <c r="C173" s="310">
        <v>150000</v>
      </c>
      <c r="D173" s="310"/>
      <c r="E173" s="310"/>
      <c r="F173" s="310">
        <v>150000</v>
      </c>
      <c r="G173" s="310"/>
      <c r="H173" s="310"/>
      <c r="I173" s="310"/>
      <c r="J173" s="310">
        <v>150000</v>
      </c>
      <c r="K173" s="310"/>
      <c r="L173" s="310"/>
      <c r="M173" s="311">
        <v>150000</v>
      </c>
      <c r="N173" s="327">
        <f>SUM(B173:M173)</f>
        <v>600000</v>
      </c>
    </row>
    <row r="174" spans="1:14" ht="13.8" thickBot="1">
      <c r="A174" s="340" t="s">
        <v>264</v>
      </c>
      <c r="B174" s="335"/>
      <c r="C174" s="336">
        <v>50000</v>
      </c>
      <c r="D174" s="336"/>
      <c r="E174" s="336"/>
      <c r="F174" s="336">
        <v>50000</v>
      </c>
      <c r="G174" s="336"/>
      <c r="H174" s="336"/>
      <c r="I174" s="336"/>
      <c r="J174" s="336">
        <v>50000</v>
      </c>
      <c r="K174" s="336"/>
      <c r="L174" s="336"/>
      <c r="M174" s="337">
        <v>50000</v>
      </c>
      <c r="N174" s="337">
        <f>SUM(B174:M174)</f>
        <v>200000</v>
      </c>
    </row>
    <row r="175" spans="1:14" ht="13.8" thickBot="1"/>
    <row r="176" spans="1:14" ht="24.9" customHeight="1">
      <c r="A176" s="289"/>
      <c r="B176" s="2310" t="s">
        <v>297</v>
      </c>
      <c r="C176" s="2311"/>
      <c r="D176" s="2311"/>
      <c r="E176" s="2311"/>
      <c r="F176" s="2311"/>
      <c r="G176" s="2311"/>
      <c r="H176" s="2311"/>
      <c r="I176" s="2311"/>
      <c r="J176" s="2311"/>
      <c r="K176" s="2311"/>
      <c r="L176" s="2311"/>
      <c r="M176" s="2311"/>
      <c r="N176" s="2312"/>
    </row>
    <row r="177" spans="1:14" ht="24.9" customHeight="1" thickBot="1">
      <c r="A177" s="290" t="s">
        <v>93</v>
      </c>
      <c r="B177" s="291" t="s">
        <v>1</v>
      </c>
      <c r="C177" s="291" t="s">
        <v>2</v>
      </c>
      <c r="D177" s="291" t="s">
        <v>3</v>
      </c>
      <c r="E177" s="291" t="s">
        <v>4</v>
      </c>
      <c r="F177" s="291" t="s">
        <v>5</v>
      </c>
      <c r="G177" s="291" t="s">
        <v>6</v>
      </c>
      <c r="H177" s="291" t="s">
        <v>7</v>
      </c>
      <c r="I177" s="291" t="s">
        <v>8</v>
      </c>
      <c r="J177" s="291" t="s">
        <v>9</v>
      </c>
      <c r="K177" s="291" t="s">
        <v>10</v>
      </c>
      <c r="L177" s="291" t="s">
        <v>11</v>
      </c>
      <c r="M177" s="291" t="s">
        <v>12</v>
      </c>
      <c r="N177" s="292" t="s">
        <v>13</v>
      </c>
    </row>
    <row r="178" spans="1:14">
      <c r="A178" s="339" t="s">
        <v>247</v>
      </c>
      <c r="B178" s="299"/>
      <c r="C178" s="300"/>
      <c r="D178" s="300"/>
      <c r="E178" s="300"/>
      <c r="F178" s="300"/>
      <c r="G178" s="300">
        <v>1</v>
      </c>
      <c r="H178" s="300"/>
      <c r="I178" s="300"/>
      <c r="J178" s="300"/>
      <c r="K178" s="300"/>
      <c r="L178" s="300">
        <v>1</v>
      </c>
      <c r="M178" s="301"/>
      <c r="N178" s="324">
        <f>SUM(B178:M178)</f>
        <v>2</v>
      </c>
    </row>
    <row r="179" spans="1:14">
      <c r="A179" s="325" t="s">
        <v>239</v>
      </c>
      <c r="B179" s="304"/>
      <c r="C179" s="305"/>
      <c r="D179" s="305"/>
      <c r="E179" s="305"/>
      <c r="F179" s="305"/>
      <c r="G179" s="305">
        <v>150000</v>
      </c>
      <c r="H179" s="305"/>
      <c r="I179" s="305"/>
      <c r="J179" s="305"/>
      <c r="K179" s="305"/>
      <c r="L179" s="305">
        <v>150000</v>
      </c>
      <c r="M179" s="306"/>
      <c r="N179" s="306">
        <f>SUM(B179:M179)</f>
        <v>300000</v>
      </c>
    </row>
    <row r="180" spans="1:14">
      <c r="A180" s="326" t="s">
        <v>263</v>
      </c>
      <c r="B180" s="309"/>
      <c r="C180" s="310"/>
      <c r="D180" s="310"/>
      <c r="E180" s="310"/>
      <c r="F180" s="310"/>
      <c r="G180" s="310">
        <v>200000</v>
      </c>
      <c r="H180" s="310"/>
      <c r="I180" s="310"/>
      <c r="J180" s="310"/>
      <c r="K180" s="310"/>
      <c r="L180" s="310">
        <v>200000</v>
      </c>
      <c r="M180" s="311"/>
      <c r="N180" s="327">
        <f>SUM(B180:M180)</f>
        <v>400000</v>
      </c>
    </row>
    <row r="181" spans="1:14" ht="13.8" thickBot="1">
      <c r="A181" s="340" t="s">
        <v>264</v>
      </c>
      <c r="B181" s="335"/>
      <c r="C181" s="336"/>
      <c r="D181" s="336"/>
      <c r="E181" s="336"/>
      <c r="F181" s="336"/>
      <c r="G181" s="336">
        <v>50000</v>
      </c>
      <c r="H181" s="336"/>
      <c r="I181" s="336"/>
      <c r="J181" s="336"/>
      <c r="K181" s="336"/>
      <c r="L181" s="336">
        <v>50000</v>
      </c>
      <c r="M181" s="337"/>
      <c r="N181" s="337">
        <f>SUM(B181:M181)</f>
        <v>100000</v>
      </c>
    </row>
    <row r="182" spans="1:14" ht="13.8" thickBot="1"/>
    <row r="183" spans="1:14" ht="24.9" customHeight="1">
      <c r="A183" s="289"/>
      <c r="B183" s="2310" t="s">
        <v>297</v>
      </c>
      <c r="C183" s="2311"/>
      <c r="D183" s="2311"/>
      <c r="E183" s="2311"/>
      <c r="F183" s="2311"/>
      <c r="G183" s="2311"/>
      <c r="H183" s="2311"/>
      <c r="I183" s="2311"/>
      <c r="J183" s="2311"/>
      <c r="K183" s="2311"/>
      <c r="L183" s="2311"/>
      <c r="M183" s="2311"/>
      <c r="N183" s="2312"/>
    </row>
    <row r="184" spans="1:14" ht="24.9" customHeight="1" thickBot="1">
      <c r="A184" s="290" t="s">
        <v>94</v>
      </c>
      <c r="B184" s="291" t="s">
        <v>1</v>
      </c>
      <c r="C184" s="291" t="s">
        <v>2</v>
      </c>
      <c r="D184" s="291" t="s">
        <v>3</v>
      </c>
      <c r="E184" s="291" t="s">
        <v>4</v>
      </c>
      <c r="F184" s="291" t="s">
        <v>5</v>
      </c>
      <c r="G184" s="291" t="s">
        <v>6</v>
      </c>
      <c r="H184" s="291" t="s">
        <v>7</v>
      </c>
      <c r="I184" s="291" t="s">
        <v>8</v>
      </c>
      <c r="J184" s="291" t="s">
        <v>9</v>
      </c>
      <c r="K184" s="291" t="s">
        <v>10</v>
      </c>
      <c r="L184" s="291" t="s">
        <v>11</v>
      </c>
      <c r="M184" s="291" t="s">
        <v>12</v>
      </c>
      <c r="N184" s="292" t="s">
        <v>13</v>
      </c>
    </row>
    <row r="185" spans="1:14">
      <c r="A185" s="339" t="s">
        <v>247</v>
      </c>
      <c r="B185" s="299"/>
      <c r="C185" s="300"/>
      <c r="D185" s="300"/>
      <c r="E185" s="300"/>
      <c r="F185" s="300"/>
      <c r="G185" s="300"/>
      <c r="H185" s="300">
        <v>1</v>
      </c>
      <c r="I185" s="300"/>
      <c r="J185" s="300"/>
      <c r="K185" s="300"/>
      <c r="L185" s="300"/>
      <c r="M185" s="301"/>
      <c r="N185" s="324">
        <f>SUM(B185:M185)</f>
        <v>1</v>
      </c>
    </row>
    <row r="186" spans="1:14">
      <c r="A186" s="325" t="s">
        <v>239</v>
      </c>
      <c r="B186" s="304"/>
      <c r="C186" s="305"/>
      <c r="D186" s="305"/>
      <c r="E186" s="305"/>
      <c r="F186" s="305"/>
      <c r="G186" s="305"/>
      <c r="H186" s="305">
        <v>50000</v>
      </c>
      <c r="I186" s="305"/>
      <c r="J186" s="305"/>
      <c r="K186" s="305"/>
      <c r="L186" s="305"/>
      <c r="M186" s="306"/>
      <c r="N186" s="306">
        <f>SUM(B186:M186)</f>
        <v>50000</v>
      </c>
    </row>
    <row r="187" spans="1:14">
      <c r="A187" s="326" t="s">
        <v>263</v>
      </c>
      <c r="B187" s="309"/>
      <c r="C187" s="310"/>
      <c r="D187" s="310"/>
      <c r="E187" s="310"/>
      <c r="F187" s="310"/>
      <c r="G187" s="310"/>
      <c r="H187" s="310">
        <v>300000</v>
      </c>
      <c r="I187" s="310"/>
      <c r="J187" s="310"/>
      <c r="K187" s="310"/>
      <c r="L187" s="310"/>
      <c r="M187" s="311"/>
      <c r="N187" s="327">
        <f>SUM(B187:M187)</f>
        <v>300000</v>
      </c>
    </row>
    <row r="188" spans="1:14" ht="13.8" thickBot="1">
      <c r="A188" s="340" t="s">
        <v>264</v>
      </c>
      <c r="B188" s="335"/>
      <c r="C188" s="336"/>
      <c r="D188" s="336"/>
      <c r="E188" s="336"/>
      <c r="F188" s="336"/>
      <c r="G188" s="336"/>
      <c r="H188" s="336">
        <v>20000</v>
      </c>
      <c r="I188" s="336"/>
      <c r="J188" s="336"/>
      <c r="K188" s="336"/>
      <c r="L188" s="336"/>
      <c r="M188" s="337"/>
      <c r="N188" s="337">
        <f>SUM(B188:M188)</f>
        <v>20000</v>
      </c>
    </row>
    <row r="189" spans="1:14" ht="13.8" thickBot="1"/>
    <row r="190" spans="1:14" ht="24.9" customHeight="1">
      <c r="A190" s="289"/>
      <c r="B190" s="2310" t="s">
        <v>297</v>
      </c>
      <c r="C190" s="2311"/>
      <c r="D190" s="2311"/>
      <c r="E190" s="2311"/>
      <c r="F190" s="2311"/>
      <c r="G190" s="2311"/>
      <c r="H190" s="2311"/>
      <c r="I190" s="2311"/>
      <c r="J190" s="2311"/>
      <c r="K190" s="2311"/>
      <c r="L190" s="2311"/>
      <c r="M190" s="2311"/>
      <c r="N190" s="2312"/>
    </row>
    <row r="191" spans="1:14" ht="24.9" customHeight="1" thickBot="1">
      <c r="A191" s="290" t="s">
        <v>95</v>
      </c>
      <c r="B191" s="291" t="s">
        <v>1</v>
      </c>
      <c r="C191" s="291" t="s">
        <v>2</v>
      </c>
      <c r="D191" s="291" t="s">
        <v>3</v>
      </c>
      <c r="E191" s="291" t="s">
        <v>4</v>
      </c>
      <c r="F191" s="291" t="s">
        <v>5</v>
      </c>
      <c r="G191" s="291" t="s">
        <v>6</v>
      </c>
      <c r="H191" s="291" t="s">
        <v>7</v>
      </c>
      <c r="I191" s="291" t="s">
        <v>8</v>
      </c>
      <c r="J191" s="291" t="s">
        <v>9</v>
      </c>
      <c r="K191" s="291" t="s">
        <v>10</v>
      </c>
      <c r="L191" s="291" t="s">
        <v>11</v>
      </c>
      <c r="M191" s="291" t="s">
        <v>12</v>
      </c>
      <c r="N191" s="292" t="s">
        <v>13</v>
      </c>
    </row>
    <row r="192" spans="1:14">
      <c r="A192" s="339" t="s">
        <v>247</v>
      </c>
      <c r="B192" s="299"/>
      <c r="C192" s="300"/>
      <c r="D192" s="300"/>
      <c r="E192" s="300">
        <v>1</v>
      </c>
      <c r="F192" s="300"/>
      <c r="G192" s="300"/>
      <c r="H192" s="300">
        <v>1</v>
      </c>
      <c r="I192" s="300"/>
      <c r="J192" s="300"/>
      <c r="K192" s="300"/>
      <c r="L192" s="300"/>
      <c r="M192" s="301">
        <v>1</v>
      </c>
      <c r="N192" s="324">
        <f>SUM(B192:M192)</f>
        <v>3</v>
      </c>
    </row>
    <row r="193" spans="1:14">
      <c r="A193" s="325" t="s">
        <v>239</v>
      </c>
      <c r="B193" s="304"/>
      <c r="C193" s="305"/>
      <c r="D193" s="305"/>
      <c r="E193" s="305">
        <v>200000</v>
      </c>
      <c r="F193" s="305"/>
      <c r="G193" s="305"/>
      <c r="H193" s="305">
        <v>200000</v>
      </c>
      <c r="I193" s="305"/>
      <c r="J193" s="305"/>
      <c r="K193" s="305"/>
      <c r="L193" s="305"/>
      <c r="M193" s="306">
        <v>200000</v>
      </c>
      <c r="N193" s="306">
        <f>SUM(B193:M193)</f>
        <v>600000</v>
      </c>
    </row>
    <row r="194" spans="1:14">
      <c r="A194" s="326" t="s">
        <v>263</v>
      </c>
      <c r="B194" s="309"/>
      <c r="C194" s="310"/>
      <c r="D194" s="310"/>
      <c r="E194" s="310">
        <v>200000</v>
      </c>
      <c r="F194" s="310"/>
      <c r="G194" s="310"/>
      <c r="H194" s="310">
        <v>200000</v>
      </c>
      <c r="I194" s="310"/>
      <c r="J194" s="310"/>
      <c r="K194" s="310"/>
      <c r="L194" s="310"/>
      <c r="M194" s="311">
        <v>200000</v>
      </c>
      <c r="N194" s="327">
        <f>SUM(B194:M194)</f>
        <v>600000</v>
      </c>
    </row>
    <row r="195" spans="1:14" ht="13.8" thickBot="1">
      <c r="A195" s="340" t="s">
        <v>264</v>
      </c>
      <c r="B195" s="335"/>
      <c r="C195" s="336"/>
      <c r="D195" s="336"/>
      <c r="E195" s="336">
        <v>50000</v>
      </c>
      <c r="F195" s="336"/>
      <c r="G195" s="336"/>
      <c r="H195" s="336">
        <v>50000</v>
      </c>
      <c r="I195" s="336"/>
      <c r="J195" s="336"/>
      <c r="K195" s="336"/>
      <c r="L195" s="336"/>
      <c r="M195" s="337">
        <v>50000</v>
      </c>
      <c r="N195" s="337">
        <f>SUM(B195:M195)</f>
        <v>150000</v>
      </c>
    </row>
    <row r="196" spans="1:14" ht="13.8" thickBot="1"/>
    <row r="197" spans="1:14" ht="24.9" customHeight="1">
      <c r="A197" s="289"/>
      <c r="B197" s="2310" t="s">
        <v>297</v>
      </c>
      <c r="C197" s="2311"/>
      <c r="D197" s="2311"/>
      <c r="E197" s="2311"/>
      <c r="F197" s="2311"/>
      <c r="G197" s="2311"/>
      <c r="H197" s="2311"/>
      <c r="I197" s="2311"/>
      <c r="J197" s="2311"/>
      <c r="K197" s="2311"/>
      <c r="L197" s="2311"/>
      <c r="M197" s="2311"/>
      <c r="N197" s="2312"/>
    </row>
    <row r="198" spans="1:14" ht="24.9" customHeight="1" thickBot="1">
      <c r="A198" s="290" t="s">
        <v>96</v>
      </c>
      <c r="B198" s="291" t="s">
        <v>1</v>
      </c>
      <c r="C198" s="291" t="s">
        <v>2</v>
      </c>
      <c r="D198" s="291" t="s">
        <v>3</v>
      </c>
      <c r="E198" s="291" t="s">
        <v>4</v>
      </c>
      <c r="F198" s="291" t="s">
        <v>5</v>
      </c>
      <c r="G198" s="291" t="s">
        <v>6</v>
      </c>
      <c r="H198" s="291" t="s">
        <v>7</v>
      </c>
      <c r="I198" s="291" t="s">
        <v>8</v>
      </c>
      <c r="J198" s="291" t="s">
        <v>9</v>
      </c>
      <c r="K198" s="291" t="s">
        <v>10</v>
      </c>
      <c r="L198" s="291" t="s">
        <v>11</v>
      </c>
      <c r="M198" s="291" t="s">
        <v>12</v>
      </c>
      <c r="N198" s="292" t="s">
        <v>13</v>
      </c>
    </row>
    <row r="199" spans="1:14">
      <c r="A199" s="339" t="s">
        <v>247</v>
      </c>
      <c r="B199" s="299"/>
      <c r="C199" s="300"/>
      <c r="D199" s="300"/>
      <c r="E199" s="300">
        <v>1</v>
      </c>
      <c r="F199" s="300"/>
      <c r="G199" s="300"/>
      <c r="H199" s="300">
        <v>1</v>
      </c>
      <c r="I199" s="300"/>
      <c r="J199" s="300"/>
      <c r="K199" s="300">
        <v>1</v>
      </c>
      <c r="L199" s="300"/>
      <c r="M199" s="301"/>
      <c r="N199" s="324">
        <f>SUM(B199:M199)</f>
        <v>3</v>
      </c>
    </row>
    <row r="200" spans="1:14">
      <c r="A200" s="325" t="s">
        <v>239</v>
      </c>
      <c r="B200" s="304"/>
      <c r="C200" s="305"/>
      <c r="D200" s="305"/>
      <c r="E200" s="305">
        <v>50000</v>
      </c>
      <c r="F200" s="305"/>
      <c r="G200" s="305"/>
      <c r="H200" s="305">
        <v>50000</v>
      </c>
      <c r="I200" s="305"/>
      <c r="J200" s="305"/>
      <c r="K200" s="305">
        <v>50000</v>
      </c>
      <c r="L200" s="305"/>
      <c r="M200" s="306"/>
      <c r="N200" s="306">
        <f>SUM(B200:M200)</f>
        <v>150000</v>
      </c>
    </row>
    <row r="201" spans="1:14">
      <c r="A201" s="326" t="s">
        <v>263</v>
      </c>
      <c r="B201" s="309"/>
      <c r="C201" s="310"/>
      <c r="D201" s="310"/>
      <c r="E201" s="310">
        <v>250000</v>
      </c>
      <c r="F201" s="310"/>
      <c r="G201" s="310"/>
      <c r="H201" s="310">
        <v>250000</v>
      </c>
      <c r="I201" s="310"/>
      <c r="J201" s="310"/>
      <c r="K201" s="310">
        <v>250000</v>
      </c>
      <c r="L201" s="310"/>
      <c r="M201" s="311"/>
      <c r="N201" s="327">
        <f>SUM(B201:M201)</f>
        <v>750000</v>
      </c>
    </row>
    <row r="202" spans="1:14" ht="13.8" thickBot="1">
      <c r="A202" s="340" t="s">
        <v>264</v>
      </c>
      <c r="B202" s="335"/>
      <c r="C202" s="336"/>
      <c r="D202" s="336"/>
      <c r="E202" s="336">
        <v>30000</v>
      </c>
      <c r="F202" s="336"/>
      <c r="G202" s="336"/>
      <c r="H202" s="336">
        <v>30000</v>
      </c>
      <c r="I202" s="336"/>
      <c r="J202" s="336"/>
      <c r="K202" s="336">
        <v>30000</v>
      </c>
      <c r="L202" s="336"/>
      <c r="M202" s="337"/>
      <c r="N202" s="337">
        <f>SUM(B202:M202)</f>
        <v>90000</v>
      </c>
    </row>
    <row r="203" spans="1:14" ht="13.8" thickBot="1"/>
    <row r="204" spans="1:14" ht="24.9" customHeight="1">
      <c r="A204" s="289"/>
      <c r="B204" s="2310" t="s">
        <v>297</v>
      </c>
      <c r="C204" s="2311"/>
      <c r="D204" s="2311"/>
      <c r="E204" s="2311"/>
      <c r="F204" s="2311"/>
      <c r="G204" s="2311"/>
      <c r="H204" s="2311"/>
      <c r="I204" s="2311"/>
      <c r="J204" s="2311"/>
      <c r="K204" s="2311"/>
      <c r="L204" s="2311"/>
      <c r="M204" s="2311"/>
      <c r="N204" s="2312"/>
    </row>
    <row r="205" spans="1:14" ht="24.9" customHeight="1" thickBot="1">
      <c r="A205" s="290" t="s">
        <v>97</v>
      </c>
      <c r="B205" s="291" t="s">
        <v>1</v>
      </c>
      <c r="C205" s="291" t="s">
        <v>2</v>
      </c>
      <c r="D205" s="291" t="s">
        <v>3</v>
      </c>
      <c r="E205" s="291" t="s">
        <v>4</v>
      </c>
      <c r="F205" s="291" t="s">
        <v>5</v>
      </c>
      <c r="G205" s="291" t="s">
        <v>6</v>
      </c>
      <c r="H205" s="291" t="s">
        <v>7</v>
      </c>
      <c r="I205" s="291" t="s">
        <v>8</v>
      </c>
      <c r="J205" s="291" t="s">
        <v>9</v>
      </c>
      <c r="K205" s="291" t="s">
        <v>10</v>
      </c>
      <c r="L205" s="291" t="s">
        <v>11</v>
      </c>
      <c r="M205" s="291" t="s">
        <v>12</v>
      </c>
      <c r="N205" s="292" t="s">
        <v>13</v>
      </c>
    </row>
    <row r="206" spans="1:14">
      <c r="A206" s="339" t="s">
        <v>247</v>
      </c>
      <c r="B206" s="299"/>
      <c r="C206" s="300">
        <v>1</v>
      </c>
      <c r="D206" s="300"/>
      <c r="E206" s="300"/>
      <c r="F206" s="300"/>
      <c r="G206" s="300">
        <v>1</v>
      </c>
      <c r="H206" s="300"/>
      <c r="I206" s="300"/>
      <c r="J206" s="300"/>
      <c r="K206" s="300">
        <v>1</v>
      </c>
      <c r="L206" s="300"/>
      <c r="M206" s="301"/>
      <c r="N206" s="324">
        <f>SUM(B206:M206)</f>
        <v>3</v>
      </c>
    </row>
    <row r="207" spans="1:14">
      <c r="A207" s="325" t="s">
        <v>239</v>
      </c>
      <c r="B207" s="304"/>
      <c r="C207" s="305">
        <v>100000</v>
      </c>
      <c r="D207" s="305"/>
      <c r="E207" s="305"/>
      <c r="F207" s="305"/>
      <c r="G207" s="305">
        <v>100000</v>
      </c>
      <c r="H207" s="305"/>
      <c r="I207" s="305"/>
      <c r="J207" s="305"/>
      <c r="K207" s="305">
        <v>100000</v>
      </c>
      <c r="L207" s="305"/>
      <c r="M207" s="306"/>
      <c r="N207" s="306">
        <f>SUM(B207:M207)</f>
        <v>300000</v>
      </c>
    </row>
    <row r="208" spans="1:14">
      <c r="A208" s="326" t="s">
        <v>263</v>
      </c>
      <c r="B208" s="309"/>
      <c r="C208" s="310">
        <v>200000</v>
      </c>
      <c r="D208" s="310"/>
      <c r="E208" s="310"/>
      <c r="F208" s="310"/>
      <c r="G208" s="310">
        <v>200000</v>
      </c>
      <c r="H208" s="310"/>
      <c r="I208" s="310"/>
      <c r="J208" s="310"/>
      <c r="K208" s="310">
        <v>200000</v>
      </c>
      <c r="L208" s="310"/>
      <c r="M208" s="311"/>
      <c r="N208" s="327">
        <f>SUM(B208:M208)</f>
        <v>600000</v>
      </c>
    </row>
    <row r="209" spans="1:14" ht="13.8" thickBot="1">
      <c r="A209" s="340" t="s">
        <v>264</v>
      </c>
      <c r="B209" s="335"/>
      <c r="C209" s="336"/>
      <c r="D209" s="336"/>
      <c r="E209" s="336"/>
      <c r="F209" s="336"/>
      <c r="G209" s="336"/>
      <c r="H209" s="336"/>
      <c r="I209" s="336"/>
      <c r="J209" s="336"/>
      <c r="K209" s="336"/>
      <c r="L209" s="336"/>
      <c r="M209" s="337"/>
      <c r="N209" s="337">
        <f>SUM(B209:M209)</f>
        <v>0</v>
      </c>
    </row>
    <row r="210" spans="1:14" ht="13.8" thickBot="1"/>
    <row r="211" spans="1:14" ht="24.9" customHeight="1">
      <c r="A211" s="289"/>
      <c r="B211" s="2310" t="s">
        <v>297</v>
      </c>
      <c r="C211" s="2311"/>
      <c r="D211" s="2311"/>
      <c r="E211" s="2311"/>
      <c r="F211" s="2311"/>
      <c r="G211" s="2311"/>
      <c r="H211" s="2311"/>
      <c r="I211" s="2311"/>
      <c r="J211" s="2311"/>
      <c r="K211" s="2311"/>
      <c r="L211" s="2311"/>
      <c r="M211" s="2311"/>
      <c r="N211" s="2312"/>
    </row>
    <row r="212" spans="1:14" ht="24.9" customHeight="1" thickBot="1">
      <c r="A212" s="290" t="s">
        <v>98</v>
      </c>
      <c r="B212" s="291" t="s">
        <v>1</v>
      </c>
      <c r="C212" s="291" t="s">
        <v>2</v>
      </c>
      <c r="D212" s="291" t="s">
        <v>3</v>
      </c>
      <c r="E212" s="291" t="s">
        <v>4</v>
      </c>
      <c r="F212" s="291" t="s">
        <v>5</v>
      </c>
      <c r="G212" s="291" t="s">
        <v>6</v>
      </c>
      <c r="H212" s="291" t="s">
        <v>7</v>
      </c>
      <c r="I212" s="291" t="s">
        <v>8</v>
      </c>
      <c r="J212" s="291" t="s">
        <v>9</v>
      </c>
      <c r="K212" s="291" t="s">
        <v>10</v>
      </c>
      <c r="L212" s="291" t="s">
        <v>11</v>
      </c>
      <c r="M212" s="291" t="s">
        <v>12</v>
      </c>
      <c r="N212" s="292" t="s">
        <v>13</v>
      </c>
    </row>
    <row r="213" spans="1:14">
      <c r="A213" s="339" t="s">
        <v>247</v>
      </c>
      <c r="B213" s="299"/>
      <c r="C213" s="300"/>
      <c r="D213" s="300"/>
      <c r="E213" s="300">
        <v>1</v>
      </c>
      <c r="F213" s="300"/>
      <c r="G213" s="300"/>
      <c r="H213" s="300"/>
      <c r="I213" s="300"/>
      <c r="J213" s="300"/>
      <c r="K213" s="300">
        <v>1</v>
      </c>
      <c r="L213" s="300"/>
      <c r="M213" s="301"/>
      <c r="N213" s="324">
        <f>SUM(B213:M213)</f>
        <v>2</v>
      </c>
    </row>
    <row r="214" spans="1:14">
      <c r="A214" s="325" t="s">
        <v>239</v>
      </c>
      <c r="B214" s="304"/>
      <c r="C214" s="305"/>
      <c r="D214" s="305"/>
      <c r="E214" s="305">
        <v>1200000</v>
      </c>
      <c r="F214" s="305"/>
      <c r="G214" s="305"/>
      <c r="H214" s="305"/>
      <c r="I214" s="305"/>
      <c r="J214" s="305"/>
      <c r="K214" s="305">
        <v>1200000</v>
      </c>
      <c r="L214" s="305"/>
      <c r="M214" s="306"/>
      <c r="N214" s="306">
        <f>SUM(B214:M214)</f>
        <v>2400000</v>
      </c>
    </row>
    <row r="215" spans="1:14">
      <c r="A215" s="326" t="s">
        <v>263</v>
      </c>
      <c r="B215" s="309"/>
      <c r="C215" s="310"/>
      <c r="D215" s="310"/>
      <c r="E215" s="310">
        <v>500000</v>
      </c>
      <c r="F215" s="310"/>
      <c r="G215" s="310"/>
      <c r="H215" s="310"/>
      <c r="I215" s="310"/>
      <c r="J215" s="310"/>
      <c r="K215" s="310">
        <v>500000</v>
      </c>
      <c r="L215" s="310"/>
      <c r="M215" s="311"/>
      <c r="N215" s="327">
        <f>SUM(B215:M215)</f>
        <v>1000000</v>
      </c>
    </row>
    <row r="216" spans="1:14" ht="13.8" thickBot="1">
      <c r="A216" s="340" t="s">
        <v>264</v>
      </c>
      <c r="B216" s="335"/>
      <c r="C216" s="336"/>
      <c r="D216" s="336"/>
      <c r="E216" s="336">
        <v>125000</v>
      </c>
      <c r="F216" s="336"/>
      <c r="G216" s="336"/>
      <c r="H216" s="336"/>
      <c r="I216" s="336"/>
      <c r="J216" s="336"/>
      <c r="K216" s="336">
        <v>125000</v>
      </c>
      <c r="L216" s="336"/>
      <c r="M216" s="337"/>
      <c r="N216" s="337">
        <f>SUM(B216:M216)</f>
        <v>250000</v>
      </c>
    </row>
    <row r="217" spans="1:14" ht="13.8" thickBot="1"/>
    <row r="218" spans="1:14" ht="24.9" customHeight="1">
      <c r="A218" s="289"/>
      <c r="B218" s="2310" t="s">
        <v>297</v>
      </c>
      <c r="C218" s="2311"/>
      <c r="D218" s="2311"/>
      <c r="E218" s="2311"/>
      <c r="F218" s="2311"/>
      <c r="G218" s="2311"/>
      <c r="H218" s="2311"/>
      <c r="I218" s="2311"/>
      <c r="J218" s="2311"/>
      <c r="K218" s="2311"/>
      <c r="L218" s="2311"/>
      <c r="M218" s="2311"/>
      <c r="N218" s="2312"/>
    </row>
    <row r="219" spans="1:14" ht="24.9" customHeight="1" thickBot="1">
      <c r="A219" s="290" t="s">
        <v>99</v>
      </c>
      <c r="B219" s="291" t="s">
        <v>1</v>
      </c>
      <c r="C219" s="291" t="s">
        <v>2</v>
      </c>
      <c r="D219" s="291" t="s">
        <v>3</v>
      </c>
      <c r="E219" s="291" t="s">
        <v>4</v>
      </c>
      <c r="F219" s="291" t="s">
        <v>5</v>
      </c>
      <c r="G219" s="291" t="s">
        <v>6</v>
      </c>
      <c r="H219" s="291" t="s">
        <v>7</v>
      </c>
      <c r="I219" s="291" t="s">
        <v>8</v>
      </c>
      <c r="J219" s="291" t="s">
        <v>9</v>
      </c>
      <c r="K219" s="291" t="s">
        <v>10</v>
      </c>
      <c r="L219" s="291" t="s">
        <v>11</v>
      </c>
      <c r="M219" s="291" t="s">
        <v>12</v>
      </c>
      <c r="N219" s="292" t="s">
        <v>13</v>
      </c>
    </row>
    <row r="220" spans="1:14">
      <c r="A220" s="339" t="s">
        <v>247</v>
      </c>
      <c r="B220" s="299"/>
      <c r="C220" s="300"/>
      <c r="D220" s="300">
        <v>1</v>
      </c>
      <c r="E220" s="300"/>
      <c r="F220" s="300"/>
      <c r="G220" s="300"/>
      <c r="H220" s="300">
        <v>1</v>
      </c>
      <c r="I220" s="300"/>
      <c r="J220" s="300"/>
      <c r="K220" s="300">
        <v>1</v>
      </c>
      <c r="L220" s="300"/>
      <c r="M220" s="301">
        <v>1</v>
      </c>
      <c r="N220" s="324">
        <f>SUM(B220:M220)</f>
        <v>4</v>
      </c>
    </row>
    <row r="221" spans="1:14">
      <c r="A221" s="325" t="s">
        <v>239</v>
      </c>
      <c r="B221" s="304"/>
      <c r="C221" s="305"/>
      <c r="D221" s="305">
        <v>750000</v>
      </c>
      <c r="E221" s="305"/>
      <c r="F221" s="305"/>
      <c r="G221" s="305"/>
      <c r="H221" s="305">
        <v>750000</v>
      </c>
      <c r="I221" s="305"/>
      <c r="J221" s="305"/>
      <c r="K221" s="305">
        <v>750000</v>
      </c>
      <c r="L221" s="305"/>
      <c r="M221" s="306">
        <v>750000</v>
      </c>
      <c r="N221" s="306">
        <f>SUM(B221:M221)</f>
        <v>3000000</v>
      </c>
    </row>
    <row r="222" spans="1:14">
      <c r="A222" s="326" t="s">
        <v>263</v>
      </c>
      <c r="B222" s="309"/>
      <c r="C222" s="310"/>
      <c r="D222" s="310">
        <v>200000</v>
      </c>
      <c r="E222" s="310"/>
      <c r="F222" s="310"/>
      <c r="G222" s="310"/>
      <c r="H222" s="310">
        <v>200000</v>
      </c>
      <c r="I222" s="310"/>
      <c r="J222" s="310"/>
      <c r="K222" s="310">
        <v>200000</v>
      </c>
      <c r="L222" s="310"/>
      <c r="M222" s="311">
        <v>200000</v>
      </c>
      <c r="N222" s="327">
        <f>SUM(B222:M222)</f>
        <v>800000</v>
      </c>
    </row>
    <row r="223" spans="1:14" ht="13.8" thickBot="1">
      <c r="A223" s="340" t="s">
        <v>264</v>
      </c>
      <c r="B223" s="335"/>
      <c r="C223" s="336"/>
      <c r="D223" s="336">
        <v>50000</v>
      </c>
      <c r="E223" s="336"/>
      <c r="F223" s="336"/>
      <c r="G223" s="336"/>
      <c r="H223" s="336">
        <v>50000</v>
      </c>
      <c r="I223" s="336"/>
      <c r="J223" s="336"/>
      <c r="K223" s="336">
        <v>50000</v>
      </c>
      <c r="L223" s="336"/>
      <c r="M223" s="337">
        <v>50000</v>
      </c>
      <c r="N223" s="337">
        <f>SUM(B223:M223)</f>
        <v>200000</v>
      </c>
    </row>
    <row r="224" spans="1:14" ht="13.8" thickBot="1"/>
    <row r="225" spans="1:14" ht="24.9" customHeight="1">
      <c r="A225" s="289"/>
      <c r="B225" s="2310" t="s">
        <v>297</v>
      </c>
      <c r="C225" s="2311"/>
      <c r="D225" s="2311"/>
      <c r="E225" s="2311"/>
      <c r="F225" s="2311"/>
      <c r="G225" s="2311"/>
      <c r="H225" s="2311"/>
      <c r="I225" s="2311"/>
      <c r="J225" s="2311"/>
      <c r="K225" s="2311"/>
      <c r="L225" s="2311"/>
      <c r="M225" s="2311"/>
      <c r="N225" s="2312"/>
    </row>
    <row r="226" spans="1:14" ht="24.9" customHeight="1" thickBot="1">
      <c r="A226" s="290" t="s">
        <v>100</v>
      </c>
      <c r="B226" s="291" t="s">
        <v>1</v>
      </c>
      <c r="C226" s="291" t="s">
        <v>2</v>
      </c>
      <c r="D226" s="291" t="s">
        <v>3</v>
      </c>
      <c r="E226" s="291" t="s">
        <v>4</v>
      </c>
      <c r="F226" s="291" t="s">
        <v>5</v>
      </c>
      <c r="G226" s="291" t="s">
        <v>6</v>
      </c>
      <c r="H226" s="291" t="s">
        <v>7</v>
      </c>
      <c r="I226" s="291" t="s">
        <v>8</v>
      </c>
      <c r="J226" s="291" t="s">
        <v>9</v>
      </c>
      <c r="K226" s="291" t="s">
        <v>10</v>
      </c>
      <c r="L226" s="291" t="s">
        <v>11</v>
      </c>
      <c r="M226" s="291" t="s">
        <v>12</v>
      </c>
      <c r="N226" s="292" t="s">
        <v>13</v>
      </c>
    </row>
    <row r="227" spans="1:14">
      <c r="A227" s="339" t="s">
        <v>247</v>
      </c>
      <c r="B227" s="299"/>
      <c r="C227" s="300"/>
      <c r="D227" s="300"/>
      <c r="E227" s="300"/>
      <c r="F227" s="300">
        <v>1</v>
      </c>
      <c r="G227" s="300"/>
      <c r="H227" s="300"/>
      <c r="I227" s="300"/>
      <c r="J227" s="300">
        <v>1</v>
      </c>
      <c r="K227" s="300"/>
      <c r="L227" s="300"/>
      <c r="M227" s="301"/>
      <c r="N227" s="324">
        <f>SUM(B227:M227)</f>
        <v>2</v>
      </c>
    </row>
    <row r="228" spans="1:14">
      <c r="A228" s="325" t="s">
        <v>239</v>
      </c>
      <c r="B228" s="304"/>
      <c r="C228" s="305"/>
      <c r="D228" s="305"/>
      <c r="E228" s="305"/>
      <c r="F228" s="305">
        <v>100000</v>
      </c>
      <c r="G228" s="305"/>
      <c r="H228" s="305"/>
      <c r="I228" s="305"/>
      <c r="J228" s="305">
        <v>100000</v>
      </c>
      <c r="K228" s="305"/>
      <c r="L228" s="305"/>
      <c r="M228" s="306"/>
      <c r="N228" s="306">
        <f>SUM(B228:M228)</f>
        <v>200000</v>
      </c>
    </row>
    <row r="229" spans="1:14">
      <c r="A229" s="326" t="s">
        <v>263</v>
      </c>
      <c r="B229" s="309"/>
      <c r="C229" s="310"/>
      <c r="D229" s="310"/>
      <c r="E229" s="310"/>
      <c r="F229" s="310">
        <v>100000</v>
      </c>
      <c r="G229" s="310"/>
      <c r="H229" s="310"/>
      <c r="I229" s="310"/>
      <c r="J229" s="310">
        <v>100000</v>
      </c>
      <c r="K229" s="310"/>
      <c r="L229" s="310"/>
      <c r="M229" s="311"/>
      <c r="N229" s="327">
        <f>SUM(B229:M229)</f>
        <v>200000</v>
      </c>
    </row>
    <row r="230" spans="1:14" ht="13.8" thickBot="1">
      <c r="A230" s="340" t="s">
        <v>264</v>
      </c>
      <c r="B230" s="335"/>
      <c r="C230" s="336"/>
      <c r="D230" s="336"/>
      <c r="E230" s="336"/>
      <c r="F230" s="336">
        <v>10000</v>
      </c>
      <c r="G230" s="336"/>
      <c r="H230" s="336"/>
      <c r="I230" s="336"/>
      <c r="J230" s="336">
        <v>10000</v>
      </c>
      <c r="K230" s="336"/>
      <c r="L230" s="336"/>
      <c r="M230" s="337"/>
      <c r="N230" s="337">
        <f>SUM(B230:M230)</f>
        <v>20000</v>
      </c>
    </row>
    <row r="231" spans="1:14" ht="13.8" thickBot="1"/>
    <row r="232" spans="1:14" ht="24.9" customHeight="1">
      <c r="A232" s="289"/>
      <c r="B232" s="2310" t="s">
        <v>297</v>
      </c>
      <c r="C232" s="2311"/>
      <c r="D232" s="2311"/>
      <c r="E232" s="2311"/>
      <c r="F232" s="2311"/>
      <c r="G232" s="2311"/>
      <c r="H232" s="2311"/>
      <c r="I232" s="2311"/>
      <c r="J232" s="2311"/>
      <c r="K232" s="2311"/>
      <c r="L232" s="2311"/>
      <c r="M232" s="2311"/>
      <c r="N232" s="2312"/>
    </row>
    <row r="233" spans="1:14" ht="24.9" customHeight="1" thickBot="1">
      <c r="A233" s="290" t="s">
        <v>101</v>
      </c>
      <c r="B233" s="291" t="s">
        <v>1</v>
      </c>
      <c r="C233" s="291" t="s">
        <v>2</v>
      </c>
      <c r="D233" s="291" t="s">
        <v>3</v>
      </c>
      <c r="E233" s="291" t="s">
        <v>4</v>
      </c>
      <c r="F233" s="291" t="s">
        <v>5</v>
      </c>
      <c r="G233" s="291" t="s">
        <v>6</v>
      </c>
      <c r="H233" s="291" t="s">
        <v>7</v>
      </c>
      <c r="I233" s="291" t="s">
        <v>8</v>
      </c>
      <c r="J233" s="291" t="s">
        <v>9</v>
      </c>
      <c r="K233" s="291" t="s">
        <v>10</v>
      </c>
      <c r="L233" s="291" t="s">
        <v>11</v>
      </c>
      <c r="M233" s="291" t="s">
        <v>12</v>
      </c>
      <c r="N233" s="292" t="s">
        <v>13</v>
      </c>
    </row>
    <row r="234" spans="1:14">
      <c r="A234" s="339" t="s">
        <v>247</v>
      </c>
      <c r="B234" s="299"/>
      <c r="C234" s="300"/>
      <c r="D234" s="300">
        <v>1</v>
      </c>
      <c r="E234" s="300"/>
      <c r="F234" s="300"/>
      <c r="G234" s="300"/>
      <c r="H234" s="300">
        <v>1</v>
      </c>
      <c r="I234" s="300"/>
      <c r="J234" s="300"/>
      <c r="K234" s="300"/>
      <c r="L234" s="300">
        <v>1</v>
      </c>
      <c r="M234" s="301"/>
      <c r="N234" s="324">
        <f>SUM(B234:M234)</f>
        <v>3</v>
      </c>
    </row>
    <row r="235" spans="1:14">
      <c r="A235" s="325" t="s">
        <v>239</v>
      </c>
      <c r="B235" s="304"/>
      <c r="C235" s="305"/>
      <c r="D235" s="305">
        <v>100000</v>
      </c>
      <c r="E235" s="305"/>
      <c r="F235" s="305"/>
      <c r="G235" s="305"/>
      <c r="H235" s="305">
        <v>100000</v>
      </c>
      <c r="I235" s="305"/>
      <c r="J235" s="305"/>
      <c r="K235" s="305"/>
      <c r="L235" s="305">
        <v>100000</v>
      </c>
      <c r="M235" s="306"/>
      <c r="N235" s="306">
        <f>SUM(B235:M235)</f>
        <v>300000</v>
      </c>
    </row>
    <row r="236" spans="1:14">
      <c r="A236" s="326" t="s">
        <v>263</v>
      </c>
      <c r="B236" s="309"/>
      <c r="C236" s="310"/>
      <c r="D236" s="310">
        <v>100000</v>
      </c>
      <c r="E236" s="310"/>
      <c r="F236" s="310"/>
      <c r="G236" s="310"/>
      <c r="H236" s="310">
        <v>100000</v>
      </c>
      <c r="I236" s="310"/>
      <c r="J236" s="310"/>
      <c r="K236" s="310"/>
      <c r="L236" s="310">
        <v>100000</v>
      </c>
      <c r="M236" s="311"/>
      <c r="N236" s="327">
        <f>SUM(B236:M236)</f>
        <v>300000</v>
      </c>
    </row>
    <row r="237" spans="1:14" ht="13.8" thickBot="1">
      <c r="A237" s="340" t="s">
        <v>264</v>
      </c>
      <c r="B237" s="335"/>
      <c r="C237" s="336"/>
      <c r="D237" s="336">
        <v>10000</v>
      </c>
      <c r="E237" s="336"/>
      <c r="F237" s="336"/>
      <c r="G237" s="336"/>
      <c r="H237" s="336">
        <v>10000</v>
      </c>
      <c r="I237" s="336"/>
      <c r="J237" s="336"/>
      <c r="K237" s="336"/>
      <c r="L237" s="336">
        <v>10000</v>
      </c>
      <c r="M237" s="337"/>
      <c r="N237" s="337">
        <f>SUM(B237:M237)</f>
        <v>30000</v>
      </c>
    </row>
    <row r="238" spans="1:14" ht="13.8" thickBot="1"/>
    <row r="239" spans="1:14" ht="24.9" customHeight="1">
      <c r="A239" s="289"/>
      <c r="B239" s="2310" t="s">
        <v>297</v>
      </c>
      <c r="C239" s="2311"/>
      <c r="D239" s="2311"/>
      <c r="E239" s="2311"/>
      <c r="F239" s="2311"/>
      <c r="G239" s="2311"/>
      <c r="H239" s="2311"/>
      <c r="I239" s="2311"/>
      <c r="J239" s="2311"/>
      <c r="K239" s="2311"/>
      <c r="L239" s="2311"/>
      <c r="M239" s="2311"/>
      <c r="N239" s="2312"/>
    </row>
    <row r="240" spans="1:14" ht="24.9" customHeight="1" thickBot="1">
      <c r="A240" s="290" t="s">
        <v>102</v>
      </c>
      <c r="B240" s="291" t="s">
        <v>1</v>
      </c>
      <c r="C240" s="291" t="s">
        <v>2</v>
      </c>
      <c r="D240" s="291" t="s">
        <v>3</v>
      </c>
      <c r="E240" s="291" t="s">
        <v>4</v>
      </c>
      <c r="F240" s="291" t="s">
        <v>5</v>
      </c>
      <c r="G240" s="291" t="s">
        <v>6</v>
      </c>
      <c r="H240" s="291" t="s">
        <v>7</v>
      </c>
      <c r="I240" s="291" t="s">
        <v>8</v>
      </c>
      <c r="J240" s="291" t="s">
        <v>9</v>
      </c>
      <c r="K240" s="291" t="s">
        <v>10</v>
      </c>
      <c r="L240" s="291" t="s">
        <v>11</v>
      </c>
      <c r="M240" s="291" t="s">
        <v>12</v>
      </c>
      <c r="N240" s="292" t="s">
        <v>13</v>
      </c>
    </row>
    <row r="241" spans="1:14">
      <c r="A241" s="339" t="s">
        <v>247</v>
      </c>
      <c r="B241" s="299"/>
      <c r="C241" s="300"/>
      <c r="D241" s="300"/>
      <c r="E241" s="300"/>
      <c r="F241" s="300"/>
      <c r="G241" s="300">
        <v>1</v>
      </c>
      <c r="H241" s="300"/>
      <c r="I241" s="300">
        <v>1</v>
      </c>
      <c r="J241" s="300"/>
      <c r="K241" s="300"/>
      <c r="L241" s="300"/>
      <c r="M241" s="301"/>
      <c r="N241" s="324">
        <f>SUM(B241:M241)</f>
        <v>2</v>
      </c>
    </row>
    <row r="242" spans="1:14">
      <c r="A242" s="325" t="s">
        <v>239</v>
      </c>
      <c r="B242" s="304"/>
      <c r="C242" s="305"/>
      <c r="D242" s="305"/>
      <c r="E242" s="305"/>
      <c r="F242" s="305"/>
      <c r="G242" s="305">
        <v>100000</v>
      </c>
      <c r="H242" s="305"/>
      <c r="I242" s="305">
        <v>100000</v>
      </c>
      <c r="J242" s="305"/>
      <c r="K242" s="305"/>
      <c r="L242" s="305"/>
      <c r="M242" s="306"/>
      <c r="N242" s="306">
        <f>SUM(B242:M242)</f>
        <v>200000</v>
      </c>
    </row>
    <row r="243" spans="1:14">
      <c r="A243" s="326" t="s">
        <v>263</v>
      </c>
      <c r="B243" s="309"/>
      <c r="C243" s="310"/>
      <c r="D243" s="310"/>
      <c r="E243" s="310"/>
      <c r="F243" s="310"/>
      <c r="G243" s="310">
        <v>100000</v>
      </c>
      <c r="H243" s="310"/>
      <c r="I243" s="310">
        <v>100000</v>
      </c>
      <c r="J243" s="310"/>
      <c r="K243" s="310"/>
      <c r="L243" s="310"/>
      <c r="M243" s="311"/>
      <c r="N243" s="327">
        <f>SUM(B243:M243)</f>
        <v>200000</v>
      </c>
    </row>
    <row r="244" spans="1:14" ht="13.8" thickBot="1">
      <c r="A244" s="340" t="s">
        <v>264</v>
      </c>
      <c r="B244" s="335"/>
      <c r="C244" s="336"/>
      <c r="D244" s="336"/>
      <c r="E244" s="336"/>
      <c r="F244" s="336"/>
      <c r="G244" s="336">
        <v>30000</v>
      </c>
      <c r="H244" s="336"/>
      <c r="I244" s="336">
        <v>30000</v>
      </c>
      <c r="J244" s="336"/>
      <c r="K244" s="336"/>
      <c r="L244" s="336"/>
      <c r="M244" s="337"/>
      <c r="N244" s="337">
        <f>SUM(B244:M244)</f>
        <v>60000</v>
      </c>
    </row>
    <row r="245" spans="1:14" ht="13.8" thickBot="1"/>
    <row r="246" spans="1:14" ht="24.9" customHeight="1">
      <c r="A246" s="289"/>
      <c r="B246" s="2310" t="s">
        <v>297</v>
      </c>
      <c r="C246" s="2311"/>
      <c r="D246" s="2311"/>
      <c r="E246" s="2311"/>
      <c r="F246" s="2311"/>
      <c r="G246" s="2311"/>
      <c r="H246" s="2311"/>
      <c r="I246" s="2311"/>
      <c r="J246" s="2311"/>
      <c r="K246" s="2311"/>
      <c r="L246" s="2311"/>
      <c r="M246" s="2311"/>
      <c r="N246" s="2312"/>
    </row>
    <row r="247" spans="1:14" ht="24.9" customHeight="1" thickBot="1">
      <c r="A247" s="290" t="s">
        <v>103</v>
      </c>
      <c r="B247" s="291" t="s">
        <v>1</v>
      </c>
      <c r="C247" s="291" t="s">
        <v>2</v>
      </c>
      <c r="D247" s="291" t="s">
        <v>3</v>
      </c>
      <c r="E247" s="291" t="s">
        <v>4</v>
      </c>
      <c r="F247" s="291" t="s">
        <v>5</v>
      </c>
      <c r="G247" s="291" t="s">
        <v>6</v>
      </c>
      <c r="H247" s="291" t="s">
        <v>7</v>
      </c>
      <c r="I247" s="291" t="s">
        <v>8</v>
      </c>
      <c r="J247" s="291" t="s">
        <v>9</v>
      </c>
      <c r="K247" s="291" t="s">
        <v>10</v>
      </c>
      <c r="L247" s="291" t="s">
        <v>11</v>
      </c>
      <c r="M247" s="291" t="s">
        <v>12</v>
      </c>
      <c r="N247" s="292" t="s">
        <v>13</v>
      </c>
    </row>
    <row r="248" spans="1:14">
      <c r="A248" s="339" t="s">
        <v>247</v>
      </c>
      <c r="B248" s="299"/>
      <c r="C248" s="300"/>
      <c r="D248" s="300"/>
      <c r="E248" s="300"/>
      <c r="F248" s="300">
        <v>1</v>
      </c>
      <c r="G248" s="300"/>
      <c r="H248" s="300"/>
      <c r="I248" s="300"/>
      <c r="J248" s="300"/>
      <c r="K248" s="300"/>
      <c r="L248" s="300"/>
      <c r="M248" s="301"/>
      <c r="N248" s="324">
        <f>SUM(B248:M248)</f>
        <v>1</v>
      </c>
    </row>
    <row r="249" spans="1:14">
      <c r="A249" s="325" t="s">
        <v>239</v>
      </c>
      <c r="B249" s="304"/>
      <c r="C249" s="305"/>
      <c r="D249" s="305"/>
      <c r="E249" s="305"/>
      <c r="F249" s="305">
        <v>100000</v>
      </c>
      <c r="G249" s="305"/>
      <c r="H249" s="305"/>
      <c r="I249" s="305"/>
      <c r="J249" s="305"/>
      <c r="K249" s="305"/>
      <c r="L249" s="305"/>
      <c r="M249" s="306"/>
      <c r="N249" s="306">
        <f>SUM(B249:M249)</f>
        <v>100000</v>
      </c>
    </row>
    <row r="250" spans="1:14">
      <c r="A250" s="326" t="s">
        <v>263</v>
      </c>
      <c r="B250" s="309"/>
      <c r="C250" s="310"/>
      <c r="D250" s="310"/>
      <c r="E250" s="310"/>
      <c r="F250" s="310">
        <v>100000</v>
      </c>
      <c r="G250" s="310"/>
      <c r="H250" s="310"/>
      <c r="I250" s="310"/>
      <c r="J250" s="310"/>
      <c r="K250" s="310"/>
      <c r="L250" s="310"/>
      <c r="M250" s="311"/>
      <c r="N250" s="327">
        <f>SUM(B250:M250)</f>
        <v>100000</v>
      </c>
    </row>
    <row r="251" spans="1:14" ht="13.8" thickBot="1">
      <c r="A251" s="340" t="s">
        <v>264</v>
      </c>
      <c r="B251" s="335"/>
      <c r="C251" s="336"/>
      <c r="D251" s="336"/>
      <c r="E251" s="336"/>
      <c r="F251" s="336">
        <v>30000</v>
      </c>
      <c r="G251" s="336"/>
      <c r="H251" s="336"/>
      <c r="I251" s="336"/>
      <c r="J251" s="336"/>
      <c r="K251" s="336"/>
      <c r="L251" s="336"/>
      <c r="M251" s="337"/>
      <c r="N251" s="337">
        <f>SUM(B251:M251)</f>
        <v>30000</v>
      </c>
    </row>
    <row r="252" spans="1:14" s="342" customFormat="1" ht="13.8" thickBot="1">
      <c r="B252" s="343"/>
      <c r="C252" s="343"/>
      <c r="D252" s="343"/>
      <c r="E252" s="343"/>
      <c r="F252" s="343"/>
      <c r="G252" s="343"/>
      <c r="H252" s="343"/>
      <c r="I252" s="343"/>
      <c r="J252" s="343"/>
      <c r="K252" s="343"/>
      <c r="L252" s="343"/>
      <c r="M252" s="343"/>
      <c r="N252" s="344"/>
    </row>
    <row r="253" spans="1:14" s="342" customFormat="1" ht="17.399999999999999">
      <c r="A253" s="289"/>
      <c r="B253" s="2310" t="s">
        <v>297</v>
      </c>
      <c r="C253" s="2311"/>
      <c r="D253" s="2311"/>
      <c r="E253" s="2311"/>
      <c r="F253" s="2311"/>
      <c r="G253" s="2311"/>
      <c r="H253" s="2311"/>
      <c r="I253" s="2311"/>
      <c r="J253" s="2311"/>
      <c r="K253" s="2311"/>
      <c r="L253" s="2311"/>
      <c r="M253" s="2311"/>
      <c r="N253" s="2312"/>
    </row>
    <row r="254" spans="1:14" s="342" customFormat="1" ht="16.2" thickBot="1">
      <c r="A254" s="290" t="s">
        <v>104</v>
      </c>
      <c r="B254" s="291" t="s">
        <v>1</v>
      </c>
      <c r="C254" s="291" t="s">
        <v>2</v>
      </c>
      <c r="D254" s="291" t="s">
        <v>3</v>
      </c>
      <c r="E254" s="291" t="s">
        <v>4</v>
      </c>
      <c r="F254" s="291" t="s">
        <v>5</v>
      </c>
      <c r="G254" s="291" t="s">
        <v>6</v>
      </c>
      <c r="H254" s="291" t="s">
        <v>7</v>
      </c>
      <c r="I254" s="291" t="s">
        <v>8</v>
      </c>
      <c r="J254" s="291" t="s">
        <v>9</v>
      </c>
      <c r="K254" s="291" t="s">
        <v>10</v>
      </c>
      <c r="L254" s="291" t="s">
        <v>11</v>
      </c>
      <c r="M254" s="291" t="s">
        <v>12</v>
      </c>
      <c r="N254" s="292" t="s">
        <v>13</v>
      </c>
    </row>
    <row r="255" spans="1:14" s="342" customFormat="1">
      <c r="A255" s="339" t="s">
        <v>247</v>
      </c>
      <c r="B255" s="299"/>
      <c r="C255" s="300"/>
      <c r="D255" s="300">
        <v>1</v>
      </c>
      <c r="E255" s="300"/>
      <c r="F255" s="300">
        <v>1</v>
      </c>
      <c r="G255" s="300"/>
      <c r="H255" s="300"/>
      <c r="I255" s="300">
        <v>1</v>
      </c>
      <c r="J255" s="300"/>
      <c r="K255" s="300"/>
      <c r="L255" s="300"/>
      <c r="M255" s="301"/>
      <c r="N255" s="324">
        <f>SUM(B255:M255)</f>
        <v>3</v>
      </c>
    </row>
    <row r="256" spans="1:14" s="342" customFormat="1">
      <c r="A256" s="325" t="s">
        <v>239</v>
      </c>
      <c r="B256" s="304"/>
      <c r="C256" s="305"/>
      <c r="D256" s="305">
        <v>100000</v>
      </c>
      <c r="E256" s="305"/>
      <c r="F256" s="305">
        <v>100000</v>
      </c>
      <c r="G256" s="305"/>
      <c r="H256" s="305"/>
      <c r="I256" s="305">
        <v>100000</v>
      </c>
      <c r="J256" s="305"/>
      <c r="K256" s="305"/>
      <c r="L256" s="305"/>
      <c r="M256" s="306"/>
      <c r="N256" s="306">
        <f>SUM(B256:M256)</f>
        <v>300000</v>
      </c>
    </row>
    <row r="257" spans="1:15" s="342" customFormat="1">
      <c r="A257" s="326" t="s">
        <v>263</v>
      </c>
      <c r="B257" s="309"/>
      <c r="C257" s="310"/>
      <c r="D257" s="310">
        <v>100000</v>
      </c>
      <c r="E257" s="310"/>
      <c r="F257" s="310">
        <v>100000</v>
      </c>
      <c r="G257" s="310"/>
      <c r="H257" s="310"/>
      <c r="I257" s="310">
        <v>100000</v>
      </c>
      <c r="J257" s="310"/>
      <c r="K257" s="310"/>
      <c r="L257" s="310"/>
      <c r="M257" s="311"/>
      <c r="N257" s="327">
        <f>SUM(B257:M257)</f>
        <v>300000</v>
      </c>
    </row>
    <row r="258" spans="1:15" s="342" customFormat="1" ht="13.8" thickBot="1">
      <c r="A258" s="340" t="s">
        <v>264</v>
      </c>
      <c r="B258" s="335"/>
      <c r="C258" s="336"/>
      <c r="D258" s="336">
        <v>50000</v>
      </c>
      <c r="E258" s="336"/>
      <c r="F258" s="336">
        <v>50000</v>
      </c>
      <c r="G258" s="336"/>
      <c r="H258" s="336"/>
      <c r="I258" s="336">
        <v>50000</v>
      </c>
      <c r="J258" s="336"/>
      <c r="K258" s="336"/>
      <c r="L258" s="336"/>
      <c r="M258" s="337"/>
      <c r="N258" s="337">
        <f>SUM(B258:M258)</f>
        <v>150000</v>
      </c>
    </row>
    <row r="259" spans="1:15" s="342" customFormat="1" ht="13.8" thickBot="1">
      <c r="B259" s="343"/>
      <c r="C259" s="343"/>
      <c r="D259" s="343"/>
      <c r="E259" s="343"/>
      <c r="F259" s="343"/>
      <c r="G259" s="343"/>
      <c r="H259" s="343"/>
      <c r="I259" s="343"/>
      <c r="J259" s="343"/>
      <c r="K259" s="343"/>
      <c r="L259" s="343"/>
      <c r="M259" s="343"/>
    </row>
    <row r="260" spans="1:15" ht="24.9" customHeight="1" thickBot="1">
      <c r="A260" s="289"/>
      <c r="B260" s="2310" t="s">
        <v>301</v>
      </c>
      <c r="C260" s="2311"/>
      <c r="D260" s="2311"/>
      <c r="E260" s="2311"/>
      <c r="F260" s="2311"/>
      <c r="G260" s="2311"/>
      <c r="H260" s="2311"/>
      <c r="I260" s="2311"/>
      <c r="J260" s="2311"/>
      <c r="K260" s="2311"/>
      <c r="L260" s="2311"/>
      <c r="M260" s="2311"/>
      <c r="N260" s="2312"/>
    </row>
    <row r="261" spans="1:15" ht="24.9" customHeight="1">
      <c r="A261" s="330" t="s">
        <v>250</v>
      </c>
      <c r="B261" s="331" t="s">
        <v>1</v>
      </c>
      <c r="C261" s="331" t="s">
        <v>2</v>
      </c>
      <c r="D261" s="331" t="s">
        <v>3</v>
      </c>
      <c r="E261" s="331" t="s">
        <v>4</v>
      </c>
      <c r="F261" s="331" t="s">
        <v>5</v>
      </c>
      <c r="G261" s="331" t="s">
        <v>6</v>
      </c>
      <c r="H261" s="331" t="s">
        <v>7</v>
      </c>
      <c r="I261" s="331" t="s">
        <v>8</v>
      </c>
      <c r="J261" s="331" t="s">
        <v>9</v>
      </c>
      <c r="K261" s="331" t="s">
        <v>10</v>
      </c>
      <c r="L261" s="331" t="s">
        <v>11</v>
      </c>
      <c r="M261" s="331" t="s">
        <v>12</v>
      </c>
      <c r="N261" s="551" t="s">
        <v>13</v>
      </c>
    </row>
    <row r="262" spans="1:15">
      <c r="A262" s="552" t="s">
        <v>265</v>
      </c>
      <c r="B262" s="219">
        <f>B150+B157+B164+B171+B178+B185+B192+B199+B206+B213+B220+B227+B234+B241+B248+B255</f>
        <v>0</v>
      </c>
      <c r="C262" s="219">
        <f t="shared" ref="C262:M262" si="18">C150+C157+C164+C171+C178+C185+C192+C199+C206+C213+C220+C227+C234+C241+C248+C255</f>
        <v>2</v>
      </c>
      <c r="D262" s="219">
        <f t="shared" si="18"/>
        <v>3</v>
      </c>
      <c r="E262" s="219">
        <f t="shared" si="18"/>
        <v>4</v>
      </c>
      <c r="F262" s="219">
        <f t="shared" si="18"/>
        <v>5</v>
      </c>
      <c r="G262" s="219">
        <f t="shared" si="18"/>
        <v>4</v>
      </c>
      <c r="H262" s="219">
        <f t="shared" si="18"/>
        <v>6</v>
      </c>
      <c r="I262" s="219">
        <f t="shared" si="18"/>
        <v>2</v>
      </c>
      <c r="J262" s="219">
        <f t="shared" si="18"/>
        <v>2</v>
      </c>
      <c r="K262" s="219">
        <f t="shared" si="18"/>
        <v>5</v>
      </c>
      <c r="L262" s="219">
        <f t="shared" si="18"/>
        <v>3</v>
      </c>
      <c r="M262" s="232">
        <f t="shared" si="18"/>
        <v>3</v>
      </c>
      <c r="N262" s="553">
        <f>SUM(B262:M262)</f>
        <v>39</v>
      </c>
    </row>
    <row r="263" spans="1:15">
      <c r="A263" s="554" t="s">
        <v>266</v>
      </c>
      <c r="B263" s="220">
        <f t="shared" ref="B263:M265" si="19">B151+B158+B165+B172+B179+B186+B193+B200+B207+B214+B221+B228+B235+B242+B249+B256</f>
        <v>0</v>
      </c>
      <c r="C263" s="220">
        <f t="shared" si="19"/>
        <v>150000</v>
      </c>
      <c r="D263" s="220">
        <f t="shared" si="19"/>
        <v>950000</v>
      </c>
      <c r="E263" s="220">
        <f t="shared" si="19"/>
        <v>1550000</v>
      </c>
      <c r="F263" s="220">
        <f t="shared" si="19"/>
        <v>1500000</v>
      </c>
      <c r="G263" s="220">
        <f t="shared" si="19"/>
        <v>550000</v>
      </c>
      <c r="H263" s="220">
        <f t="shared" si="19"/>
        <v>1250000</v>
      </c>
      <c r="I263" s="220">
        <f t="shared" si="19"/>
        <v>200000</v>
      </c>
      <c r="J263" s="220">
        <f t="shared" si="19"/>
        <v>150000</v>
      </c>
      <c r="K263" s="220">
        <f t="shared" si="19"/>
        <v>3250000</v>
      </c>
      <c r="L263" s="220">
        <f t="shared" si="19"/>
        <v>450000</v>
      </c>
      <c r="M263" s="233">
        <f t="shared" si="19"/>
        <v>1000000</v>
      </c>
      <c r="N263" s="555">
        <f>SUM(B263:M263)</f>
        <v>11000000</v>
      </c>
      <c r="O263" s="556"/>
    </row>
    <row r="264" spans="1:15">
      <c r="A264" s="557" t="s">
        <v>267</v>
      </c>
      <c r="B264" s="219">
        <f t="shared" si="19"/>
        <v>0</v>
      </c>
      <c r="C264" s="219">
        <f t="shared" si="19"/>
        <v>350000</v>
      </c>
      <c r="D264" s="219">
        <f t="shared" si="19"/>
        <v>400000</v>
      </c>
      <c r="E264" s="219">
        <f t="shared" si="19"/>
        <v>1075000</v>
      </c>
      <c r="F264" s="219">
        <f t="shared" si="19"/>
        <v>800000</v>
      </c>
      <c r="G264" s="219">
        <f t="shared" si="19"/>
        <v>700000</v>
      </c>
      <c r="H264" s="219">
        <f t="shared" si="19"/>
        <v>1175000</v>
      </c>
      <c r="I264" s="219">
        <f t="shared" si="19"/>
        <v>200000</v>
      </c>
      <c r="J264" s="219">
        <f t="shared" si="19"/>
        <v>250000</v>
      </c>
      <c r="K264" s="219">
        <f t="shared" si="19"/>
        <v>1500000</v>
      </c>
      <c r="L264" s="219">
        <f t="shared" si="19"/>
        <v>500000</v>
      </c>
      <c r="M264" s="232">
        <f t="shared" si="19"/>
        <v>550000</v>
      </c>
      <c r="N264" s="553">
        <f>SUM(B264:M264)</f>
        <v>7500000</v>
      </c>
      <c r="O264" s="556"/>
    </row>
    <row r="265" spans="1:15">
      <c r="A265" s="554" t="s">
        <v>268</v>
      </c>
      <c r="B265" s="220">
        <f t="shared" si="19"/>
        <v>0</v>
      </c>
      <c r="C265" s="220">
        <f t="shared" si="19"/>
        <v>50000</v>
      </c>
      <c r="D265" s="220">
        <f t="shared" si="19"/>
        <v>110000</v>
      </c>
      <c r="E265" s="220">
        <f t="shared" si="19"/>
        <v>205000</v>
      </c>
      <c r="F265" s="220">
        <f t="shared" si="19"/>
        <v>190000</v>
      </c>
      <c r="G265" s="220">
        <f t="shared" si="19"/>
        <v>130000</v>
      </c>
      <c r="H265" s="220">
        <f t="shared" si="19"/>
        <v>160000</v>
      </c>
      <c r="I265" s="220">
        <f t="shared" si="19"/>
        <v>80000</v>
      </c>
      <c r="J265" s="220">
        <f t="shared" si="19"/>
        <v>60000</v>
      </c>
      <c r="K265" s="220">
        <f t="shared" si="19"/>
        <v>255000</v>
      </c>
      <c r="L265" s="220">
        <f t="shared" si="19"/>
        <v>110000</v>
      </c>
      <c r="M265" s="233">
        <f t="shared" si="19"/>
        <v>150000</v>
      </c>
      <c r="N265" s="555">
        <f>SUM(B265:M265)</f>
        <v>1500000</v>
      </c>
      <c r="O265" s="556"/>
    </row>
    <row r="266" spans="1:15" s="563" customFormat="1" ht="13.8" thickBot="1">
      <c r="A266" s="558" t="s">
        <v>269</v>
      </c>
      <c r="B266" s="559"/>
      <c r="C266" s="559">
        <f>SUM(C263:C265)</f>
        <v>550000</v>
      </c>
      <c r="D266" s="559">
        <f t="shared" ref="D266:N266" si="20">SUM(D263:D265)</f>
        <v>1460000</v>
      </c>
      <c r="E266" s="559">
        <f t="shared" si="20"/>
        <v>2830000</v>
      </c>
      <c r="F266" s="559">
        <f t="shared" si="20"/>
        <v>2490000</v>
      </c>
      <c r="G266" s="559">
        <f t="shared" si="20"/>
        <v>1380000</v>
      </c>
      <c r="H266" s="559">
        <f t="shared" si="20"/>
        <v>2585000</v>
      </c>
      <c r="I266" s="559">
        <f t="shared" si="20"/>
        <v>480000</v>
      </c>
      <c r="J266" s="559">
        <f t="shared" si="20"/>
        <v>460000</v>
      </c>
      <c r="K266" s="559">
        <f t="shared" si="20"/>
        <v>5005000</v>
      </c>
      <c r="L266" s="559">
        <f t="shared" si="20"/>
        <v>1060000</v>
      </c>
      <c r="M266" s="560">
        <f t="shared" si="20"/>
        <v>1700000</v>
      </c>
      <c r="N266" s="561">
        <f t="shared" si="20"/>
        <v>20000000</v>
      </c>
      <c r="O266" s="562"/>
    </row>
    <row r="267" spans="1:15" s="342" customFormat="1">
      <c r="B267" s="343"/>
      <c r="C267" s="343"/>
      <c r="D267" s="343"/>
      <c r="E267" s="343"/>
      <c r="F267" s="343"/>
      <c r="G267" s="343"/>
      <c r="H267" s="343"/>
      <c r="I267" s="343"/>
      <c r="J267" s="343"/>
      <c r="K267" s="343"/>
      <c r="L267" s="343"/>
      <c r="M267" s="343"/>
    </row>
    <row r="269" spans="1:15" ht="24.9" customHeight="1" thickBot="1">
      <c r="A269" s="290" t="s">
        <v>272</v>
      </c>
      <c r="B269" s="291" t="s">
        <v>1</v>
      </c>
      <c r="C269" s="291" t="s">
        <v>2</v>
      </c>
      <c r="D269" s="291" t="s">
        <v>3</v>
      </c>
      <c r="E269" s="291" t="s">
        <v>4</v>
      </c>
      <c r="F269" s="291" t="s">
        <v>5</v>
      </c>
      <c r="G269" s="291" t="s">
        <v>6</v>
      </c>
      <c r="H269" s="291" t="s">
        <v>7</v>
      </c>
      <c r="I269" s="291" t="s">
        <v>8</v>
      </c>
      <c r="J269" s="291" t="s">
        <v>9</v>
      </c>
      <c r="K269" s="291" t="s">
        <v>10</v>
      </c>
      <c r="L269" s="291" t="s">
        <v>11</v>
      </c>
      <c r="M269" s="291" t="s">
        <v>12</v>
      </c>
      <c r="N269" s="292" t="s">
        <v>13</v>
      </c>
    </row>
    <row r="270" spans="1:15">
      <c r="A270" s="303" t="s">
        <v>89</v>
      </c>
      <c r="B270" s="304">
        <f t="shared" ref="B270:M270" si="21">B152</f>
        <v>0</v>
      </c>
      <c r="C270" s="305">
        <f t="shared" si="21"/>
        <v>0</v>
      </c>
      <c r="D270" s="305">
        <f t="shared" si="21"/>
        <v>0</v>
      </c>
      <c r="E270" s="305">
        <f t="shared" si="21"/>
        <v>125000</v>
      </c>
      <c r="F270" s="305">
        <f t="shared" si="21"/>
        <v>0</v>
      </c>
      <c r="G270" s="305">
        <f t="shared" si="21"/>
        <v>0</v>
      </c>
      <c r="H270" s="305">
        <f t="shared" si="21"/>
        <v>125000</v>
      </c>
      <c r="I270" s="305">
        <f t="shared" si="21"/>
        <v>0</v>
      </c>
      <c r="J270" s="305">
        <f t="shared" si="21"/>
        <v>0</v>
      </c>
      <c r="K270" s="305">
        <f t="shared" si="21"/>
        <v>0</v>
      </c>
      <c r="L270" s="305">
        <f t="shared" si="21"/>
        <v>0</v>
      </c>
      <c r="M270" s="306">
        <f t="shared" si="21"/>
        <v>0</v>
      </c>
      <c r="N270" s="307">
        <f t="shared" ref="N270:N285" si="22">SUM(B270:M270)</f>
        <v>250000</v>
      </c>
      <c r="O270" s="556"/>
    </row>
    <row r="271" spans="1:15">
      <c r="A271" s="303" t="s">
        <v>90</v>
      </c>
      <c r="B271" s="304">
        <f>B159</f>
        <v>0</v>
      </c>
      <c r="C271" s="305">
        <f t="shared" ref="C271:M271" si="23">C159</f>
        <v>0</v>
      </c>
      <c r="D271" s="305">
        <f t="shared" si="23"/>
        <v>0</v>
      </c>
      <c r="E271" s="305">
        <f t="shared" si="23"/>
        <v>0</v>
      </c>
      <c r="F271" s="305">
        <f t="shared" si="23"/>
        <v>350000</v>
      </c>
      <c r="G271" s="305">
        <f t="shared" si="23"/>
        <v>0</v>
      </c>
      <c r="H271" s="305">
        <f t="shared" si="23"/>
        <v>0</v>
      </c>
      <c r="I271" s="305">
        <f t="shared" si="23"/>
        <v>0</v>
      </c>
      <c r="J271" s="305">
        <f t="shared" si="23"/>
        <v>0</v>
      </c>
      <c r="K271" s="305">
        <f t="shared" si="23"/>
        <v>350000</v>
      </c>
      <c r="L271" s="305">
        <f t="shared" si="23"/>
        <v>0</v>
      </c>
      <c r="M271" s="306">
        <f t="shared" si="23"/>
        <v>0</v>
      </c>
      <c r="N271" s="307">
        <f t="shared" si="22"/>
        <v>700000</v>
      </c>
      <c r="O271" s="556"/>
    </row>
    <row r="272" spans="1:15">
      <c r="A272" s="303" t="s">
        <v>91</v>
      </c>
      <c r="B272" s="304">
        <f>B166</f>
        <v>0</v>
      </c>
      <c r="C272" s="305">
        <f t="shared" ref="C272:M272" si="24">C166</f>
        <v>0</v>
      </c>
      <c r="D272" s="305">
        <f t="shared" si="24"/>
        <v>0</v>
      </c>
      <c r="E272" s="305">
        <f t="shared" si="24"/>
        <v>0</v>
      </c>
      <c r="F272" s="305">
        <f t="shared" si="24"/>
        <v>0</v>
      </c>
      <c r="G272" s="305">
        <f t="shared" si="24"/>
        <v>200000</v>
      </c>
      <c r="H272" s="305">
        <f t="shared" si="24"/>
        <v>0</v>
      </c>
      <c r="I272" s="305">
        <f t="shared" si="24"/>
        <v>0</v>
      </c>
      <c r="J272" s="305">
        <f t="shared" si="24"/>
        <v>0</v>
      </c>
      <c r="K272" s="305">
        <f t="shared" si="24"/>
        <v>0</v>
      </c>
      <c r="L272" s="305">
        <f t="shared" si="24"/>
        <v>200000</v>
      </c>
      <c r="M272" s="306">
        <f t="shared" si="24"/>
        <v>0</v>
      </c>
      <c r="N272" s="307">
        <f t="shared" si="22"/>
        <v>400000</v>
      </c>
      <c r="O272" s="556"/>
    </row>
    <row r="273" spans="1:15">
      <c r="A273" s="303" t="s">
        <v>92</v>
      </c>
      <c r="B273" s="304">
        <f>B173</f>
        <v>0</v>
      </c>
      <c r="C273" s="305">
        <f t="shared" ref="C273:M273" si="25">C173</f>
        <v>150000</v>
      </c>
      <c r="D273" s="305">
        <f t="shared" si="25"/>
        <v>0</v>
      </c>
      <c r="E273" s="305">
        <f t="shared" si="25"/>
        <v>0</v>
      </c>
      <c r="F273" s="305">
        <f t="shared" si="25"/>
        <v>150000</v>
      </c>
      <c r="G273" s="305">
        <f t="shared" si="25"/>
        <v>0</v>
      </c>
      <c r="H273" s="305">
        <f t="shared" si="25"/>
        <v>0</v>
      </c>
      <c r="I273" s="305">
        <f t="shared" si="25"/>
        <v>0</v>
      </c>
      <c r="J273" s="305">
        <f t="shared" si="25"/>
        <v>150000</v>
      </c>
      <c r="K273" s="305">
        <f t="shared" si="25"/>
        <v>0</v>
      </c>
      <c r="L273" s="305">
        <f t="shared" si="25"/>
        <v>0</v>
      </c>
      <c r="M273" s="306">
        <f t="shared" si="25"/>
        <v>150000</v>
      </c>
      <c r="N273" s="307">
        <f t="shared" si="22"/>
        <v>600000</v>
      </c>
      <c r="O273" s="556"/>
    </row>
    <row r="274" spans="1:15">
      <c r="A274" s="303" t="s">
        <v>93</v>
      </c>
      <c r="B274" s="304">
        <f>B180</f>
        <v>0</v>
      </c>
      <c r="C274" s="305">
        <f t="shared" ref="C274:M274" si="26">C180</f>
        <v>0</v>
      </c>
      <c r="D274" s="305">
        <f t="shared" si="26"/>
        <v>0</v>
      </c>
      <c r="E274" s="305">
        <f t="shared" si="26"/>
        <v>0</v>
      </c>
      <c r="F274" s="305">
        <f t="shared" si="26"/>
        <v>0</v>
      </c>
      <c r="G274" s="305">
        <f t="shared" si="26"/>
        <v>200000</v>
      </c>
      <c r="H274" s="305">
        <f t="shared" si="26"/>
        <v>0</v>
      </c>
      <c r="I274" s="305">
        <f t="shared" si="26"/>
        <v>0</v>
      </c>
      <c r="J274" s="305">
        <f t="shared" si="26"/>
        <v>0</v>
      </c>
      <c r="K274" s="305">
        <f t="shared" si="26"/>
        <v>0</v>
      </c>
      <c r="L274" s="305">
        <f t="shared" si="26"/>
        <v>200000</v>
      </c>
      <c r="M274" s="306">
        <f t="shared" si="26"/>
        <v>0</v>
      </c>
      <c r="N274" s="307">
        <f t="shared" si="22"/>
        <v>400000</v>
      </c>
      <c r="O274" s="556"/>
    </row>
    <row r="275" spans="1:15">
      <c r="A275" s="303" t="s">
        <v>94</v>
      </c>
      <c r="B275" s="304">
        <f>B187</f>
        <v>0</v>
      </c>
      <c r="C275" s="305">
        <f t="shared" ref="C275:M275" si="27">C187</f>
        <v>0</v>
      </c>
      <c r="D275" s="305">
        <f t="shared" si="27"/>
        <v>0</v>
      </c>
      <c r="E275" s="305">
        <f t="shared" si="27"/>
        <v>0</v>
      </c>
      <c r="F275" s="305">
        <f t="shared" si="27"/>
        <v>0</v>
      </c>
      <c r="G275" s="305">
        <f t="shared" si="27"/>
        <v>0</v>
      </c>
      <c r="H275" s="305">
        <f t="shared" si="27"/>
        <v>300000</v>
      </c>
      <c r="I275" s="305">
        <f t="shared" si="27"/>
        <v>0</v>
      </c>
      <c r="J275" s="305">
        <f t="shared" si="27"/>
        <v>0</v>
      </c>
      <c r="K275" s="305">
        <f t="shared" si="27"/>
        <v>0</v>
      </c>
      <c r="L275" s="305">
        <f t="shared" si="27"/>
        <v>0</v>
      </c>
      <c r="M275" s="306">
        <f t="shared" si="27"/>
        <v>0</v>
      </c>
      <c r="N275" s="307">
        <f t="shared" si="22"/>
        <v>300000</v>
      </c>
      <c r="O275" s="556"/>
    </row>
    <row r="276" spans="1:15">
      <c r="A276" s="303" t="s">
        <v>95</v>
      </c>
      <c r="B276" s="304">
        <f>B194</f>
        <v>0</v>
      </c>
      <c r="C276" s="305">
        <f t="shared" ref="C276:M276" si="28">C194</f>
        <v>0</v>
      </c>
      <c r="D276" s="305">
        <f t="shared" si="28"/>
        <v>0</v>
      </c>
      <c r="E276" s="305">
        <f t="shared" si="28"/>
        <v>200000</v>
      </c>
      <c r="F276" s="305">
        <f t="shared" si="28"/>
        <v>0</v>
      </c>
      <c r="G276" s="305">
        <f t="shared" si="28"/>
        <v>0</v>
      </c>
      <c r="H276" s="305">
        <f t="shared" si="28"/>
        <v>200000</v>
      </c>
      <c r="I276" s="305">
        <f t="shared" si="28"/>
        <v>0</v>
      </c>
      <c r="J276" s="305">
        <f t="shared" si="28"/>
        <v>0</v>
      </c>
      <c r="K276" s="305">
        <f t="shared" si="28"/>
        <v>0</v>
      </c>
      <c r="L276" s="305">
        <f t="shared" si="28"/>
        <v>0</v>
      </c>
      <c r="M276" s="306">
        <f t="shared" si="28"/>
        <v>200000</v>
      </c>
      <c r="N276" s="307">
        <f t="shared" si="22"/>
        <v>600000</v>
      </c>
      <c r="O276" s="556"/>
    </row>
    <row r="277" spans="1:15">
      <c r="A277" s="303" t="s">
        <v>96</v>
      </c>
      <c r="B277" s="304">
        <f>B201</f>
        <v>0</v>
      </c>
      <c r="C277" s="305">
        <f t="shared" ref="C277:M277" si="29">C201</f>
        <v>0</v>
      </c>
      <c r="D277" s="305">
        <f t="shared" si="29"/>
        <v>0</v>
      </c>
      <c r="E277" s="305">
        <f t="shared" si="29"/>
        <v>250000</v>
      </c>
      <c r="F277" s="305">
        <f t="shared" si="29"/>
        <v>0</v>
      </c>
      <c r="G277" s="305">
        <f t="shared" si="29"/>
        <v>0</v>
      </c>
      <c r="H277" s="305">
        <f t="shared" si="29"/>
        <v>250000</v>
      </c>
      <c r="I277" s="305">
        <f t="shared" si="29"/>
        <v>0</v>
      </c>
      <c r="J277" s="305">
        <f t="shared" si="29"/>
        <v>0</v>
      </c>
      <c r="K277" s="305">
        <f t="shared" si="29"/>
        <v>250000</v>
      </c>
      <c r="L277" s="305">
        <f t="shared" si="29"/>
        <v>0</v>
      </c>
      <c r="M277" s="306">
        <f t="shared" si="29"/>
        <v>0</v>
      </c>
      <c r="N277" s="307">
        <f t="shared" si="22"/>
        <v>750000</v>
      </c>
      <c r="O277" s="556"/>
    </row>
    <row r="278" spans="1:15">
      <c r="A278" s="303" t="s">
        <v>97</v>
      </c>
      <c r="B278" s="304">
        <f>B208</f>
        <v>0</v>
      </c>
      <c r="C278" s="305">
        <f t="shared" ref="C278:M278" si="30">C208</f>
        <v>200000</v>
      </c>
      <c r="D278" s="305">
        <f t="shared" si="30"/>
        <v>0</v>
      </c>
      <c r="E278" s="305">
        <f t="shared" si="30"/>
        <v>0</v>
      </c>
      <c r="F278" s="305">
        <f t="shared" si="30"/>
        <v>0</v>
      </c>
      <c r="G278" s="305">
        <f t="shared" si="30"/>
        <v>200000</v>
      </c>
      <c r="H278" s="305">
        <f t="shared" si="30"/>
        <v>0</v>
      </c>
      <c r="I278" s="305">
        <f t="shared" si="30"/>
        <v>0</v>
      </c>
      <c r="J278" s="305">
        <f t="shared" si="30"/>
        <v>0</v>
      </c>
      <c r="K278" s="305">
        <f t="shared" si="30"/>
        <v>200000</v>
      </c>
      <c r="L278" s="305">
        <f t="shared" si="30"/>
        <v>0</v>
      </c>
      <c r="M278" s="306">
        <f t="shared" si="30"/>
        <v>0</v>
      </c>
      <c r="N278" s="307">
        <f t="shared" si="22"/>
        <v>600000</v>
      </c>
      <c r="O278" s="556"/>
    </row>
    <row r="279" spans="1:15">
      <c r="A279" s="303" t="s">
        <v>98</v>
      </c>
      <c r="B279" s="304">
        <f>B215</f>
        <v>0</v>
      </c>
      <c r="C279" s="305">
        <f t="shared" ref="C279:M279" si="31">C215</f>
        <v>0</v>
      </c>
      <c r="D279" s="305">
        <f t="shared" si="31"/>
        <v>0</v>
      </c>
      <c r="E279" s="305">
        <f t="shared" si="31"/>
        <v>500000</v>
      </c>
      <c r="F279" s="305">
        <f t="shared" si="31"/>
        <v>0</v>
      </c>
      <c r="G279" s="305">
        <f t="shared" si="31"/>
        <v>0</v>
      </c>
      <c r="H279" s="305">
        <f t="shared" si="31"/>
        <v>0</v>
      </c>
      <c r="I279" s="305">
        <f t="shared" si="31"/>
        <v>0</v>
      </c>
      <c r="J279" s="305">
        <f t="shared" si="31"/>
        <v>0</v>
      </c>
      <c r="K279" s="305">
        <f t="shared" si="31"/>
        <v>500000</v>
      </c>
      <c r="L279" s="305">
        <f t="shared" si="31"/>
        <v>0</v>
      </c>
      <c r="M279" s="306">
        <f t="shared" si="31"/>
        <v>0</v>
      </c>
      <c r="N279" s="307">
        <f t="shared" si="22"/>
        <v>1000000</v>
      </c>
      <c r="O279" s="556"/>
    </row>
    <row r="280" spans="1:15">
      <c r="A280" s="303" t="s">
        <v>99</v>
      </c>
      <c r="B280" s="304">
        <f>B222</f>
        <v>0</v>
      </c>
      <c r="C280" s="305">
        <f t="shared" ref="C280:M280" si="32">C222</f>
        <v>0</v>
      </c>
      <c r="D280" s="305">
        <f t="shared" si="32"/>
        <v>200000</v>
      </c>
      <c r="E280" s="305">
        <f t="shared" si="32"/>
        <v>0</v>
      </c>
      <c r="F280" s="305">
        <f t="shared" si="32"/>
        <v>0</v>
      </c>
      <c r="G280" s="305">
        <f t="shared" si="32"/>
        <v>0</v>
      </c>
      <c r="H280" s="305">
        <f t="shared" si="32"/>
        <v>200000</v>
      </c>
      <c r="I280" s="305">
        <f t="shared" si="32"/>
        <v>0</v>
      </c>
      <c r="J280" s="305">
        <f t="shared" si="32"/>
        <v>0</v>
      </c>
      <c r="K280" s="305">
        <f t="shared" si="32"/>
        <v>200000</v>
      </c>
      <c r="L280" s="305">
        <f t="shared" si="32"/>
        <v>0</v>
      </c>
      <c r="M280" s="306">
        <f t="shared" si="32"/>
        <v>200000</v>
      </c>
      <c r="N280" s="307">
        <f t="shared" si="22"/>
        <v>800000</v>
      </c>
      <c r="O280" s="556"/>
    </row>
    <row r="281" spans="1:15">
      <c r="A281" s="303" t="s">
        <v>100</v>
      </c>
      <c r="B281" s="304">
        <f>B229</f>
        <v>0</v>
      </c>
      <c r="C281" s="305">
        <f t="shared" ref="C281:M281" si="33">C229</f>
        <v>0</v>
      </c>
      <c r="D281" s="305">
        <f t="shared" si="33"/>
        <v>0</v>
      </c>
      <c r="E281" s="305">
        <f t="shared" si="33"/>
        <v>0</v>
      </c>
      <c r="F281" s="305">
        <f t="shared" si="33"/>
        <v>100000</v>
      </c>
      <c r="G281" s="305">
        <f t="shared" si="33"/>
        <v>0</v>
      </c>
      <c r="H281" s="305">
        <f t="shared" si="33"/>
        <v>0</v>
      </c>
      <c r="I281" s="305">
        <f t="shared" si="33"/>
        <v>0</v>
      </c>
      <c r="J281" s="305">
        <f t="shared" si="33"/>
        <v>100000</v>
      </c>
      <c r="K281" s="305">
        <f t="shared" si="33"/>
        <v>0</v>
      </c>
      <c r="L281" s="305">
        <f t="shared" si="33"/>
        <v>0</v>
      </c>
      <c r="M281" s="306">
        <f t="shared" si="33"/>
        <v>0</v>
      </c>
      <c r="N281" s="307">
        <f t="shared" si="22"/>
        <v>200000</v>
      </c>
      <c r="O281" s="556"/>
    </row>
    <row r="282" spans="1:15">
      <c r="A282" s="303" t="s">
        <v>101</v>
      </c>
      <c r="B282" s="304">
        <f>B236</f>
        <v>0</v>
      </c>
      <c r="C282" s="305">
        <f t="shared" ref="C282:M282" si="34">C236</f>
        <v>0</v>
      </c>
      <c r="D282" s="305">
        <f t="shared" si="34"/>
        <v>100000</v>
      </c>
      <c r="E282" s="305">
        <f t="shared" si="34"/>
        <v>0</v>
      </c>
      <c r="F282" s="305">
        <f t="shared" si="34"/>
        <v>0</v>
      </c>
      <c r="G282" s="305">
        <f t="shared" si="34"/>
        <v>0</v>
      </c>
      <c r="H282" s="305">
        <f t="shared" si="34"/>
        <v>100000</v>
      </c>
      <c r="I282" s="305">
        <f t="shared" si="34"/>
        <v>0</v>
      </c>
      <c r="J282" s="305">
        <f t="shared" si="34"/>
        <v>0</v>
      </c>
      <c r="K282" s="305">
        <f t="shared" si="34"/>
        <v>0</v>
      </c>
      <c r="L282" s="305">
        <f t="shared" si="34"/>
        <v>100000</v>
      </c>
      <c r="M282" s="306">
        <f t="shared" si="34"/>
        <v>0</v>
      </c>
      <c r="N282" s="307">
        <f t="shared" si="22"/>
        <v>300000</v>
      </c>
      <c r="O282" s="556"/>
    </row>
    <row r="283" spans="1:15">
      <c r="A283" s="303" t="s">
        <v>102</v>
      </c>
      <c r="B283" s="304">
        <f>B243</f>
        <v>0</v>
      </c>
      <c r="C283" s="305">
        <f t="shared" ref="C283:M283" si="35">C243</f>
        <v>0</v>
      </c>
      <c r="D283" s="305">
        <f t="shared" si="35"/>
        <v>0</v>
      </c>
      <c r="E283" s="305">
        <f t="shared" si="35"/>
        <v>0</v>
      </c>
      <c r="F283" s="305">
        <f t="shared" si="35"/>
        <v>0</v>
      </c>
      <c r="G283" s="305">
        <f t="shared" si="35"/>
        <v>100000</v>
      </c>
      <c r="H283" s="305">
        <f t="shared" si="35"/>
        <v>0</v>
      </c>
      <c r="I283" s="305">
        <f t="shared" si="35"/>
        <v>100000</v>
      </c>
      <c r="J283" s="305">
        <f t="shared" si="35"/>
        <v>0</v>
      </c>
      <c r="K283" s="305">
        <f t="shared" si="35"/>
        <v>0</v>
      </c>
      <c r="L283" s="305">
        <f t="shared" si="35"/>
        <v>0</v>
      </c>
      <c r="M283" s="306">
        <f t="shared" si="35"/>
        <v>0</v>
      </c>
      <c r="N283" s="307">
        <f t="shared" si="22"/>
        <v>200000</v>
      </c>
      <c r="O283" s="556"/>
    </row>
    <row r="284" spans="1:15" s="563" customFormat="1">
      <c r="A284" s="303" t="s">
        <v>103</v>
      </c>
      <c r="B284" s="564">
        <f>B250</f>
        <v>0</v>
      </c>
      <c r="C284" s="565">
        <f t="shared" ref="C284:M284" si="36">C250</f>
        <v>0</v>
      </c>
      <c r="D284" s="565">
        <f t="shared" si="36"/>
        <v>0</v>
      </c>
      <c r="E284" s="565">
        <f t="shared" si="36"/>
        <v>0</v>
      </c>
      <c r="F284" s="565">
        <f t="shared" si="36"/>
        <v>100000</v>
      </c>
      <c r="G284" s="565">
        <f t="shared" si="36"/>
        <v>0</v>
      </c>
      <c r="H284" s="565">
        <f t="shared" si="36"/>
        <v>0</v>
      </c>
      <c r="I284" s="565">
        <f t="shared" si="36"/>
        <v>0</v>
      </c>
      <c r="J284" s="565">
        <f t="shared" si="36"/>
        <v>0</v>
      </c>
      <c r="K284" s="565">
        <f t="shared" si="36"/>
        <v>0</v>
      </c>
      <c r="L284" s="565">
        <f t="shared" si="36"/>
        <v>0</v>
      </c>
      <c r="M284" s="566">
        <f t="shared" si="36"/>
        <v>0</v>
      </c>
      <c r="N284" s="307">
        <f t="shared" si="22"/>
        <v>100000</v>
      </c>
      <c r="O284" s="562"/>
    </row>
    <row r="285" spans="1:15">
      <c r="A285" s="303" t="s">
        <v>104</v>
      </c>
      <c r="B285" s="304">
        <f>B257</f>
        <v>0</v>
      </c>
      <c r="C285" s="305">
        <f t="shared" ref="C285:M285" si="37">C257</f>
        <v>0</v>
      </c>
      <c r="D285" s="305">
        <f t="shared" si="37"/>
        <v>100000</v>
      </c>
      <c r="E285" s="305">
        <f t="shared" si="37"/>
        <v>0</v>
      </c>
      <c r="F285" s="305">
        <f t="shared" si="37"/>
        <v>100000</v>
      </c>
      <c r="G285" s="305">
        <f t="shared" si="37"/>
        <v>0</v>
      </c>
      <c r="H285" s="305">
        <f t="shared" si="37"/>
        <v>0</v>
      </c>
      <c r="I285" s="305">
        <f t="shared" si="37"/>
        <v>100000</v>
      </c>
      <c r="J285" s="305">
        <f t="shared" si="37"/>
        <v>0</v>
      </c>
      <c r="K285" s="305">
        <f t="shared" si="37"/>
        <v>0</v>
      </c>
      <c r="L285" s="305">
        <f t="shared" si="37"/>
        <v>0</v>
      </c>
      <c r="M285" s="306">
        <f t="shared" si="37"/>
        <v>0</v>
      </c>
      <c r="N285" s="307">
        <f t="shared" si="22"/>
        <v>300000</v>
      </c>
      <c r="O285" s="556"/>
    </row>
  </sheetData>
  <mergeCells count="33">
    <mergeCell ref="B246:N246"/>
    <mergeCell ref="B253:N253"/>
    <mergeCell ref="B260:N260"/>
    <mergeCell ref="B204:N204"/>
    <mergeCell ref="B211:N211"/>
    <mergeCell ref="B218:N218"/>
    <mergeCell ref="B225:N225"/>
    <mergeCell ref="B232:N232"/>
    <mergeCell ref="B239:N239"/>
    <mergeCell ref="B197:N197"/>
    <mergeCell ref="B110:N110"/>
    <mergeCell ref="B119:N119"/>
    <mergeCell ref="B128:N128"/>
    <mergeCell ref="B137:N137"/>
    <mergeCell ref="B148:N148"/>
    <mergeCell ref="B155:N155"/>
    <mergeCell ref="B162:N162"/>
    <mergeCell ref="B169:N169"/>
    <mergeCell ref="B176:N176"/>
    <mergeCell ref="B183:N183"/>
    <mergeCell ref="B190:N190"/>
    <mergeCell ref="B101:N101"/>
    <mergeCell ref="B2:N2"/>
    <mergeCell ref="B11:N11"/>
    <mergeCell ref="B20:N20"/>
    <mergeCell ref="B29:N29"/>
    <mergeCell ref="B38:N38"/>
    <mergeCell ref="B47:N47"/>
    <mergeCell ref="B56:N56"/>
    <mergeCell ref="B65:N65"/>
    <mergeCell ref="B74:N74"/>
    <mergeCell ref="B83:N83"/>
    <mergeCell ref="B92:N92"/>
  </mergeCells>
  <pageMargins left="0.75" right="0.75" top="1" bottom="1" header="0.5" footer="0.5"/>
  <pageSetup paperSize="9" scale="68" orientation="landscape" r:id="rId1"/>
  <headerFooter alignWithMargins="0"/>
  <rowBreaks count="8" manualBreakCount="8">
    <brk id="27" max="16383" man="1"/>
    <brk id="45" max="16383" man="1"/>
    <brk id="72" max="16383" man="1"/>
    <brk id="99" max="16383" man="1"/>
    <brk id="117" max="16383" man="1"/>
    <brk id="145" max="16383" man="1"/>
    <brk id="209" max="16383" man="1"/>
    <brk id="237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66"/>
  </sheetPr>
  <dimension ref="A1:R183"/>
  <sheetViews>
    <sheetView zoomScale="110" zoomScaleNormal="11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14" sqref="F14"/>
    </sheetView>
  </sheetViews>
  <sheetFormatPr defaultColWidth="9.109375" defaultRowHeight="11.4"/>
  <cols>
    <col min="1" max="1" width="30.109375" style="1302" customWidth="1"/>
    <col min="2" max="2" width="8.6640625" style="1302" hidden="1" customWidth="1"/>
    <col min="3" max="3" width="10.109375" style="1302" customWidth="1"/>
    <col min="4" max="5" width="8.44140625" style="1302" customWidth="1"/>
    <col min="6" max="6" width="16" style="1302" bestFit="1" customWidth="1"/>
    <col min="7" max="7" width="8.44140625" style="1302" customWidth="1"/>
    <col min="8" max="8" width="11.109375" style="1302" customWidth="1"/>
    <col min="9" max="9" width="8.44140625" style="1302" customWidth="1"/>
    <col min="10" max="10" width="13.88671875" style="1302" customWidth="1"/>
    <col min="11" max="13" width="8.44140625" style="1302" customWidth="1"/>
    <col min="14" max="14" width="12.33203125" style="1302" bestFit="1" customWidth="1"/>
    <col min="15" max="16" width="8.44140625" style="1302" customWidth="1"/>
    <col min="17" max="17" width="15" style="1302" bestFit="1" customWidth="1"/>
    <col min="18" max="16384" width="9.109375" style="1302"/>
  </cols>
  <sheetData>
    <row r="1" spans="1:18" ht="12.6" thickBot="1">
      <c r="A1" s="2404"/>
      <c r="B1" s="2406" t="s">
        <v>670</v>
      </c>
      <c r="C1" s="2406"/>
      <c r="D1" s="2407" t="s">
        <v>637</v>
      </c>
      <c r="E1" s="2407"/>
      <c r="F1" s="2407"/>
      <c r="G1" s="2407"/>
      <c r="H1" s="2407"/>
      <c r="I1" s="2407"/>
      <c r="J1" s="2407"/>
      <c r="K1" s="2407"/>
      <c r="L1" s="2407"/>
      <c r="M1" s="2407"/>
      <c r="N1" s="2407"/>
      <c r="O1" s="2407"/>
      <c r="P1" s="2408"/>
      <c r="Q1" s="1301" t="s">
        <v>605</v>
      </c>
    </row>
    <row r="2" spans="1:18" s="1308" customFormat="1" ht="24">
      <c r="A2" s="2405"/>
      <c r="B2" s="1303" t="s">
        <v>588</v>
      </c>
      <c r="C2" s="1303" t="s">
        <v>700</v>
      </c>
      <c r="D2" s="1304" t="s">
        <v>1</v>
      </c>
      <c r="E2" s="1304" t="s">
        <v>2</v>
      </c>
      <c r="F2" s="1304" t="s">
        <v>3</v>
      </c>
      <c r="G2" s="1304" t="s">
        <v>4</v>
      </c>
      <c r="H2" s="1304" t="s">
        <v>5</v>
      </c>
      <c r="I2" s="1304" t="s">
        <v>6</v>
      </c>
      <c r="J2" s="1304" t="s">
        <v>7</v>
      </c>
      <c r="K2" s="1304" t="s">
        <v>8</v>
      </c>
      <c r="L2" s="1304" t="s">
        <v>9</v>
      </c>
      <c r="M2" s="1304" t="s">
        <v>10</v>
      </c>
      <c r="N2" s="1304" t="s">
        <v>11</v>
      </c>
      <c r="O2" s="1305" t="s">
        <v>12</v>
      </c>
      <c r="P2" s="1306" t="s">
        <v>13</v>
      </c>
      <c r="Q2" s="1307" t="s">
        <v>699</v>
      </c>
    </row>
    <row r="3" spans="1:18" s="1315" customFormat="1" ht="12">
      <c r="A3" s="1309" t="s">
        <v>353</v>
      </c>
      <c r="B3" s="1310">
        <f>Perakende!B4</f>
        <v>0</v>
      </c>
      <c r="C3" s="1311">
        <f>Perakende!C4</f>
        <v>0</v>
      </c>
      <c r="D3" s="1310">
        <f>Perakende!D4</f>
        <v>0</v>
      </c>
      <c r="E3" s="1310">
        <f>Perakende!E4</f>
        <v>0</v>
      </c>
      <c r="F3" s="1310">
        <f>Perakende!F4</f>
        <v>0</v>
      </c>
      <c r="G3" s="1310">
        <f>Perakende!G4</f>
        <v>0</v>
      </c>
      <c r="H3" s="1310">
        <f>Perakende!H4</f>
        <v>0</v>
      </c>
      <c r="I3" s="1310">
        <f>Perakende!I4</f>
        <v>0</v>
      </c>
      <c r="J3" s="1310">
        <f>Perakende!J4</f>
        <v>0</v>
      </c>
      <c r="K3" s="1310">
        <f>Perakende!K4</f>
        <v>0</v>
      </c>
      <c r="L3" s="1310">
        <f>Perakende!L4</f>
        <v>0</v>
      </c>
      <c r="M3" s="1310">
        <f>Perakende!M4</f>
        <v>0</v>
      </c>
      <c r="N3" s="1310">
        <f>Perakende!N4</f>
        <v>0</v>
      </c>
      <c r="O3" s="1312">
        <f>Perakende!O4</f>
        <v>0</v>
      </c>
      <c r="P3" s="1313">
        <f>SUM(D3:O3)</f>
        <v>0</v>
      </c>
      <c r="Q3" s="1314" t="str">
        <f>IF(P3=0,"-",P3/C3-1)</f>
        <v>-</v>
      </c>
    </row>
    <row r="4" spans="1:18" s="1315" customFormat="1" ht="12">
      <c r="A4" s="1316" t="s">
        <v>21</v>
      </c>
      <c r="B4" s="1317">
        <f>'Ötv''li Deniz'!B4+'Ötv''siz Deniz'!B4</f>
        <v>0</v>
      </c>
      <c r="C4" s="1318">
        <f>'Ötv''li Deniz'!C4+'Ötv''siz Deniz'!C4</f>
        <v>0</v>
      </c>
      <c r="D4" s="1317">
        <f>'Ötv''li Deniz'!D4+'Ötv''siz Deniz'!D4</f>
        <v>0</v>
      </c>
      <c r="E4" s="1317">
        <f>'Ötv''li Deniz'!E4+'Ötv''siz Deniz'!E4</f>
        <v>0</v>
      </c>
      <c r="F4" s="1317">
        <f>'Ötv''li Deniz'!F4+'Ötv''siz Deniz'!F4</f>
        <v>0</v>
      </c>
      <c r="G4" s="1317">
        <f>'Ötv''li Deniz'!G4+'Ötv''siz Deniz'!G4</f>
        <v>0</v>
      </c>
      <c r="H4" s="1317">
        <f>'Ötv''li Deniz'!H4+'Ötv''siz Deniz'!H4</f>
        <v>0</v>
      </c>
      <c r="I4" s="1317">
        <f>'Ötv''li Deniz'!I4+'Ötv''siz Deniz'!I4</f>
        <v>0</v>
      </c>
      <c r="J4" s="1317">
        <f>'Ötv''li Deniz'!J4+'Ötv''siz Deniz'!J4</f>
        <v>0</v>
      </c>
      <c r="K4" s="1317">
        <f>'Ötv''li Deniz'!K4+'Ötv''siz Deniz'!K4</f>
        <v>0</v>
      </c>
      <c r="L4" s="1317">
        <f>'Ötv''li Deniz'!L4+'Ötv''siz Deniz'!L4</f>
        <v>0</v>
      </c>
      <c r="M4" s="1317">
        <f>'Ötv''li Deniz'!M4+'Ötv''siz Deniz'!M4</f>
        <v>0</v>
      </c>
      <c r="N4" s="1317">
        <f>'Ötv''li Deniz'!N4+'Ötv''siz Deniz'!N4</f>
        <v>0</v>
      </c>
      <c r="O4" s="1319">
        <f>'Ötv''li Deniz'!O4+'Ötv''siz Deniz'!O4</f>
        <v>0</v>
      </c>
      <c r="P4" s="1320">
        <f t="shared" ref="P4:P9" si="0">SUM(D4:O4)</f>
        <v>0</v>
      </c>
      <c r="Q4" s="1321" t="str">
        <f>IF(P4=0,"-",P4/C4-1)</f>
        <v>-</v>
      </c>
    </row>
    <row r="5" spans="1:18" s="1315" customFormat="1" ht="12">
      <c r="A5" s="1309" t="s">
        <v>22</v>
      </c>
      <c r="B5" s="1310">
        <f>İHALE!B4</f>
        <v>0</v>
      </c>
      <c r="C5" s="1311">
        <f>İHALE!C4</f>
        <v>0</v>
      </c>
      <c r="D5" s="1310">
        <f>İHALE!D4</f>
        <v>0</v>
      </c>
      <c r="E5" s="1310">
        <f>İHALE!E4</f>
        <v>0</v>
      </c>
      <c r="F5" s="1310">
        <f>İHALE!F4</f>
        <v>0</v>
      </c>
      <c r="G5" s="1310">
        <f>İHALE!G4</f>
        <v>0</v>
      </c>
      <c r="H5" s="1310">
        <f>İHALE!H4</f>
        <v>0</v>
      </c>
      <c r="I5" s="1310">
        <f>İHALE!I4</f>
        <v>0</v>
      </c>
      <c r="J5" s="1310">
        <f>İHALE!J4</f>
        <v>0</v>
      </c>
      <c r="K5" s="1310">
        <f>İHALE!K4</f>
        <v>0</v>
      </c>
      <c r="L5" s="1310">
        <f>İHALE!L4</f>
        <v>0</v>
      </c>
      <c r="M5" s="1310">
        <f>İHALE!M4</f>
        <v>0</v>
      </c>
      <c r="N5" s="1310">
        <f>İHALE!N4</f>
        <v>0</v>
      </c>
      <c r="O5" s="1312">
        <f>İHALE!O4</f>
        <v>0</v>
      </c>
      <c r="P5" s="1313">
        <f t="shared" si="0"/>
        <v>0</v>
      </c>
      <c r="Q5" s="1314" t="str">
        <f t="shared" ref="Q5" si="1">IF(P5=0,"-",P5/C5-1)</f>
        <v>-</v>
      </c>
    </row>
    <row r="6" spans="1:18" s="1315" customFormat="1" ht="12" customHeight="1">
      <c r="A6" s="1316" t="s">
        <v>515</v>
      </c>
      <c r="B6" s="1317">
        <f>ENDÜSTRİYEL!B4</f>
        <v>0</v>
      </c>
      <c r="C6" s="1318">
        <f>ENDÜSTRİYEL!C4</f>
        <v>0</v>
      </c>
      <c r="D6" s="1317">
        <f>ENDÜSTRİYEL!D4</f>
        <v>0</v>
      </c>
      <c r="E6" s="1317">
        <f>ENDÜSTRİYEL!E4</f>
        <v>0</v>
      </c>
      <c r="F6" s="1317">
        <f>ENDÜSTRİYEL!F4</f>
        <v>0</v>
      </c>
      <c r="G6" s="1317">
        <f>ENDÜSTRİYEL!G4</f>
        <v>0</v>
      </c>
      <c r="H6" s="1317">
        <f>ENDÜSTRİYEL!H4</f>
        <v>0</v>
      </c>
      <c r="I6" s="1317">
        <f>ENDÜSTRİYEL!I4</f>
        <v>0</v>
      </c>
      <c r="J6" s="1317">
        <f>ENDÜSTRİYEL!J4</f>
        <v>0</v>
      </c>
      <c r="K6" s="1317">
        <f>ENDÜSTRİYEL!K4</f>
        <v>0</v>
      </c>
      <c r="L6" s="1317">
        <f>ENDÜSTRİYEL!L4</f>
        <v>0</v>
      </c>
      <c r="M6" s="1317">
        <f>ENDÜSTRİYEL!M4</f>
        <v>0</v>
      </c>
      <c r="N6" s="1317">
        <f>ENDÜSTRİYEL!N4</f>
        <v>0</v>
      </c>
      <c r="O6" s="1319">
        <f>ENDÜSTRİYEL!O4</f>
        <v>0</v>
      </c>
      <c r="P6" s="1320">
        <f t="shared" si="0"/>
        <v>0</v>
      </c>
      <c r="Q6" s="1321" t="str">
        <f>IF(P6=0,"-",P6/C6-1)</f>
        <v>-</v>
      </c>
    </row>
    <row r="7" spans="1:18" s="1315" customFormat="1" ht="12">
      <c r="A7" s="1322" t="s">
        <v>183</v>
      </c>
      <c r="B7" s="1323">
        <f>SUM(B3:B6)</f>
        <v>0</v>
      </c>
      <c r="C7" s="1323">
        <f>SUM(C3:C6)</f>
        <v>0</v>
      </c>
      <c r="D7" s="1323">
        <f>SUM(D3:D6)</f>
        <v>0</v>
      </c>
      <c r="E7" s="1323">
        <f t="shared" ref="E7:O7" si="2">SUM(E3:E6)</f>
        <v>0</v>
      </c>
      <c r="F7" s="1323">
        <f t="shared" si="2"/>
        <v>0</v>
      </c>
      <c r="G7" s="1323">
        <f t="shared" si="2"/>
        <v>0</v>
      </c>
      <c r="H7" s="1323">
        <f t="shared" si="2"/>
        <v>0</v>
      </c>
      <c r="I7" s="1323">
        <f t="shared" si="2"/>
        <v>0</v>
      </c>
      <c r="J7" s="1323">
        <f t="shared" si="2"/>
        <v>0</v>
      </c>
      <c r="K7" s="1323">
        <f t="shared" si="2"/>
        <v>0</v>
      </c>
      <c r="L7" s="1323">
        <f t="shared" si="2"/>
        <v>0</v>
      </c>
      <c r="M7" s="1323">
        <f t="shared" si="2"/>
        <v>0</v>
      </c>
      <c r="N7" s="1323">
        <f t="shared" si="2"/>
        <v>0</v>
      </c>
      <c r="O7" s="1324">
        <f t="shared" si="2"/>
        <v>0</v>
      </c>
      <c r="P7" s="1325">
        <f t="shared" si="0"/>
        <v>0</v>
      </c>
      <c r="Q7" s="1326" t="str">
        <f>IF(P7=0,"-",P7/C7-1)</f>
        <v>-</v>
      </c>
      <c r="R7" s="2156"/>
    </row>
    <row r="8" spans="1:18" s="1315" customFormat="1" ht="12">
      <c r="A8" s="1309" t="s">
        <v>23</v>
      </c>
      <c r="B8" s="1310">
        <f>DAĞITICI!B4</f>
        <v>0</v>
      </c>
      <c r="C8" s="1311">
        <f>DAĞITICI!C4</f>
        <v>0</v>
      </c>
      <c r="D8" s="1310">
        <f>DAĞITICI!D4</f>
        <v>0</v>
      </c>
      <c r="E8" s="1310">
        <f>DAĞITICI!E4</f>
        <v>0</v>
      </c>
      <c r="F8" s="1310">
        <f>DAĞITICI!F4</f>
        <v>0</v>
      </c>
      <c r="G8" s="1310">
        <f>DAĞITICI!G4</f>
        <v>0</v>
      </c>
      <c r="H8" s="1310">
        <f>DAĞITICI!H4</f>
        <v>0</v>
      </c>
      <c r="I8" s="1310">
        <f>DAĞITICI!I4</f>
        <v>0</v>
      </c>
      <c r="J8" s="1310">
        <f>DAĞITICI!J4</f>
        <v>0</v>
      </c>
      <c r="K8" s="1310">
        <f>DAĞITICI!K4</f>
        <v>0</v>
      </c>
      <c r="L8" s="1310">
        <f>DAĞITICI!L4</f>
        <v>0</v>
      </c>
      <c r="M8" s="1310">
        <f>DAĞITICI!M4</f>
        <v>0</v>
      </c>
      <c r="N8" s="1310">
        <f>DAĞITICI!N4</f>
        <v>0</v>
      </c>
      <c r="O8" s="1312">
        <f>DAĞITICI!O4</f>
        <v>0</v>
      </c>
      <c r="P8" s="1313">
        <f t="shared" si="0"/>
        <v>0</v>
      </c>
      <c r="Q8" s="1314" t="str">
        <f>IF(P8=0,"-",P8/C8-1)</f>
        <v>-</v>
      </c>
    </row>
    <row r="9" spans="1:18" s="1315" customFormat="1" ht="12.6" thickBot="1">
      <c r="A9" s="1327" t="s">
        <v>184</v>
      </c>
      <c r="B9" s="1328">
        <f>B7+B8</f>
        <v>0</v>
      </c>
      <c r="C9" s="1328">
        <f>C7+C8</f>
        <v>0</v>
      </c>
      <c r="D9" s="1328">
        <f>D7+D8</f>
        <v>0</v>
      </c>
      <c r="E9" s="1328">
        <f t="shared" ref="E9:O9" si="3">E7+E8</f>
        <v>0</v>
      </c>
      <c r="F9" s="1328">
        <f t="shared" si="3"/>
        <v>0</v>
      </c>
      <c r="G9" s="1328">
        <f t="shared" si="3"/>
        <v>0</v>
      </c>
      <c r="H9" s="1328">
        <f t="shared" si="3"/>
        <v>0</v>
      </c>
      <c r="I9" s="1328">
        <f t="shared" si="3"/>
        <v>0</v>
      </c>
      <c r="J9" s="1328">
        <f t="shared" si="3"/>
        <v>0</v>
      </c>
      <c r="K9" s="1328">
        <f t="shared" si="3"/>
        <v>0</v>
      </c>
      <c r="L9" s="1328">
        <f t="shared" si="3"/>
        <v>0</v>
      </c>
      <c r="M9" s="1328">
        <f t="shared" si="3"/>
        <v>0</v>
      </c>
      <c r="N9" s="1328">
        <f t="shared" si="3"/>
        <v>0</v>
      </c>
      <c r="O9" s="1329">
        <f t="shared" si="3"/>
        <v>0</v>
      </c>
      <c r="P9" s="1330">
        <f t="shared" si="0"/>
        <v>0</v>
      </c>
      <c r="Q9" s="1331" t="str">
        <f>IF(P9=0,"-",P9/C9-1)</f>
        <v>-</v>
      </c>
    </row>
    <row r="11" spans="1:18">
      <c r="P11" s="1332"/>
    </row>
    <row r="12" spans="1:18" ht="12">
      <c r="E12" s="1302" t="s">
        <v>307</v>
      </c>
      <c r="F12" s="1996">
        <v>160996775.57844421</v>
      </c>
      <c r="P12" s="1313"/>
    </row>
    <row r="13" spans="1:18">
      <c r="E13" s="1302" t="s">
        <v>321</v>
      </c>
      <c r="F13" s="1996">
        <v>191748834.18377966</v>
      </c>
    </row>
    <row r="14" spans="1:18">
      <c r="B14" s="1791"/>
      <c r="E14" s="1302" t="s">
        <v>349</v>
      </c>
      <c r="F14" s="1996">
        <v>20782830.95771984</v>
      </c>
      <c r="P14" s="1996"/>
      <c r="Q14" s="2000"/>
    </row>
    <row r="16" spans="1:18">
      <c r="D16" s="2002"/>
      <c r="E16" s="2002"/>
      <c r="F16" s="2002"/>
      <c r="G16" s="2002"/>
      <c r="H16" s="2002"/>
      <c r="I16" s="2002"/>
      <c r="J16" s="2002"/>
      <c r="K16" s="2002"/>
      <c r="L16" s="2002"/>
      <c r="M16" s="2002"/>
      <c r="N16" s="2002"/>
      <c r="O16" s="1998"/>
      <c r="P16" s="1996"/>
      <c r="Q16" s="2000"/>
    </row>
    <row r="17" spans="2:17" ht="12" thickBot="1">
      <c r="B17" s="1791"/>
      <c r="D17" s="2002"/>
      <c r="E17" s="2003" t="s">
        <v>323</v>
      </c>
      <c r="F17" s="2004"/>
      <c r="G17" s="2004"/>
      <c r="H17" s="2002"/>
      <c r="I17" s="2003" t="s">
        <v>322</v>
      </c>
      <c r="J17" s="2004"/>
      <c r="K17" s="2002"/>
      <c r="L17" s="2002"/>
      <c r="M17" s="2003" t="s">
        <v>534</v>
      </c>
      <c r="N17" s="2004"/>
    </row>
    <row r="18" spans="2:17" ht="12.75" customHeight="1">
      <c r="D18" s="2403" t="s">
        <v>528</v>
      </c>
      <c r="E18" s="2403"/>
      <c r="F18" s="1997" t="e">
        <f>AVERAGE('Alış Fiyat'!P367)</f>
        <v>#DIV/0!</v>
      </c>
      <c r="G18" s="2002"/>
      <c r="H18" s="2002"/>
      <c r="I18" s="2002" t="s">
        <v>528</v>
      </c>
      <c r="J18" s="1997">
        <f>+'Alış Fiyat'!P369</f>
        <v>0</v>
      </c>
      <c r="K18" s="2002"/>
      <c r="L18" s="2002"/>
      <c r="M18" s="2002" t="s">
        <v>528</v>
      </c>
      <c r="N18" s="1997" t="e">
        <f>+'Alış Fiyat'!P363</f>
        <v>#DIV/0!</v>
      </c>
      <c r="P18" s="1999"/>
    </row>
    <row r="19" spans="2:17" ht="12.75" customHeight="1">
      <c r="D19" s="2403" t="s">
        <v>538</v>
      </c>
      <c r="E19" s="2403"/>
      <c r="F19" s="1997">
        <f>+'Satış Fiyat'!P367</f>
        <v>17.284179780101741</v>
      </c>
      <c r="G19" s="2002"/>
      <c r="H19" s="2002"/>
      <c r="I19" s="2002" t="s">
        <v>529</v>
      </c>
      <c r="J19" s="1997">
        <f>+'Satış Fiyat'!P369</f>
        <v>0</v>
      </c>
      <c r="K19" s="2002"/>
      <c r="L19" s="2002"/>
      <c r="M19" s="2002" t="s">
        <v>529</v>
      </c>
      <c r="N19" s="1997">
        <f>+'Satış Fiyat'!P363</f>
        <v>0</v>
      </c>
    </row>
    <row r="20" spans="2:17">
      <c r="D20" s="2002"/>
      <c r="E20" s="2002"/>
      <c r="F20" s="2005"/>
      <c r="G20" s="2002"/>
      <c r="H20" s="2002"/>
      <c r="I20" s="2002"/>
      <c r="J20" s="2005"/>
      <c r="K20" s="2002"/>
      <c r="L20" s="2002"/>
      <c r="M20" s="2002"/>
      <c r="N20" s="2005"/>
    </row>
    <row r="21" spans="2:17" ht="12.75" customHeight="1">
      <c r="D21" s="2402" t="s">
        <v>530</v>
      </c>
      <c r="E21" s="2402"/>
      <c r="F21" s="2008">
        <f>+F12*F19</f>
        <v>2782697213.1145234</v>
      </c>
      <c r="G21" s="2002"/>
      <c r="H21" s="2402" t="s">
        <v>530</v>
      </c>
      <c r="I21" s="2402"/>
      <c r="J21" s="2008">
        <f>+F13*J19</f>
        <v>0</v>
      </c>
      <c r="K21" s="2002"/>
      <c r="L21" s="2402" t="s">
        <v>530</v>
      </c>
      <c r="M21" s="2402"/>
      <c r="N21" s="2008">
        <f>+F14*N19</f>
        <v>0</v>
      </c>
      <c r="Q21" s="2000"/>
    </row>
    <row r="22" spans="2:17">
      <c r="D22" s="2006">
        <v>0.05</v>
      </c>
      <c r="E22" s="2007"/>
      <c r="F22" s="2008">
        <f>+F21*D22</f>
        <v>139134860.65572616</v>
      </c>
      <c r="G22" s="2002"/>
      <c r="H22" s="2006">
        <v>0.05</v>
      </c>
      <c r="I22" s="2007"/>
      <c r="J22" s="2008">
        <f>+J21*H22</f>
        <v>0</v>
      </c>
      <c r="K22" s="2002"/>
      <c r="L22" s="2006">
        <v>0.01</v>
      </c>
      <c r="M22" s="2007"/>
      <c r="N22" s="2008">
        <f>+N21*L22</f>
        <v>0</v>
      </c>
    </row>
    <row r="23" spans="2:17" ht="12.75" customHeight="1">
      <c r="D23" s="2402" t="s">
        <v>527</v>
      </c>
      <c r="E23" s="2402"/>
      <c r="F23" s="2008">
        <f>+F21-F22</f>
        <v>2643562352.4587975</v>
      </c>
      <c r="G23" s="2002"/>
      <c r="H23" s="2402" t="s">
        <v>527</v>
      </c>
      <c r="I23" s="2402"/>
      <c r="J23" s="2008">
        <f>+J21-J22</f>
        <v>0</v>
      </c>
      <c r="K23" s="2002"/>
      <c r="L23" s="2402" t="s">
        <v>527</v>
      </c>
      <c r="M23" s="2402"/>
      <c r="N23" s="2008">
        <f>+N21-N22</f>
        <v>0</v>
      </c>
      <c r="Q23" s="2001"/>
    </row>
    <row r="24" spans="2:17" ht="12.75" customHeight="1">
      <c r="D24" s="2402" t="s">
        <v>531</v>
      </c>
      <c r="E24" s="2402"/>
      <c r="F24" s="2008" t="e">
        <f>+F12*F18</f>
        <v>#DIV/0!</v>
      </c>
      <c r="G24" s="2002"/>
      <c r="H24" s="2402" t="s">
        <v>531</v>
      </c>
      <c r="I24" s="2402"/>
      <c r="J24" s="2008">
        <f>+F13*J18</f>
        <v>0</v>
      </c>
      <c r="K24" s="2002"/>
      <c r="L24" s="2402" t="s">
        <v>531</v>
      </c>
      <c r="M24" s="2402"/>
      <c r="N24" s="2008" t="e">
        <f>+N18*F14</f>
        <v>#DIV/0!</v>
      </c>
    </row>
    <row r="25" spans="2:17" ht="12.75" customHeight="1">
      <c r="D25" s="2402" t="s">
        <v>532</v>
      </c>
      <c r="E25" s="2402"/>
      <c r="F25" s="2008" t="e">
        <f>+F23-F24</f>
        <v>#DIV/0!</v>
      </c>
      <c r="G25" s="2002"/>
      <c r="H25" s="2402" t="s">
        <v>532</v>
      </c>
      <c r="I25" s="2402"/>
      <c r="J25" s="2008">
        <f>+J23-J24</f>
        <v>0</v>
      </c>
      <c r="K25" s="2002"/>
      <c r="L25" s="2402" t="s">
        <v>532</v>
      </c>
      <c r="M25" s="2402"/>
      <c r="N25" s="2008" t="e">
        <f>+N23-N24</f>
        <v>#DIV/0!</v>
      </c>
    </row>
    <row r="26" spans="2:17">
      <c r="D26" s="2007"/>
      <c r="E26" s="2007"/>
      <c r="F26" s="2009"/>
      <c r="G26" s="2002"/>
      <c r="H26" s="2007"/>
      <c r="I26" s="2007"/>
      <c r="J26" s="2009"/>
      <c r="K26" s="2002"/>
      <c r="L26" s="2007"/>
      <c r="M26" s="2007"/>
      <c r="N26" s="2009"/>
    </row>
    <row r="27" spans="2:17" ht="12.75" customHeight="1">
      <c r="D27" s="2402" t="s">
        <v>533</v>
      </c>
      <c r="E27" s="2402"/>
      <c r="F27" s="2010" t="e">
        <f>SUM(F23-F24)/F23</f>
        <v>#DIV/0!</v>
      </c>
      <c r="G27" s="2002"/>
      <c r="H27" s="2402" t="s">
        <v>533</v>
      </c>
      <c r="I27" s="2402"/>
      <c r="J27" s="2010" t="e">
        <f>SUM(J23-J24)/J23</f>
        <v>#DIV/0!</v>
      </c>
      <c r="K27" s="2002"/>
      <c r="L27" s="2402" t="s">
        <v>533</v>
      </c>
      <c r="M27" s="2402"/>
      <c r="N27" s="2005" t="e">
        <f>SUM(N23-N24)/N23</f>
        <v>#DIV/0!</v>
      </c>
    </row>
    <row r="28" spans="2:17">
      <c r="D28" s="2002"/>
      <c r="E28" s="2002"/>
      <c r="F28" s="2009"/>
      <c r="G28" s="2002"/>
      <c r="H28" s="2002"/>
      <c r="I28" s="2002"/>
      <c r="J28" s="2009"/>
      <c r="K28" s="2002"/>
      <c r="L28" s="2002"/>
      <c r="M28" s="2002"/>
      <c r="N28" s="2009"/>
    </row>
    <row r="29" spans="2:17">
      <c r="D29" s="2002"/>
      <c r="E29" s="2002" t="s">
        <v>537</v>
      </c>
      <c r="F29" s="2005">
        <f>(+F21+J21+N21)/1000</f>
        <v>2782697.2131145233</v>
      </c>
      <c r="G29" s="2002"/>
      <c r="H29" s="2011">
        <f>+ENDÜSTRİYEL!P26+ENDÜSTRİYEL!P30+ENDÜSTRİYEL!P32+Perakende!P26+Perakende!P30+Perakende!P32</f>
        <v>0</v>
      </c>
      <c r="I29" s="2002"/>
      <c r="J29" s="2009">
        <f>+F29-H29</f>
        <v>2782697.2131145233</v>
      </c>
      <c r="K29" s="2002"/>
      <c r="L29" s="2002"/>
      <c r="M29" s="2002"/>
      <c r="N29" s="2002"/>
    </row>
    <row r="30" spans="2:17">
      <c r="D30" s="2002" t="s">
        <v>37</v>
      </c>
      <c r="E30" s="2002" t="s">
        <v>535</v>
      </c>
      <c r="F30" s="2005">
        <f>+(F23+J23+N23)/1000</f>
        <v>2643562.3524587974</v>
      </c>
      <c r="G30" s="2011"/>
      <c r="H30" s="2011">
        <f>+Perakende!P72+Perakende!P76+Perakende!P78+ENDÜSTRİYEL!P72+ENDÜSTRİYEL!P76+ENDÜSTRİYEL!P78</f>
        <v>0</v>
      </c>
      <c r="I30" s="2002"/>
      <c r="J30" s="2009">
        <f>+F30-H30</f>
        <v>2643562.3524587974</v>
      </c>
      <c r="K30" s="2002"/>
      <c r="L30" s="2002"/>
      <c r="M30" s="2002"/>
      <c r="N30" s="2002"/>
    </row>
    <row r="31" spans="2:17">
      <c r="D31" s="2002"/>
      <c r="E31" s="2002" t="s">
        <v>536</v>
      </c>
      <c r="F31" s="2005" t="e">
        <f>+(F25+J25+N25)/1000</f>
        <v>#DIV/0!</v>
      </c>
      <c r="G31" s="2011"/>
      <c r="H31" s="2011">
        <f>+ENDÜSTRİYEL!P118+ENDÜSTRİYEL!P122+ENDÜSTRİYEL!P124+Perakende!P118+Perakende!P122+Perakende!P124</f>
        <v>0</v>
      </c>
      <c r="I31" s="2002"/>
      <c r="J31" s="2009" t="e">
        <f>+F31-H31</f>
        <v>#DIV/0!</v>
      </c>
      <c r="K31" s="2002"/>
      <c r="L31" s="2002"/>
      <c r="M31" s="2002"/>
      <c r="N31" s="2002"/>
    </row>
    <row r="174" spans="3:17">
      <c r="C174" s="1332"/>
      <c r="Q174" s="1333"/>
    </row>
    <row r="175" spans="3:17">
      <c r="C175" s="1332"/>
      <c r="Q175" s="1333"/>
    </row>
    <row r="176" spans="3:17">
      <c r="C176" s="1332"/>
      <c r="Q176" s="1333"/>
    </row>
    <row r="177" spans="3:17">
      <c r="C177" s="1332"/>
      <c r="Q177" s="1333"/>
    </row>
    <row r="178" spans="3:17">
      <c r="C178" s="1332"/>
      <c r="Q178" s="1333"/>
    </row>
    <row r="179" spans="3:17">
      <c r="C179" s="1332"/>
      <c r="Q179" s="1333"/>
    </row>
    <row r="180" spans="3:17">
      <c r="C180" s="1332"/>
      <c r="Q180" s="1333"/>
    </row>
    <row r="181" spans="3:17">
      <c r="C181" s="1332"/>
      <c r="Q181" s="1333"/>
    </row>
    <row r="182" spans="3:17">
      <c r="C182" s="1332"/>
      <c r="Q182" s="1333"/>
    </row>
    <row r="183" spans="3:17">
      <c r="C183" s="1332"/>
      <c r="Q183" s="1333"/>
    </row>
  </sheetData>
  <mergeCells count="20">
    <mergeCell ref="D19:E19"/>
    <mergeCell ref="D21:E21"/>
    <mergeCell ref="H21:I21"/>
    <mergeCell ref="L21:M21"/>
    <mergeCell ref="A1:A2"/>
    <mergeCell ref="B1:C1"/>
    <mergeCell ref="D1:P1"/>
    <mergeCell ref="D18:E18"/>
    <mergeCell ref="L24:M24"/>
    <mergeCell ref="L25:M25"/>
    <mergeCell ref="L27:M27"/>
    <mergeCell ref="D23:E23"/>
    <mergeCell ref="D24:E24"/>
    <mergeCell ref="D25:E25"/>
    <mergeCell ref="D27:E27"/>
    <mergeCell ref="H23:I23"/>
    <mergeCell ref="H24:I24"/>
    <mergeCell ref="H25:I25"/>
    <mergeCell ref="H27:I27"/>
    <mergeCell ref="L23:M23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D3:H24"/>
  <sheetViews>
    <sheetView workbookViewId="0">
      <selection activeCell="F9" sqref="F9"/>
    </sheetView>
  </sheetViews>
  <sheetFormatPr defaultRowHeight="13.2"/>
  <cols>
    <col min="4" max="4" width="23.109375" bestFit="1" customWidth="1"/>
    <col min="5" max="8" width="9.109375" style="1465"/>
  </cols>
  <sheetData>
    <row r="3" spans="4:8" ht="13.8" thickBot="1"/>
    <row r="4" spans="4:8" ht="29.4" thickBot="1">
      <c r="E4" s="1466" t="s">
        <v>462</v>
      </c>
      <c r="F4" s="1466" t="s">
        <v>463</v>
      </c>
      <c r="G4" s="1466" t="s">
        <v>464</v>
      </c>
      <c r="H4" s="1466" t="s">
        <v>465</v>
      </c>
    </row>
    <row r="5" spans="4:8" ht="15" thickBot="1">
      <c r="D5" s="362" t="s">
        <v>28</v>
      </c>
      <c r="E5" s="1467"/>
      <c r="F5" s="1467"/>
      <c r="G5" s="1467"/>
      <c r="H5" s="1467"/>
    </row>
    <row r="6" spans="4:8" ht="14.4">
      <c r="D6" s="368" t="s">
        <v>15</v>
      </c>
      <c r="E6" s="1468">
        <v>0.01</v>
      </c>
      <c r="F6" s="1468">
        <v>0.01</v>
      </c>
      <c r="G6" s="1468">
        <v>0.01</v>
      </c>
      <c r="H6" s="1468">
        <v>0.01</v>
      </c>
    </row>
    <row r="7" spans="4:8" ht="14.4">
      <c r="D7" s="377" t="s">
        <v>16</v>
      </c>
      <c r="E7" s="1469"/>
      <c r="F7" s="1469"/>
      <c r="G7" s="1469"/>
      <c r="H7" s="1469"/>
    </row>
    <row r="8" spans="4:8" ht="14.4">
      <c r="D8" s="385" t="s">
        <v>27</v>
      </c>
      <c r="E8" s="1470"/>
      <c r="F8" s="1470"/>
      <c r="G8" s="1470"/>
      <c r="H8" s="1470"/>
    </row>
    <row r="9" spans="4:8" ht="14.4">
      <c r="D9" s="393" t="s">
        <v>17</v>
      </c>
      <c r="E9" s="1469">
        <v>0.01</v>
      </c>
      <c r="F9" s="1469">
        <v>0.01</v>
      </c>
      <c r="G9" s="1469">
        <v>0.01</v>
      </c>
      <c r="H9" s="1469">
        <v>0.01</v>
      </c>
    </row>
    <row r="10" spans="4:8" ht="14.4">
      <c r="D10" s="400" t="s">
        <v>81</v>
      </c>
      <c r="E10" s="1471">
        <v>0.04</v>
      </c>
      <c r="F10" s="1471">
        <v>0.05</v>
      </c>
      <c r="G10" s="1471">
        <v>0.05</v>
      </c>
      <c r="H10" s="1471">
        <v>0.05</v>
      </c>
    </row>
    <row r="11" spans="4:8" ht="14.4">
      <c r="D11" s="406" t="s">
        <v>82</v>
      </c>
      <c r="E11" s="1469"/>
      <c r="F11" s="1469"/>
      <c r="G11" s="1469"/>
      <c r="H11" s="1469"/>
    </row>
    <row r="12" spans="4:8" ht="14.4">
      <c r="D12" s="400" t="s">
        <v>83</v>
      </c>
      <c r="E12" s="1471">
        <v>0.04</v>
      </c>
      <c r="F12" s="1471">
        <v>0.05</v>
      </c>
      <c r="G12" s="1471">
        <v>0.05</v>
      </c>
      <c r="H12" s="1471">
        <v>0.05</v>
      </c>
    </row>
    <row r="13" spans="4:8" ht="14.4">
      <c r="D13" s="406" t="s">
        <v>84</v>
      </c>
      <c r="E13" s="1469"/>
      <c r="F13" s="1469"/>
      <c r="G13" s="1469"/>
      <c r="H13" s="1469"/>
    </row>
    <row r="14" spans="4:8" ht="15" thickBot="1">
      <c r="D14" s="410" t="s">
        <v>18</v>
      </c>
      <c r="E14" s="1472"/>
      <c r="F14" s="1472"/>
      <c r="G14" s="1472"/>
      <c r="H14" s="1472"/>
    </row>
    <row r="15" spans="4:8" ht="15" thickBot="1">
      <c r="D15" s="362" t="s">
        <v>29</v>
      </c>
      <c r="E15" s="1473"/>
      <c r="F15" s="1473"/>
      <c r="G15" s="1473"/>
      <c r="H15" s="1473"/>
    </row>
    <row r="16" spans="4:8" ht="14.4">
      <c r="D16" s="422" t="s">
        <v>19</v>
      </c>
      <c r="E16" s="1474">
        <v>0.06</v>
      </c>
      <c r="F16" s="1474">
        <v>0.06</v>
      </c>
      <c r="G16" s="1474">
        <v>5.5E-2</v>
      </c>
      <c r="H16" s="1474">
        <v>0.05</v>
      </c>
    </row>
    <row r="17" spans="4:8" ht="15" thickBot="1">
      <c r="D17" s="430" t="s">
        <v>20</v>
      </c>
      <c r="E17" s="1475">
        <v>0.06</v>
      </c>
      <c r="F17" s="1475">
        <v>0.06</v>
      </c>
      <c r="G17" s="1475">
        <v>5.5E-2</v>
      </c>
      <c r="H17" s="1475">
        <v>0.05</v>
      </c>
    </row>
    <row r="18" spans="4:8" ht="15" thickBot="1">
      <c r="D18" s="362" t="s">
        <v>30</v>
      </c>
      <c r="E18" s="1473"/>
      <c r="F18" s="1473"/>
      <c r="G18" s="1473"/>
      <c r="H18" s="1473"/>
    </row>
    <row r="19" spans="4:8" ht="14.4">
      <c r="D19" s="422" t="s">
        <v>106</v>
      </c>
      <c r="E19" s="1474">
        <v>0</v>
      </c>
      <c r="F19" s="1474">
        <v>0</v>
      </c>
      <c r="G19" s="1474">
        <v>0</v>
      </c>
      <c r="H19" s="1474">
        <v>0</v>
      </c>
    </row>
    <row r="20" spans="4:8" ht="15" thickBot="1">
      <c r="D20" s="438" t="s">
        <v>105</v>
      </c>
      <c r="E20" s="1476">
        <v>0</v>
      </c>
      <c r="F20" s="1476">
        <v>0</v>
      </c>
      <c r="G20" s="1476">
        <v>0</v>
      </c>
      <c r="H20" s="1476">
        <v>0</v>
      </c>
    </row>
    <row r="21" spans="4:8" ht="15" thickBot="1">
      <c r="D21" s="352"/>
      <c r="E21" s="1477"/>
      <c r="F21" s="1477"/>
      <c r="G21" s="1477"/>
      <c r="H21" s="1477"/>
    </row>
    <row r="22" spans="4:8" ht="15" thickBot="1">
      <c r="D22" s="362" t="s">
        <v>86</v>
      </c>
      <c r="E22" s="1478"/>
      <c r="F22" s="1478"/>
      <c r="G22" s="1478"/>
      <c r="H22" s="1478"/>
    </row>
    <row r="23" spans="4:8" ht="15" thickBot="1">
      <c r="D23" s="451"/>
      <c r="E23" s="1479"/>
      <c r="F23" s="1479"/>
      <c r="G23" s="1479"/>
      <c r="H23" s="1479"/>
    </row>
    <row r="24" spans="4:8" ht="15" thickBot="1">
      <c r="D24" s="362" t="s">
        <v>32</v>
      </c>
      <c r="E24" s="1478"/>
      <c r="F24" s="1478"/>
      <c r="G24" s="1478"/>
      <c r="H24" s="1478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66"/>
    <pageSetUpPr fitToPage="1"/>
  </sheetPr>
  <dimension ref="A1:G10"/>
  <sheetViews>
    <sheetView workbookViewId="0">
      <selection activeCell="F3" sqref="F3"/>
    </sheetView>
  </sheetViews>
  <sheetFormatPr defaultRowHeight="13.2"/>
  <cols>
    <col min="1" max="1" width="19.6640625" customWidth="1"/>
    <col min="2" max="3" width="10.33203125" bestFit="1" customWidth="1"/>
    <col min="5" max="5" width="22.33203125" customWidth="1"/>
  </cols>
  <sheetData>
    <row r="1" spans="1:7" ht="15.6" thickBot="1">
      <c r="A1" s="693" t="s">
        <v>30</v>
      </c>
      <c r="B1" s="1792" t="s">
        <v>318</v>
      </c>
      <c r="C1" s="1792" t="s">
        <v>319</v>
      </c>
      <c r="E1" s="693" t="s">
        <v>29</v>
      </c>
      <c r="F1" s="1792" t="s">
        <v>318</v>
      </c>
      <c r="G1" s="1792" t="s">
        <v>319</v>
      </c>
    </row>
    <row r="2" spans="1:7" ht="15.6">
      <c r="A2" s="615" t="s">
        <v>106</v>
      </c>
      <c r="B2" s="1334"/>
      <c r="C2" s="1334"/>
      <c r="E2" s="615" t="s">
        <v>19</v>
      </c>
      <c r="F2" s="1969"/>
      <c r="G2" s="1969">
        <f>F2*1.065</f>
        <v>0</v>
      </c>
    </row>
    <row r="3" spans="1:7" ht="16.2" thickBot="1">
      <c r="A3" s="616" t="s">
        <v>105</v>
      </c>
      <c r="B3" s="1334"/>
      <c r="C3" s="1334"/>
      <c r="E3" s="616" t="s">
        <v>20</v>
      </c>
      <c r="F3" s="1969"/>
      <c r="G3" s="1969">
        <f>F3*1.053</f>
        <v>0</v>
      </c>
    </row>
    <row r="5" spans="1:7">
      <c r="F5" s="1792"/>
    </row>
    <row r="6" spans="1:7" ht="16.2" thickBot="1">
      <c r="A6" s="894"/>
      <c r="E6" s="616"/>
    </row>
    <row r="7" spans="1:7">
      <c r="A7" s="894"/>
    </row>
    <row r="9" spans="1:7">
      <c r="F9" s="1792"/>
    </row>
    <row r="10" spans="1:7" ht="16.2" thickBot="1">
      <c r="E10" s="616"/>
    </row>
  </sheetData>
  <pageMargins left="0.25" right="0.25" top="0.75" bottom="0.75" header="0.3" footer="0.3"/>
  <pageSetup paperSize="9"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V187"/>
  <sheetViews>
    <sheetView zoomScale="85" zoomScaleNormal="85" zoomScaleSheetLayoutView="80" workbookViewId="0">
      <selection activeCell="D16" sqref="D16"/>
    </sheetView>
  </sheetViews>
  <sheetFormatPr defaultColWidth="9.109375" defaultRowHeight="14.4"/>
  <cols>
    <col min="1" max="1" width="33.5546875" style="352" bestFit="1" customWidth="1"/>
    <col min="2" max="2" width="11.33203125" style="352" customWidth="1"/>
    <col min="3" max="3" width="11.88671875" style="352" customWidth="1"/>
    <col min="4" max="4" width="12.332031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6640625" style="352" customWidth="1"/>
    <col min="17" max="17" width="8.6640625" style="352" customWidth="1"/>
    <col min="18" max="18" width="2.88671875" style="352" customWidth="1"/>
    <col min="19" max="19" width="9.5546875" style="352" bestFit="1" customWidth="1"/>
    <col min="20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704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:O4" si="0">C7+C8+C13</f>
        <v>0</v>
      </c>
      <c r="D4" s="365">
        <f>D7+D8+D13</f>
        <v>0</v>
      </c>
      <c r="E4" s="366">
        <f t="shared" si="0"/>
        <v>0</v>
      </c>
      <c r="F4" s="366">
        <f t="shared" si="0"/>
        <v>0</v>
      </c>
      <c r="G4" s="366">
        <f t="shared" si="0"/>
        <v>0</v>
      </c>
      <c r="H4" s="366">
        <f t="shared" si="0"/>
        <v>0</v>
      </c>
      <c r="I4" s="366">
        <f t="shared" si="0"/>
        <v>0</v>
      </c>
      <c r="J4" s="366">
        <f t="shared" si="0"/>
        <v>0</v>
      </c>
      <c r="K4" s="366">
        <f t="shared" si="0"/>
        <v>0</v>
      </c>
      <c r="L4" s="366">
        <f t="shared" si="0"/>
        <v>0</v>
      </c>
      <c r="M4" s="366">
        <f t="shared" si="0"/>
        <v>0</v>
      </c>
      <c r="N4" s="366">
        <f t="shared" si="0"/>
        <v>0</v>
      </c>
      <c r="O4" s="364">
        <f t="shared" si="0"/>
        <v>0</v>
      </c>
      <c r="P4" s="363">
        <f>SUM(D4:O4)</f>
        <v>0</v>
      </c>
      <c r="Q4" s="421" t="str">
        <f t="shared" ref="Q4:Q16" si="1">IF(P4=0,"-",P4/C4-1)</f>
        <v>-</v>
      </c>
      <c r="R4" s="353">
        <f>+P4-Mersin!P4-Ankara!P4-Antalya!P4-Konya!P4-Trakya!P4-Kayseri!P4-Diyarbakır!P4-Erzurum!P4-Marmara2!P4-Marmara1!P4-Ege!P4-Malatya!P4-Karadeniz!P4-Şanlıurfa!P4</f>
        <v>0</v>
      </c>
    </row>
    <row r="5" spans="1:22" ht="16.5" customHeight="1">
      <c r="A5" s="368" t="s">
        <v>15</v>
      </c>
      <c r="B5" s="1444">
        <f>+Mersin!B5+Ankara!B5+Antalya!B5+Konya!B5+Trakya!B5+Kayseri!B5+Diyarbakır!B5+Erzurum!B5+Marmara2!B5+Marmara1!B5+Ege!B5+Malatya!B5+Karadeniz!B5+Şanlıurfa!B5</f>
        <v>0</v>
      </c>
      <c r="C5" s="1445">
        <f>+Mersin!C5+Ankara!C5+Antalya!C5+Konya!C5+Trakya!C5+Kayseri!C5+Diyarbakır!C5+Erzurum!C5+Marmara2!C5+Marmara1!C5+Ege!C5+Malatya!C5+Karadeniz!C5+Şanlıurfa!C5</f>
        <v>0</v>
      </c>
      <c r="D5" s="371">
        <f>+Mersin!D5+Ankara!D5+Antalya!D5+Konya!D5+Trakya!D5+Kayseri!D5+Diyarbakır!D5+Erzurum!D5+Marmara2!D5+Marmara1!D5+Ege!D5+Malatya!D5+Karadeniz!D5+Şanlıurfa!D5</f>
        <v>0</v>
      </c>
      <c r="E5" s="372">
        <f>+Mersin!E5+Ankara!E5+Antalya!E5+Konya!E5+Trakya!E5+Kayseri!E5+Diyarbakır!E5+Erzurum!E5+Marmara2!E5+Marmara1!E5+Ege!E5+Malatya!E5+Karadeniz!E5+Şanlıurfa!E5</f>
        <v>0</v>
      </c>
      <c r="F5" s="372">
        <f>+Mersin!F5+Ankara!F5+Antalya!F5+Konya!F5+Trakya!F5+Kayseri!F5+Diyarbakır!F5+Erzurum!F5+Marmara2!F5+Marmara1!F5+Ege!F5+Malatya!F5+Karadeniz!F5+Şanlıurfa!F5</f>
        <v>0</v>
      </c>
      <c r="G5" s="372">
        <f>+Mersin!G5+Ankara!G5+Antalya!G5+Konya!G5+Trakya!G5+Kayseri!G5+Diyarbakır!G5+Erzurum!G5+Marmara2!G5+Marmara1!G5+Ege!G5+Malatya!G5+Karadeniz!G5+Şanlıurfa!G5</f>
        <v>0</v>
      </c>
      <c r="H5" s="373">
        <f>+Mersin!H5+Ankara!H5+Antalya!H5+Konya!H5+Trakya!H5+Kayseri!H5+Diyarbakır!H5+Erzurum!H5+Marmara2!H5+Marmara1!H5+Ege!H5+Malatya!H5+Karadeniz!H5+Şanlıurfa!H5</f>
        <v>0</v>
      </c>
      <c r="I5" s="373">
        <f>+Mersin!I5+Ankara!I5+Antalya!I5+Konya!I5+Trakya!I5+Kayseri!I5+Diyarbakır!I5+Erzurum!I5+Marmara2!I5+Marmara1!I5+Ege!I5+Malatya!I5+Karadeniz!I5+Şanlıurfa!I5</f>
        <v>0</v>
      </c>
      <c r="J5" s="373">
        <f>+Mersin!J5+Ankara!J5+Antalya!J5+Konya!J5+Trakya!J5+Kayseri!J5+Diyarbakır!J5+Erzurum!J5+Marmara2!J5+Marmara1!J5+Ege!J5+Malatya!J5+Karadeniz!J5+Şanlıurfa!J5</f>
        <v>0</v>
      </c>
      <c r="K5" s="373">
        <f>+Mersin!K5+Ankara!K5+Antalya!K5+Konya!K5+Trakya!K5+Kayseri!K5+Diyarbakır!K5+Erzurum!K5+Marmara2!K5+Marmara1!K5+Ege!K5+Malatya!K5+Karadeniz!K5+Şanlıurfa!K5</f>
        <v>0</v>
      </c>
      <c r="L5" s="373">
        <f>+Mersin!L5+Ankara!L5+Antalya!L5+Konya!L5+Trakya!L5+Kayseri!L5+Diyarbakır!L5+Erzurum!L5+Marmara2!L5+Marmara1!L5+Ege!L5+Malatya!L5+Karadeniz!L5+Şanlıurfa!L5</f>
        <v>0</v>
      </c>
      <c r="M5" s="373">
        <f>+Mersin!M5+Ankara!M5+Antalya!M5+Konya!M5+Trakya!M5+Kayseri!M5+Diyarbakır!M5+Erzurum!M5+Marmara2!M5+Marmara1!M5+Ege!M5+Malatya!M5+Karadeniz!M5+Şanlıurfa!M5</f>
        <v>0</v>
      </c>
      <c r="N5" s="373">
        <f>+Mersin!N5+Ankara!N5+Antalya!N5+Konya!N5+Trakya!N5+Kayseri!N5+Diyarbakır!N5+Erzurum!N5+Marmara2!N5+Marmara1!N5+Ege!N5+Malatya!N5+Karadeniz!N5+Şanlıurfa!N5</f>
        <v>0</v>
      </c>
      <c r="O5" s="374">
        <f>+Mersin!O5+Ankara!O5+Antalya!O5+Konya!O5+Trakya!O5+Kayseri!O5+Diyarbakır!O5+Erzurum!O5+Marmara2!O5+Marmara1!O5+Ege!O5+Malatya!O5+Karadeniz!O5+Şanlıurfa!O5</f>
        <v>0</v>
      </c>
      <c r="P5" s="369">
        <f t="shared" ref="P5:P20" si="2">SUM(D5:O5)</f>
        <v>0</v>
      </c>
      <c r="Q5" s="375" t="str">
        <f t="shared" si="1"/>
        <v>-</v>
      </c>
      <c r="R5" s="353">
        <f>+P5-Mersin!P5-Ankara!P5-Antalya!P5-Konya!P5-Trakya!P5-Kayseri!P5-Diyarbakır!P5-Erzurum!P5-Marmara2!P5-Marmara1!P5-Ege!P5-Malatya!P5-Karadeniz!P5-Şanlıurfa!P5</f>
        <v>0</v>
      </c>
      <c r="S5" s="376"/>
      <c r="T5" s="376"/>
      <c r="U5" s="376"/>
      <c r="V5" s="376"/>
    </row>
    <row r="6" spans="1:22" s="1439" customFormat="1" ht="16.5" hidden="1" customHeight="1">
      <c r="A6" s="1432" t="s">
        <v>16</v>
      </c>
      <c r="B6" s="1433">
        <f>Kayseri!B6+Karadeniz!B6+Malatya!B6+Şanlıurfa!B6+Ege!B6+Marmara1!B6+Marmara2!B6+Erzurum!B6+Konya!B6+Diyarbakır!B6+Trakya!B6+Antalya!B6+Ankara!B6+Mersin!B6</f>
        <v>0</v>
      </c>
      <c r="C6" s="1437">
        <f>Kayseri!C6+Karadeniz!C6+Malatya!C6+Şanlıurfa!C6+Ege!C6+Marmara1!C6+Marmara2!C6+Erzurum!C6+Konya!C6+Diyarbakır!C6+Trakya!C6+Antalya!C6+Ankara!C6+Mersin!C6</f>
        <v>0</v>
      </c>
      <c r="D6" s="1434">
        <f>Kayseri!D6+Karadeniz!D6+Malatya!D6+Şanlıurfa!D6+Ege!D6+Marmara1!D6+Marmara2!D6+Erzurum!D6+Konya!D6+Diyarbakır!D6+Trakya!D6+Antalya!D6+Ankara!D6+Mersin!D6</f>
        <v>0</v>
      </c>
      <c r="E6" s="1435">
        <f>Kayseri!E6+Karadeniz!E6+Malatya!E6+Şanlıurfa!E6+Ege!E6+Marmara1!E6+Marmara2!E6+Erzurum!E6+Konya!E6+Diyarbakır!E6+Trakya!E6+Antalya!E6+Ankara!E6+Mersin!E6</f>
        <v>0</v>
      </c>
      <c r="F6" s="1435">
        <f>Kayseri!F6+Karadeniz!F6+Malatya!F6+Şanlıurfa!F6+Ege!F6+Marmara1!F6+Marmara2!F6+Erzurum!F6+Konya!F6+Diyarbakır!F6+Trakya!F6+Antalya!F6+Ankara!F6+Mersin!F6</f>
        <v>0</v>
      </c>
      <c r="G6" s="1435">
        <f>Kayseri!G6+Karadeniz!G6+Malatya!G6+Şanlıurfa!G6+Ege!G6+Marmara1!G6+Marmara2!G6+Erzurum!G6+Konya!G6+Diyarbakır!G6+Trakya!G6+Antalya!G6+Ankara!G6+Mersin!G6</f>
        <v>0</v>
      </c>
      <c r="H6" s="1436">
        <f>Kayseri!H6+Karadeniz!H6+Malatya!H6+Şanlıurfa!H6+Ege!H6+Marmara1!H6+Marmara2!H6+Erzurum!H6+Konya!H6+Diyarbakır!H6+Trakya!H6+Antalya!H6+Ankara!H6+Mersin!H6</f>
        <v>0</v>
      </c>
      <c r="I6" s="1436">
        <f>Kayseri!I6+Karadeniz!I6+Malatya!I6+Şanlıurfa!I6+Ege!I6+Marmara1!I6+Marmara2!I6+Erzurum!I6+Konya!I6+Diyarbakır!I6+Trakya!I6+Antalya!I6+Ankara!I6+Mersin!I6</f>
        <v>0</v>
      </c>
      <c r="J6" s="1436">
        <f>Kayseri!J6+Karadeniz!J6+Malatya!J6+Şanlıurfa!J6+Ege!J6+Marmara1!J6+Marmara2!J6+Erzurum!J6+Konya!J6+Diyarbakır!J6+Trakya!J6+Antalya!J6+Ankara!J6+Mersin!J6</f>
        <v>0</v>
      </c>
      <c r="K6" s="1436">
        <f>Kayseri!K6+Karadeniz!K6+Malatya!K6+Şanlıurfa!K6+Ege!K6+Marmara1!K6+Marmara2!K6+Erzurum!K6+Konya!K6+Diyarbakır!K6+Trakya!K6+Antalya!K6+Ankara!K6+Mersin!K6</f>
        <v>0</v>
      </c>
      <c r="L6" s="1436">
        <f>Kayseri!L6+Karadeniz!L6+Malatya!L6+Şanlıurfa!L6+Ege!L6+Marmara1!L6+Marmara2!L6+Erzurum!L6+Konya!L6+Diyarbakır!L6+Trakya!L6+Antalya!L6+Ankara!L6+Mersin!L6</f>
        <v>0</v>
      </c>
      <c r="M6" s="1436">
        <f>Kayseri!M6+Karadeniz!M6+Malatya!M6+Şanlıurfa!M6+Ege!M6+Marmara1!M6+Marmara2!M6+Erzurum!M6+Konya!M6+Diyarbakır!M6+Trakya!M6+Antalya!M6+Ankara!M6+Mersin!M6</f>
        <v>0</v>
      </c>
      <c r="N6" s="1436">
        <f>Kayseri!N6+Karadeniz!N6+Malatya!N6+Şanlıurfa!N6+Ege!N6+Marmara1!N6+Marmara2!N6+Erzurum!N6+Konya!N6+Diyarbakır!N6+Trakya!N6+Antalya!N6+Ankara!N6+Mersin!N6</f>
        <v>0</v>
      </c>
      <c r="O6" s="1437">
        <f>Kayseri!O6+Karadeniz!O6+Malatya!O6+Şanlıurfa!O6+Ege!O6+Marmara1!O6+Marmara2!O6+Erzurum!O6+Konya!O6+Diyarbakır!O6+Trakya!O6+Antalya!O6+Ankara!O6+Mersin!O6</f>
        <v>0</v>
      </c>
      <c r="P6" s="1433">
        <f t="shared" si="2"/>
        <v>0</v>
      </c>
      <c r="Q6" s="1438" t="str">
        <f t="shared" si="1"/>
        <v>-</v>
      </c>
      <c r="R6" s="353">
        <f>+P6-Mersin!P6-Ankara!P6-Antalya!P6-Konya!P6-Trakya!P6-Kayseri!P6-Diyarbakır!P6-Erzurum!P6-Marmara2!P6-Marmara1!P6-Ege!P6-Malatya!P6-Karadeniz!P6-Şanlıurfa!P6</f>
        <v>0</v>
      </c>
      <c r="S6" s="352"/>
      <c r="T6" s="352"/>
      <c r="U6" s="352"/>
      <c r="V6" s="352"/>
    </row>
    <row r="7" spans="1:22" s="281" customFormat="1" ht="15" customHeight="1">
      <c r="A7" s="385" t="s">
        <v>27</v>
      </c>
      <c r="B7" s="386">
        <f t="shared" ref="B7:C7" si="3">B5+B6</f>
        <v>0</v>
      </c>
      <c r="C7" s="387">
        <f t="shared" si="3"/>
        <v>0</v>
      </c>
      <c r="D7" s="388">
        <f t="shared" ref="D7:O7" si="4">D5+D6</f>
        <v>0</v>
      </c>
      <c r="E7" s="388">
        <f t="shared" si="4"/>
        <v>0</v>
      </c>
      <c r="F7" s="388">
        <f t="shared" si="4"/>
        <v>0</v>
      </c>
      <c r="G7" s="388">
        <f t="shared" si="4"/>
        <v>0</v>
      </c>
      <c r="H7" s="388">
        <f t="shared" si="4"/>
        <v>0</v>
      </c>
      <c r="I7" s="388">
        <f t="shared" si="4"/>
        <v>0</v>
      </c>
      <c r="J7" s="388">
        <f t="shared" si="4"/>
        <v>0</v>
      </c>
      <c r="K7" s="388">
        <f t="shared" si="4"/>
        <v>0</v>
      </c>
      <c r="L7" s="388">
        <f t="shared" si="4"/>
        <v>0</v>
      </c>
      <c r="M7" s="388">
        <f t="shared" si="4"/>
        <v>0</v>
      </c>
      <c r="N7" s="388">
        <f t="shared" si="4"/>
        <v>0</v>
      </c>
      <c r="O7" s="388">
        <f t="shared" si="4"/>
        <v>0</v>
      </c>
      <c r="P7" s="391">
        <f t="shared" si="2"/>
        <v>0</v>
      </c>
      <c r="Q7" s="392" t="str">
        <f t="shared" si="1"/>
        <v>-</v>
      </c>
      <c r="R7" s="353">
        <f>+P7-Mersin!P7-Ankara!P7-Antalya!P7-Konya!P7-Trakya!P7-Kayseri!P7-Diyarbakır!P7-Erzurum!P7-Marmara2!P7-Marmara1!P7-Ege!P7-Malatya!P7-Karadeniz!P7-Şanlıurfa!P7</f>
        <v>0</v>
      </c>
    </row>
    <row r="8" spans="1:22" ht="16.5" customHeight="1">
      <c r="A8" s="393" t="s">
        <v>17</v>
      </c>
      <c r="B8" s="1448">
        <f>Kayseri!B8+Karadeniz!B8+Malatya!B8+Şanlıurfa!B8+Ege!B8+Marmara1!B8+Marmara2!B8+Erzurum!B8+Konya!B8+Diyarbakır!B8+Trakya!B8+Antalya!B8+Ankara!B8+Mersin!B8</f>
        <v>0</v>
      </c>
      <c r="C8" s="1459">
        <f>B8</f>
        <v>0</v>
      </c>
      <c r="D8" s="1859">
        <f>Kayseri!D8+Karadeniz!D8+Malatya!D8+Şanlıurfa!D8+Ege!D8+Marmara1!D8+Marmara2!D8+Erzurum!D8+Konya!D8+Diyarbakır!D8+Trakya!D8+Antalya!D8+Ankara!D8+Mersin!D8</f>
        <v>0</v>
      </c>
      <c r="E8" s="1860">
        <f>Kayseri!E8+Karadeniz!E8+Malatya!E8+Şanlıurfa!E8+Ege!E8+Marmara1!E8+Marmara2!E8+Erzurum!E8+Konya!E8+Diyarbakır!E8+Trakya!E8+Antalya!E8+Ankara!E8+Mersin!E8</f>
        <v>0</v>
      </c>
      <c r="F8" s="1860">
        <f>Kayseri!F8+Karadeniz!F8+Malatya!F8+Şanlıurfa!F8+Ege!F8+Marmara1!F8+Marmara2!F8+Erzurum!F8+Konya!F8+Diyarbakır!F8+Trakya!F8+Antalya!F8+Ankara!F8+Mersin!F8</f>
        <v>0</v>
      </c>
      <c r="G8" s="1860">
        <f>Kayseri!G8+Karadeniz!G8+Malatya!G8+Şanlıurfa!G8+Ege!G8+Marmara1!G8+Marmara2!G8+Erzurum!G8+Konya!G8+Diyarbakır!G8+Trakya!G8+Antalya!G8+Ankara!G8+Mersin!G8</f>
        <v>0</v>
      </c>
      <c r="H8" s="1860">
        <f>Kayseri!H8+Karadeniz!H8+Malatya!H8+Şanlıurfa!H8+Ege!H8+Marmara1!H8+Marmara2!H8+Erzurum!H8+Konya!H8+Diyarbakır!H8+Trakya!H8+Antalya!H8+Ankara!H8+Mersin!H8</f>
        <v>0</v>
      </c>
      <c r="I8" s="1860">
        <f>Kayseri!I8+Karadeniz!I8+Malatya!I8+Şanlıurfa!I8+Ege!I8+Marmara1!I8+Marmara2!I8+Erzurum!I8+Konya!I8+Diyarbakır!I8+Trakya!I8+Antalya!I8+Ankara!I8+Mersin!I8</f>
        <v>0</v>
      </c>
      <c r="J8" s="1860">
        <f>Kayseri!J8+Karadeniz!J8+Malatya!J8+Şanlıurfa!J8+Ege!J8+Marmara1!J8+Marmara2!J8+Erzurum!J8+Konya!J8+Diyarbakır!J8+Trakya!J8+Antalya!J8+Ankara!J8+Mersin!J8</f>
        <v>0</v>
      </c>
      <c r="K8" s="1860">
        <f>Kayseri!K8+Karadeniz!K8+Malatya!K8+Şanlıurfa!K8+Ege!K8+Marmara1!K8+Marmara2!K8+Erzurum!K8+Konya!K8+Diyarbakır!K8+Trakya!K8+Antalya!K8+Ankara!K8+Mersin!K8</f>
        <v>0</v>
      </c>
      <c r="L8" s="1860">
        <f>Kayseri!L8+Karadeniz!L8+Malatya!L8+Şanlıurfa!L8+Ege!L8+Marmara1!L8+Marmara2!L8+Erzurum!L8+Konya!L8+Diyarbakır!L8+Trakya!L8+Antalya!L8+Ankara!L8+Mersin!L8</f>
        <v>0</v>
      </c>
      <c r="M8" s="1860">
        <f>Kayseri!M8+Karadeniz!M8+Malatya!M8+Şanlıurfa!M8+Ege!M8+Marmara1!M8+Marmara2!M8+Erzurum!M8+Konya!M8+Diyarbakır!M8+Trakya!M8+Antalya!M8+Ankara!M8+Mersin!M8</f>
        <v>0</v>
      </c>
      <c r="N8" s="1860">
        <f>Kayseri!N8+Karadeniz!N8+Malatya!N8+Şanlıurfa!N8+Ege!N8+Marmara1!N8+Marmara2!N8+Erzurum!N8+Konya!N8+Diyarbakır!N8+Trakya!N8+Antalya!N8+Ankara!N8+Mersin!N8</f>
        <v>0</v>
      </c>
      <c r="O8" s="1858">
        <f>Kayseri!O8+Karadeniz!O8+Malatya!O8+Şanlıurfa!O8+Ege!O8+Marmara1!O8+Marmara2!O8+Erzurum!O8+Konya!O8+Diyarbakır!O8+Trakya!O8+Antalya!O8+Ankara!O8+Mersin!O8</f>
        <v>0</v>
      </c>
      <c r="P8" s="1861">
        <f t="shared" si="2"/>
        <v>0</v>
      </c>
      <c r="Q8" s="384" t="str">
        <f t="shared" si="1"/>
        <v>-</v>
      </c>
      <c r="R8" s="353">
        <f>+P8-Mersin!P8-Ankara!P8-Antalya!P8-Konya!P8-Trakya!P8-Kayseri!P8-Diyarbakır!P8-Erzurum!P8-Marmara2!P8-Marmara1!P8-Ege!P8-Malatya!P8-Karadeniz!P8-Şanlıurfa!P8</f>
        <v>0</v>
      </c>
    </row>
    <row r="9" spans="1:22" ht="16.5" customHeight="1">
      <c r="A9" s="400" t="s">
        <v>81</v>
      </c>
      <c r="B9" s="386">
        <f>+Mersin!B9+Ankara!B9+Antalya!B9+Konya!B9+Trakya!B9+Kayseri!B9+Diyarbakır!B9+Erzurum!B9+Marmara2!B9+Marmara1!B9+Ege!B9+Malatya!B9+Karadeniz!B9+Şanlıurfa!B9</f>
        <v>0</v>
      </c>
      <c r="C9" s="404">
        <f>+Mersin!C9+Ankara!C9+Antalya!C9+Konya!C9+Trakya!C9+Kayseri!C9+Diyarbakır!C9+Erzurum!C9+Marmara2!C9+Marmara1!C9+Ege!C9+Malatya!C9+Karadeniz!C9+Şanlıurfa!C9</f>
        <v>0</v>
      </c>
      <c r="D9" s="402">
        <f>+Mersin!D9+Ankara!D9+Antalya!D9+Konya!D9+Trakya!D9+Kayseri!D9+Diyarbakır!D9+Erzurum!D9+Marmara2!D9+Marmara1!D9+Ege!D9+Malatya!D9+Karadeniz!D9+Şanlıurfa!D9</f>
        <v>0</v>
      </c>
      <c r="E9" s="403">
        <f>+Mersin!E9+Ankara!E9+Antalya!E9+Konya!E9+Trakya!E9+Kayseri!E9+Diyarbakır!E9+Erzurum!E9+Marmara2!E9+Marmara1!E9+Ege!E9+Malatya!E9+Karadeniz!E9+Şanlıurfa!E9</f>
        <v>0</v>
      </c>
      <c r="F9" s="403">
        <f>+Mersin!F9+Ankara!F9+Antalya!F9+Konya!F9+Trakya!F9+Kayseri!F9+Diyarbakır!F9+Erzurum!F9+Marmara2!F9+Marmara1!F9+Ege!F9+Malatya!F9+Karadeniz!F9+Şanlıurfa!F9</f>
        <v>0</v>
      </c>
      <c r="G9" s="403">
        <f>+Mersin!G9+Ankara!G9+Antalya!G9+Konya!G9+Trakya!G9+Kayseri!G9+Diyarbakır!G9+Erzurum!G9+Marmara2!G9+Marmara1!G9+Ege!G9+Malatya!G9+Karadeniz!G9+Şanlıurfa!G9</f>
        <v>0</v>
      </c>
      <c r="H9" s="403">
        <f>+Mersin!H9+Ankara!H9+Antalya!H9+Konya!H9+Trakya!H9+Kayseri!H9+Diyarbakır!H9+Erzurum!H9+Marmara2!H9+Marmara1!H9+Ege!H9+Malatya!H9+Karadeniz!H9+Şanlıurfa!H9</f>
        <v>0</v>
      </c>
      <c r="I9" s="403">
        <f>+Mersin!I9+Ankara!I9+Antalya!I9+Konya!I9+Trakya!I9+Kayseri!I9+Diyarbakır!I9+Erzurum!I9+Marmara2!I9+Marmara1!I9+Ege!I9+Malatya!I9+Karadeniz!I9+Şanlıurfa!I9</f>
        <v>0</v>
      </c>
      <c r="J9" s="403">
        <f>+Mersin!J9+Ankara!J9+Antalya!J9+Konya!J9+Trakya!J9+Kayseri!J9+Diyarbakır!J9+Erzurum!J9+Marmara2!J9+Marmara1!J9+Ege!J9+Malatya!J9+Karadeniz!J9+Şanlıurfa!J9</f>
        <v>0</v>
      </c>
      <c r="K9" s="403">
        <f>+Mersin!K9+Ankara!K9+Antalya!K9+Konya!K9+Trakya!K9+Kayseri!K9+Diyarbakır!K9+Erzurum!K9+Marmara2!K9+Marmara1!K9+Ege!K9+Malatya!K9+Karadeniz!K9+Şanlıurfa!K9</f>
        <v>0</v>
      </c>
      <c r="L9" s="403">
        <f>+Mersin!L9+Ankara!L9+Antalya!L9+Konya!L9+Trakya!L9+Kayseri!L9+Diyarbakır!L9+Erzurum!L9+Marmara2!L9+Marmara1!L9+Ege!L9+Malatya!L9+Karadeniz!L9+Şanlıurfa!L9</f>
        <v>0</v>
      </c>
      <c r="M9" s="403">
        <f>+Mersin!M9+Ankara!M9+Antalya!M9+Konya!M9+Trakya!M9+Kayseri!M9+Diyarbakır!M9+Erzurum!M9+Marmara2!M9+Marmara1!M9+Ege!M9+Malatya!M9+Karadeniz!M9+Şanlıurfa!M9</f>
        <v>0</v>
      </c>
      <c r="N9" s="403">
        <f>+Mersin!N9+Ankara!N9+Antalya!N9+Konya!N9+Trakya!N9+Kayseri!N9+Diyarbakır!N9+Erzurum!N9+Marmara2!N9+Marmara1!N9+Ege!N9+Malatya!N9+Karadeniz!N9+Şanlıurfa!N9</f>
        <v>0</v>
      </c>
      <c r="O9" s="404">
        <f>+Mersin!O9+Ankara!O9+Antalya!O9+Konya!O9+Trakya!O9+Kayseri!O9+Diyarbakır!O9+Erzurum!O9+Marmara2!O9+Marmara1!O9+Ege!O9+Malatya!O9+Karadeniz!O9+Şanlıurfa!O9</f>
        <v>0</v>
      </c>
      <c r="P9" s="386">
        <f t="shared" si="2"/>
        <v>0</v>
      </c>
      <c r="Q9" s="405" t="str">
        <f t="shared" si="1"/>
        <v>-</v>
      </c>
      <c r="R9" s="353">
        <f>+P9-Mersin!P9-Ankara!P9-Antalya!P9-Konya!P9-Trakya!P9-Kayseri!P9-Diyarbakır!P9-Erzurum!P9-Marmara2!P9-Marmara1!P9-Ege!P9-Malatya!P9-Karadeniz!P9-Şanlıurfa!P9</f>
        <v>0</v>
      </c>
    </row>
    <row r="10" spans="1:22" s="1439" customFormat="1" ht="16.5" hidden="1" customHeight="1">
      <c r="A10" s="1440" t="s">
        <v>82</v>
      </c>
      <c r="B10" s="1441">
        <f>+Mersin!B10+Ankara!B10+Antalya!B10+Konya!B10+Trakya!B10+Kayseri!B10+Diyarbakır!B10+Erzurum!B10+Marmara2!B10+Marmara1!B10+Ege!B10+Malatya!B10+Karadeniz!B10+Şanlıurfa!B10</f>
        <v>0</v>
      </c>
      <c r="C10" s="1451">
        <f>+Mersin!C10+Ankara!C10+Antalya!C10+Konya!C10+Trakya!C10+Kayseri!C10+Diyarbakır!C10+Erzurum!C10+Marmara2!C10+Marmara1!C10+Ege!C10+Malatya!C10+Karadeniz!C10+Şanlıurfa!C10</f>
        <v>0</v>
      </c>
      <c r="D10" s="1442">
        <f>+Mersin!D10+Ankara!D10+Antalya!D10+Konya!D10+Trakya!D10+Kayseri!D10+Diyarbakır!D10+Erzurum!D10+Marmara2!D10+Marmara1!D10+Ege!D10+Malatya!D10+Karadeniz!D10+Şanlıurfa!D10</f>
        <v>0</v>
      </c>
      <c r="E10" s="1436">
        <f>+Mersin!E10+Ankara!E10+Antalya!E10+Konya!E10+Trakya!E10+Kayseri!E10+Diyarbakır!E10+Erzurum!E10+Marmara2!E10+Marmara1!E10+Ege!E10+Malatya!E10+Karadeniz!E10+Şanlıurfa!E10</f>
        <v>0</v>
      </c>
      <c r="F10" s="1436">
        <f>+Mersin!F10+Ankara!F10+Antalya!F10+Konya!F10+Trakya!F10+Kayseri!F10+Diyarbakır!F10+Erzurum!F10+Marmara2!F10+Marmara1!F10+Ege!F10+Malatya!F10+Karadeniz!F10+Şanlıurfa!F10</f>
        <v>0</v>
      </c>
      <c r="G10" s="1436">
        <f>+Mersin!G10+Ankara!G10+Antalya!G10+Konya!G10+Trakya!G10+Kayseri!G10+Diyarbakır!G10+Erzurum!G10+Marmara2!G10+Marmara1!G10+Ege!G10+Malatya!G10+Karadeniz!G10+Şanlıurfa!G10</f>
        <v>0</v>
      </c>
      <c r="H10" s="1436">
        <f>+Mersin!H10+Ankara!H10+Antalya!H10+Konya!H10+Trakya!H10+Kayseri!H10+Diyarbakır!H10+Erzurum!H10+Marmara2!H10+Marmara1!H10+Ege!H10+Malatya!H10+Karadeniz!H10+Şanlıurfa!H10</f>
        <v>0</v>
      </c>
      <c r="I10" s="1436">
        <f>+Mersin!I10+Ankara!I10+Antalya!I10+Konya!I10+Trakya!I10+Kayseri!I10+Diyarbakır!I10+Erzurum!I10+Marmara2!I10+Marmara1!I10+Ege!I10+Malatya!I10+Karadeniz!I10+Şanlıurfa!I10</f>
        <v>0</v>
      </c>
      <c r="J10" s="1436">
        <f>+Mersin!J10+Ankara!J10+Antalya!J10+Konya!J10+Trakya!J10+Kayseri!J10+Diyarbakır!J10+Erzurum!J10+Marmara2!J10+Marmara1!J10+Ege!J10+Malatya!J10+Karadeniz!J10+Şanlıurfa!J10</f>
        <v>0</v>
      </c>
      <c r="K10" s="1436">
        <f>+Mersin!K10+Ankara!K10+Antalya!K10+Konya!K10+Trakya!K10+Kayseri!K10+Diyarbakır!K10+Erzurum!K10+Marmara2!K10+Marmara1!K10+Ege!K10+Malatya!K10+Karadeniz!K10+Şanlıurfa!K10</f>
        <v>0</v>
      </c>
      <c r="L10" s="1436">
        <f>+Mersin!L10+Ankara!L10+Antalya!L10+Konya!L10+Trakya!L10+Kayseri!L10+Diyarbakır!L10+Erzurum!L10+Marmara2!L10+Marmara1!L10+Ege!L10+Malatya!L10+Karadeniz!L10+Şanlıurfa!L10</f>
        <v>0</v>
      </c>
      <c r="M10" s="1436">
        <f>+Mersin!M10+Ankara!M10+Antalya!M10+Konya!M10+Trakya!M10+Kayseri!M10+Diyarbakır!M10+Erzurum!M10+Marmara2!M10+Marmara1!M10+Ege!M10+Malatya!M10+Karadeniz!M10+Şanlıurfa!M10</f>
        <v>0</v>
      </c>
      <c r="N10" s="1436">
        <f>+Mersin!N10+Ankara!N10+Antalya!N10+Konya!N10+Trakya!N10+Kayseri!N10+Diyarbakır!N10+Erzurum!N10+Marmara2!N10+Marmara1!N10+Ege!N10+Malatya!N10+Karadeniz!N10+Şanlıurfa!N10</f>
        <v>0</v>
      </c>
      <c r="O10" s="1437">
        <f>+Mersin!O10+Ankara!O10+Antalya!O10+Konya!O10+Trakya!O10+Kayseri!O10+Diyarbakır!O10+Erzurum!O10+Marmara2!O10+Marmara1!O10+Ege!O10+Malatya!O10+Karadeniz!O10+Şanlıurfa!O10</f>
        <v>0</v>
      </c>
      <c r="P10" s="1443">
        <f t="shared" si="2"/>
        <v>0</v>
      </c>
      <c r="Q10" s="1438" t="str">
        <f t="shared" si="1"/>
        <v>-</v>
      </c>
      <c r="R10" s="353">
        <f>+P10-Mersin!P10-Ankara!P10-Antalya!P10-Konya!P10-Trakya!P10-Kayseri!P10-Diyarbakır!P10-Erzurum!P10-Marmara2!P10-Marmara1!P10-Ege!P10-Malatya!P10-Karadeniz!P10-Şanlıurfa!P10</f>
        <v>0</v>
      </c>
      <c r="S10" s="352"/>
      <c r="T10" s="352"/>
      <c r="U10" s="352"/>
      <c r="V10" s="352"/>
    </row>
    <row r="11" spans="1:22" ht="16.5" customHeight="1">
      <c r="A11" s="400" t="s">
        <v>83</v>
      </c>
      <c r="B11" s="408">
        <f>+Mersin!B11+Ankara!B11+Antalya!B11+Konya!B11+Trakya!B11+Kayseri!B11+Diyarbakır!B11+Erzurum!B11+Marmara2!B11+Marmara1!B11+Ege!B11+Malatya!B11+Karadeniz!B11+Şanlıurfa!B11</f>
        <v>0</v>
      </c>
      <c r="C11" s="404">
        <f>+Mersin!C11+Ankara!C11+Antalya!C11+Konya!C11+Trakya!C11+Kayseri!C11+Diyarbakır!C11+Erzurum!C11+Marmara2!C11+Marmara1!C11+Ege!C11+Malatya!C11+Karadeniz!C11+Şanlıurfa!C11</f>
        <v>0</v>
      </c>
      <c r="D11" s="402">
        <f>+Mersin!D11+Ankara!D11+Antalya!D11+Konya!D11+Trakya!D11+Kayseri!D11+Diyarbakır!D11+Erzurum!D11+Marmara2!D11+Marmara1!D11+Ege!D11+Malatya!D11+Karadeniz!D11+Şanlıurfa!D11</f>
        <v>0</v>
      </c>
      <c r="E11" s="403">
        <f>+Mersin!E11+Ankara!E11+Antalya!E11+Konya!E11+Trakya!E11+Kayseri!E11+Diyarbakır!E11+Erzurum!E11+Marmara2!E11+Marmara1!E11+Ege!E11+Malatya!E11+Karadeniz!E11+Şanlıurfa!E11</f>
        <v>0</v>
      </c>
      <c r="F11" s="403">
        <f>+Mersin!F11+Ankara!F11+Antalya!F11+Konya!F11+Trakya!F11+Kayseri!F11+Diyarbakır!F11+Erzurum!F11+Marmara2!F11+Marmara1!F11+Ege!F11+Malatya!F11+Karadeniz!F11+Şanlıurfa!F11</f>
        <v>0</v>
      </c>
      <c r="G11" s="403">
        <f>+Mersin!G11+Ankara!G11+Antalya!G11+Konya!G11+Trakya!G11+Kayseri!G11+Diyarbakır!G11+Erzurum!G11+Marmara2!G11+Marmara1!G11+Ege!G11+Malatya!G11+Karadeniz!G11+Şanlıurfa!G11</f>
        <v>0</v>
      </c>
      <c r="H11" s="403">
        <f>+Mersin!H11+Ankara!H11+Antalya!H11+Konya!H11+Trakya!H11+Kayseri!H11+Diyarbakır!H11+Erzurum!H11+Marmara2!H11+Marmara1!H11+Ege!H11+Malatya!H11+Karadeniz!H11+Şanlıurfa!H11</f>
        <v>0</v>
      </c>
      <c r="I11" s="403">
        <f>+Mersin!I11+Ankara!I11+Antalya!I11+Konya!I11+Trakya!I11+Kayseri!I11+Diyarbakır!I11+Erzurum!I11+Marmara2!I11+Marmara1!I11+Ege!I11+Malatya!I11+Karadeniz!I11+Şanlıurfa!I11</f>
        <v>0</v>
      </c>
      <c r="J11" s="403">
        <f>+Mersin!J11+Ankara!J11+Antalya!J11+Konya!J11+Trakya!J11+Kayseri!J11+Diyarbakır!J11+Erzurum!J11+Marmara2!J11+Marmara1!J11+Ege!J11+Malatya!J11+Karadeniz!J11+Şanlıurfa!J11</f>
        <v>0</v>
      </c>
      <c r="K11" s="403">
        <f>+Mersin!K11+Ankara!K11+Antalya!K11+Konya!K11+Trakya!K11+Kayseri!K11+Diyarbakır!K11+Erzurum!K11+Marmara2!K11+Marmara1!K11+Ege!K11+Malatya!K11+Karadeniz!K11+Şanlıurfa!K11</f>
        <v>0</v>
      </c>
      <c r="L11" s="403">
        <f>+Mersin!L11+Ankara!L11+Antalya!L11+Konya!L11+Trakya!L11+Kayseri!L11+Diyarbakır!L11+Erzurum!L11+Marmara2!L11+Marmara1!L11+Ege!L11+Malatya!L11+Karadeniz!L11+Şanlıurfa!L11</f>
        <v>0</v>
      </c>
      <c r="M11" s="403">
        <f>+Mersin!M11+Ankara!M11+Antalya!M11+Konya!M11+Trakya!M11+Kayseri!M11+Diyarbakır!M11+Erzurum!M11+Marmara2!M11+Marmara1!M11+Ege!M11+Malatya!M11+Karadeniz!M11+Şanlıurfa!M11</f>
        <v>0</v>
      </c>
      <c r="N11" s="403">
        <f>+Mersin!N11+Ankara!N11+Antalya!N11+Konya!N11+Trakya!N11+Kayseri!N11+Diyarbakır!N11+Erzurum!N11+Marmara2!N11+Marmara1!N11+Ege!N11+Malatya!N11+Karadeniz!N11+Şanlıurfa!N11</f>
        <v>0</v>
      </c>
      <c r="O11" s="404">
        <f>+Mersin!O11+Ankara!O11+Antalya!O11+Konya!O11+Trakya!O11+Kayseri!O11+Diyarbakır!O11+Erzurum!O11+Marmara2!O11+Marmara1!O11+Ege!O11+Malatya!O11+Karadeniz!O11+Şanlıurfa!O11</f>
        <v>0</v>
      </c>
      <c r="P11" s="386">
        <f t="shared" si="2"/>
        <v>0</v>
      </c>
      <c r="Q11" s="405" t="str">
        <f t="shared" si="1"/>
        <v>-</v>
      </c>
      <c r="R11" s="353">
        <f>+P11-Mersin!P11-Ankara!P11-Antalya!P11-Konya!P11-Trakya!P11-Kayseri!P11-Diyarbakır!P11-Erzurum!P11-Marmara2!P11-Marmara1!P11-Ege!P11-Malatya!P11-Karadeniz!P11-Şanlıurfa!P11</f>
        <v>0</v>
      </c>
    </row>
    <row r="12" spans="1:22" s="1439" customFormat="1" ht="16.5" hidden="1" customHeight="1">
      <c r="A12" s="1440" t="s">
        <v>84</v>
      </c>
      <c r="B12" s="1433">
        <f>Kayseri!B12+Karadeniz!B12+Malatya!B12+Şanlıurfa!B12+Ege!B12+Marmara1!B12+Marmara2!B12+Erzurum!B12+Konya!B12+Diyarbakır!B12+Trakya!B12+Antalya!B12+Ankara!B12+Mersin!B12</f>
        <v>0</v>
      </c>
      <c r="C12" s="1437">
        <f>Kayseri!C12+Karadeniz!C12+Malatya!C12+Şanlıurfa!C12+Ege!C12+Marmara1!C12+Marmara2!C12+Erzurum!C12+Konya!C12+Diyarbakır!C12+Trakya!C12+Antalya!C12+Ankara!C12+Mersin!C12</f>
        <v>0</v>
      </c>
      <c r="D12" s="1442">
        <f>Kayseri!D12+Karadeniz!D12+Malatya!D12+Şanlıurfa!D12+Ege!D12+Marmara1!D12+Marmara2!D12+Erzurum!D12+Konya!D12+Diyarbakır!D12+Trakya!D12+Antalya!D12+Ankara!D12+Mersin!D12</f>
        <v>0</v>
      </c>
      <c r="E12" s="1436">
        <f>Kayseri!E12+Karadeniz!E12+Malatya!E12+Şanlıurfa!E12+Ege!E12+Marmara1!E12+Marmara2!E12+Erzurum!E12+Konya!E12+Diyarbakır!E12+Trakya!E12+Antalya!E12+Ankara!E12+Mersin!E12</f>
        <v>0</v>
      </c>
      <c r="F12" s="1436">
        <f>Kayseri!F12+Karadeniz!F12+Malatya!F12+Şanlıurfa!F12+Ege!F12+Marmara1!F12+Marmara2!F12+Erzurum!F12+Konya!F12+Diyarbakır!F12+Trakya!F12+Antalya!F12+Ankara!F12+Mersin!F12</f>
        <v>0</v>
      </c>
      <c r="G12" s="1436">
        <f>Kayseri!G12+Karadeniz!G12+Malatya!G12+Şanlıurfa!G12+Ege!G12+Marmara1!G12+Marmara2!G12+Erzurum!G12+Konya!G12+Diyarbakır!G12+Trakya!G12+Antalya!G12+Ankara!G12+Mersin!G12</f>
        <v>0</v>
      </c>
      <c r="H12" s="1436">
        <f>Kayseri!H12+Karadeniz!H12+Malatya!H12+Şanlıurfa!H12+Ege!H12+Marmara1!H12+Marmara2!H12+Erzurum!H12+Konya!H12+Diyarbakır!H12+Trakya!H12+Antalya!H12+Ankara!H12+Mersin!H12</f>
        <v>0</v>
      </c>
      <c r="I12" s="1435">
        <f>Kayseri!I12+Karadeniz!I12+Malatya!I12+Şanlıurfa!I12+Ege!I12+Marmara1!I12+Marmara2!I12+Erzurum!I12+Konya!I12+Diyarbakır!I12+Trakya!I12+Antalya!I12+Ankara!I12+Mersin!I12</f>
        <v>0</v>
      </c>
      <c r="J12" s="1435">
        <f>Kayseri!J12+Karadeniz!J12+Malatya!J12+Şanlıurfa!J12+Ege!J12+Marmara1!J12+Marmara2!J12+Erzurum!J12+Konya!J12+Diyarbakır!J12+Trakya!J12+Antalya!J12+Ankara!J12+Mersin!J12</f>
        <v>0</v>
      </c>
      <c r="K12" s="1436">
        <f>Kayseri!K12+Karadeniz!K12+Malatya!K12+Şanlıurfa!K12+Ege!K12+Marmara1!K12+Marmara2!K12+Erzurum!K12+Konya!K12+Diyarbakır!K12+Trakya!K12+Antalya!K12+Ankara!K12+Mersin!K12</f>
        <v>0</v>
      </c>
      <c r="L12" s="1436">
        <f>Kayseri!L12+Karadeniz!L12+Malatya!L12+Şanlıurfa!L12+Ege!L12+Marmara1!L12+Marmara2!L12+Erzurum!L12+Konya!L12+Diyarbakır!L12+Trakya!L12+Antalya!L12+Ankara!L12+Mersin!L12</f>
        <v>0</v>
      </c>
      <c r="M12" s="1436">
        <f>Kayseri!M12+Karadeniz!M12+Malatya!M12+Şanlıurfa!M12+Ege!M12+Marmara1!M12+Marmara2!M12+Erzurum!M12+Konya!M12+Diyarbakır!M12+Trakya!M12+Antalya!M12+Ankara!M12+Mersin!M12</f>
        <v>0</v>
      </c>
      <c r="N12" s="1436">
        <f>Kayseri!N12+Karadeniz!N12+Malatya!N12+Şanlıurfa!N12+Ege!N12+Marmara1!N12+Marmara2!N12+Erzurum!N12+Konya!N12+Diyarbakır!N12+Trakya!N12+Antalya!N12+Ankara!N12+Mersin!N12</f>
        <v>0</v>
      </c>
      <c r="O12" s="1437">
        <f>Kayseri!O12+Karadeniz!O12+Malatya!O12+Şanlıurfa!O12+Ege!O12+Marmara1!O12+Marmara2!O12+Erzurum!O12+Konya!O12+Diyarbakır!O12+Trakya!O12+Antalya!O12+Ankara!O12+Mersin!O12</f>
        <v>0</v>
      </c>
      <c r="P12" s="1443">
        <f t="shared" si="2"/>
        <v>0</v>
      </c>
      <c r="Q12" s="1438" t="str">
        <f t="shared" si="1"/>
        <v>-</v>
      </c>
      <c r="R12" s="353">
        <f>+P12-Mersin!P12-Ankara!P12-Antalya!P12-Konya!P12-Trakya!P12-Kayseri!P12-Diyarbakır!P12-Erzurum!P12-Marmara2!P12-Marmara1!P12-Ege!P12-Malatya!P12-Karadeniz!P12-Şanlıurfa!P12</f>
        <v>0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 t="shared" ref="B13:C13" si="5">SUM(B9:B12)</f>
        <v>0</v>
      </c>
      <c r="C13" s="1446">
        <f t="shared" si="5"/>
        <v>0</v>
      </c>
      <c r="D13" s="413">
        <f t="shared" ref="D13:O13" si="6">SUM(D9:D12)</f>
        <v>0</v>
      </c>
      <c r="E13" s="414">
        <f t="shared" si="6"/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1"/>
        <v>-</v>
      </c>
      <c r="R13" s="353">
        <f>+P13-Mersin!P13-Ankara!P13-Antalya!P13-Konya!P13-Trakya!P13-Kayseri!P13-Diyarbakır!P13-Erzurum!P13-Marmara2!P13-Marmara1!P13-Ege!P13-Malatya!P13-Karadeniz!P13-Şanlıurfa!P13</f>
        <v>0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 t="shared" ref="D14:O14" si="8">SUM(D15:D16)</f>
        <v>0</v>
      </c>
      <c r="E14" s="418">
        <f t="shared" si="8"/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1"/>
        <v>-</v>
      </c>
      <c r="R14" s="353">
        <f>+P14-Mersin!P14-Ankara!P14-Antalya!P14-Konya!P14-Trakya!P14-Kayseri!P14-Diyarbakır!P14-Erzurum!P14-Marmara2!P14-Marmara1!P14-Ege!P14-Malatya!P14-Karadeniz!P14-Şanlıurfa!P14</f>
        <v>0</v>
      </c>
    </row>
    <row r="15" spans="1:22" ht="16.5" customHeight="1">
      <c r="A15" s="422" t="s">
        <v>19</v>
      </c>
      <c r="B15" s="423">
        <f>+Mersin!B15+Ankara!B15+Antalya!B15+Konya!B15+Trakya!B15+Kayseri!B15+Diyarbakır!B15+Erzurum!B15+Marmara2!B15+Marmara1!B15+Ege!B15+Malatya!B15+Karadeniz!B15+Şanlıurfa!B15</f>
        <v>0</v>
      </c>
      <c r="C15" s="1449">
        <f>+Mersin!C15+Ankara!C15+Antalya!C15+Konya!C15+Trakya!C15+Kayseri!C15+Diyarbakır!C15+Erzurum!C15+Marmara2!C15+Marmara1!C15+Ege!C15+Malatya!C15+Karadeniz!C15+Şanlıurfa!C15</f>
        <v>0</v>
      </c>
      <c r="D15" s="425">
        <f>+Mersin!D15+Ankara!D15+Antalya!D15+Konya!D15+Trakya!D15+Kayseri!D15+Diyarbakır!D15+Erzurum!D15+Marmara2!D15+Marmara1!D15+Ege!D15+Malatya!D15+Karadeniz!D15+Şanlıurfa!D15</f>
        <v>0</v>
      </c>
      <c r="E15" s="426">
        <f>+Mersin!E15+Ankara!E15+Antalya!E15+Konya!E15+Trakya!E15+Kayseri!E15+Diyarbakır!E15+Erzurum!E15+Marmara2!E15+Marmara1!E15+Ege!E15+Malatya!E15+Karadeniz!E15+Şanlıurfa!E15</f>
        <v>0</v>
      </c>
      <c r="F15" s="426">
        <f>+Mersin!F15+Ankara!F15+Antalya!F15+Konya!F15+Trakya!F15+Kayseri!F15+Diyarbakır!F15+Erzurum!F15+Marmara2!F15+Marmara1!F15+Ege!F15+Malatya!F15+Karadeniz!F15+Şanlıurfa!F15</f>
        <v>0</v>
      </c>
      <c r="G15" s="426">
        <f>+Mersin!G15+Ankara!G15+Antalya!G15+Konya!G15+Trakya!G15+Kayseri!G15+Diyarbakır!G15+Erzurum!G15+Marmara2!G15+Marmara1!G15+Ege!G15+Malatya!G15+Karadeniz!G15+Şanlıurfa!G15</f>
        <v>0</v>
      </c>
      <c r="H15" s="426">
        <f>+Mersin!H15+Ankara!H15+Antalya!H15+Konya!H15+Trakya!H15+Kayseri!H15+Diyarbakır!H15+Erzurum!H15+Marmara2!H15+Marmara1!H15+Ege!H15+Malatya!H15+Karadeniz!H15+Şanlıurfa!H15</f>
        <v>0</v>
      </c>
      <c r="I15" s="426">
        <f>+Mersin!I15+Ankara!I15+Antalya!I15+Konya!I15+Trakya!I15+Kayseri!I15+Diyarbakır!I15+Erzurum!I15+Marmara2!I15+Marmara1!I15+Ege!I15+Malatya!I15+Karadeniz!I15+Şanlıurfa!I15</f>
        <v>0</v>
      </c>
      <c r="J15" s="426">
        <f>+Mersin!J15+Ankara!J15+Antalya!J15+Konya!J15+Trakya!J15+Kayseri!J15+Diyarbakır!J15+Erzurum!J15+Marmara2!J15+Marmara1!J15+Ege!J15+Malatya!J15+Karadeniz!J15+Şanlıurfa!J15</f>
        <v>0</v>
      </c>
      <c r="K15" s="426">
        <f>+Mersin!K15+Ankara!K15+Antalya!K15+Konya!K15+Trakya!K15+Kayseri!K15+Diyarbakır!K15+Erzurum!K15+Marmara2!K15+Marmara1!K15+Ege!K15+Malatya!K15+Karadeniz!K15+Şanlıurfa!K15</f>
        <v>0</v>
      </c>
      <c r="L15" s="426">
        <f>+Mersin!L15+Ankara!L15+Antalya!L15+Konya!L15+Trakya!L15+Kayseri!L15+Diyarbakır!L15+Erzurum!L15+Marmara2!L15+Marmara1!L15+Ege!L15+Malatya!L15+Karadeniz!L15+Şanlıurfa!L15</f>
        <v>0</v>
      </c>
      <c r="M15" s="426">
        <f>+Mersin!M15+Ankara!M15+Antalya!M15+Konya!M15+Trakya!M15+Kayseri!M15+Diyarbakır!M15+Erzurum!M15+Marmara2!M15+Marmara1!M15+Ege!M15+Malatya!M15+Karadeniz!M15+Şanlıurfa!M15</f>
        <v>0</v>
      </c>
      <c r="N15" s="426">
        <f>+Mersin!N15+Ankara!N15+Antalya!N15+Konya!N15+Trakya!N15+Kayseri!N15+Diyarbakır!N15+Erzurum!N15+Marmara2!N15+Marmara1!N15+Ege!N15+Malatya!N15+Karadeniz!N15+Şanlıurfa!N15</f>
        <v>0</v>
      </c>
      <c r="O15" s="427">
        <f>+Mersin!O15+Ankara!O15+Antalya!O15+Konya!O15+Trakya!O15+Kayseri!O15+Diyarbakır!O15+Erzurum!O15+Marmara2!O15+Marmara1!O15+Ege!O15+Malatya!O15+Karadeniz!O15+Şanlıurfa!O15</f>
        <v>0</v>
      </c>
      <c r="P15" s="428">
        <f t="shared" si="2"/>
        <v>0</v>
      </c>
      <c r="Q15" s="429" t="str">
        <f t="shared" si="1"/>
        <v>-</v>
      </c>
      <c r="R15" s="353">
        <f>+P15-Mersin!P15-Ankara!P15-Antalya!P15-Konya!P15-Trakya!P15-Kayseri!P15-Diyarbakır!P15-Erzurum!P15-Marmara2!P15-Marmara1!P15-Ege!P15-Malatya!P15-Karadeniz!P15-Şanlıurfa!P15</f>
        <v>0</v>
      </c>
    </row>
    <row r="16" spans="1:22" ht="16.5" customHeight="1" thickBot="1">
      <c r="A16" s="430" t="s">
        <v>20</v>
      </c>
      <c r="B16" s="431">
        <f>+Mersin!B16+Ankara!B16+Antalya!B16+Konya!B16+Trakya!B16+Kayseri!B16+Diyarbakır!B16+Erzurum!B16+Marmara2!B16+Marmara1!B16+Ege!B16+Malatya!B16+Karadeniz!B16+Şanlıurfa!B16</f>
        <v>0</v>
      </c>
      <c r="C16" s="1450">
        <f>+Mersin!C16+Ankara!C16+Antalya!C16+Konya!C16+Trakya!C16+Kayseri!C16+Diyarbakır!C16+Erzurum!C16+Marmara2!C16+Marmara1!C16+Ege!C16+Malatya!C16+Karadeniz!C16+Şanlıurfa!C16</f>
        <v>0</v>
      </c>
      <c r="D16" s="433">
        <f>+Mersin!D16+Ankara!D16+Antalya!D16+Konya!D16+Trakya!D16+Kayseri!D16+Diyarbakır!D16+Erzurum!D16+Marmara2!D16+Marmara1!D16+Ege!D16+Malatya!D16+Karadeniz!D16+Şanlıurfa!D16</f>
        <v>0</v>
      </c>
      <c r="E16" s="434">
        <f>+Mersin!E16+Ankara!E16+Antalya!E16+Konya!E16+Trakya!E16+Kayseri!E16+Diyarbakır!E16+Erzurum!E16+Marmara2!E16+Marmara1!E16+Ege!E16+Malatya!E16+Karadeniz!E16+Şanlıurfa!E16</f>
        <v>0</v>
      </c>
      <c r="F16" s="434">
        <f>+Mersin!F16+Ankara!F16+Antalya!F16+Konya!F16+Trakya!F16+Kayseri!F16+Diyarbakır!F16+Erzurum!F16+Marmara2!F16+Marmara1!F16+Ege!F16+Malatya!F16+Karadeniz!F16+Şanlıurfa!F16</f>
        <v>0</v>
      </c>
      <c r="G16" s="434">
        <f>+Mersin!G16+Ankara!G16+Antalya!G16+Konya!G16+Trakya!G16+Kayseri!G16+Diyarbakır!G16+Erzurum!G16+Marmara2!G16+Marmara1!G16+Ege!G16+Malatya!G16+Karadeniz!G16+Şanlıurfa!G16</f>
        <v>0</v>
      </c>
      <c r="H16" s="434">
        <f>+Mersin!H16+Ankara!H16+Antalya!H16+Konya!H16+Trakya!H16+Kayseri!H16+Diyarbakır!H16+Erzurum!H16+Marmara2!H16+Marmara1!H16+Ege!H16+Malatya!H16+Karadeniz!H16+Şanlıurfa!H16</f>
        <v>0</v>
      </c>
      <c r="I16" s="434">
        <f>+Mersin!I16+Ankara!I16+Antalya!I16+Konya!I16+Trakya!I16+Kayseri!I16+Diyarbakır!I16+Erzurum!I16+Marmara2!I16+Marmara1!I16+Ege!I16+Malatya!I16+Karadeniz!I16+Şanlıurfa!I16</f>
        <v>0</v>
      </c>
      <c r="J16" s="434">
        <f>+Mersin!J16+Ankara!J16+Antalya!J16+Konya!J16+Trakya!J16+Kayseri!J16+Diyarbakır!J16+Erzurum!J16+Marmara2!J16+Marmara1!J16+Ege!J16+Malatya!J16+Karadeniz!J16+Şanlıurfa!J16</f>
        <v>0</v>
      </c>
      <c r="K16" s="434">
        <f>+Mersin!K16+Ankara!K16+Antalya!K16+Konya!K16+Trakya!K16+Kayseri!K16+Diyarbakır!K16+Erzurum!K16+Marmara2!K16+Marmara1!K16+Ege!K16+Malatya!K16+Karadeniz!K16+Şanlıurfa!K16</f>
        <v>0</v>
      </c>
      <c r="L16" s="434">
        <f>+Mersin!L16+Ankara!L16+Antalya!L16+Konya!L16+Trakya!L16+Kayseri!L16+Diyarbakır!L16+Erzurum!L16+Marmara2!L16+Marmara1!L16+Ege!L16+Malatya!L16+Karadeniz!L16+Şanlıurfa!L16</f>
        <v>0</v>
      </c>
      <c r="M16" s="434">
        <f>+Mersin!M16+Ankara!M16+Antalya!M16+Konya!M16+Trakya!M16+Kayseri!M16+Diyarbakır!M16+Erzurum!M16+Marmara2!M16+Marmara1!M16+Ege!M16+Malatya!M16+Karadeniz!M16+Şanlıurfa!M16</f>
        <v>0</v>
      </c>
      <c r="N16" s="434">
        <f>+Mersin!N16+Ankara!N16+Antalya!N16+Konya!N16+Trakya!N16+Kayseri!N16+Diyarbakır!N16+Erzurum!N16+Marmara2!N16+Marmara1!N16+Ege!N16+Malatya!N16+Karadeniz!N16+Şanlıurfa!N16</f>
        <v>0</v>
      </c>
      <c r="O16" s="435">
        <f>+Mersin!O16+Ankara!O16+Antalya!O16+Konya!O16+Trakya!O16+Kayseri!O16+Diyarbakır!O16+Erzurum!O16+Marmara2!O16+Marmara1!O16+Ege!O16+Malatya!O16+Karadeniz!O16+Şanlıurfa!O16</f>
        <v>0</v>
      </c>
      <c r="P16" s="436">
        <f>SUM(D16:O16)</f>
        <v>0</v>
      </c>
      <c r="Q16" s="437" t="str">
        <f t="shared" si="1"/>
        <v>-</v>
      </c>
      <c r="R16" s="353">
        <f>+P16-Mersin!P16-Ankara!P16-Antalya!P16-Konya!P16-Trakya!P16-Kayseri!P16-Diyarbakır!P16-Erzurum!P16-Marmara2!P16-Marmara1!P16-Ege!P16-Malatya!P16-Karadeniz!P16-Şanlıurfa!P16</f>
        <v>0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SUM(C18:C19)</f>
        <v>0</v>
      </c>
      <c r="D17" s="417">
        <f t="shared" ref="D17:O17" si="10">SUM(D18:D19)</f>
        <v>0</v>
      </c>
      <c r="E17" s="418">
        <f t="shared" si="10"/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>IF(P17=0,"-",P17/C17-1)</f>
        <v>-</v>
      </c>
      <c r="R17" s="353">
        <f>+P17-Mersin!P17-Ankara!P17-Antalya!P17-Konya!P17-Trakya!P17-Kayseri!P17-Diyarbakır!P17-Erzurum!P17-Marmara2!P17-Marmara1!P17-Ege!P17-Malatya!P17-Karadeniz!P17-Şanlıurfa!P17</f>
        <v>0</v>
      </c>
    </row>
    <row r="18" spans="1:22" ht="16.5" customHeight="1">
      <c r="A18" s="422" t="s">
        <v>106</v>
      </c>
      <c r="B18" s="423">
        <f>+Mersin!B18+Ankara!B18+Antalya!B18+Konya!B18+Trakya!B18+Kayseri!B18+Diyarbakır!B18+Erzurum!B18+Marmara2!B18+Marmara1!B18+Ege!B18+Malatya!B18+Karadeniz!B18+Şanlıurfa!B18</f>
        <v>0</v>
      </c>
      <c r="C18" s="1449">
        <f>+Mersin!C18+Ankara!C18+Antalya!C18+Konya!C18+Trakya!C18+Kayseri!C18+Diyarbakır!C18+Erzurum!C18+Marmara2!C18+Marmara1!C18+Ege!C18+Malatya!C18+Karadeniz!C18+Şanlıurfa!C18</f>
        <v>0</v>
      </c>
      <c r="D18" s="425">
        <f>+Mersin!D18+Ankara!D18+Antalya!D18+Konya!D18+Trakya!D18+Kayseri!D18+Diyarbakır!D18+Erzurum!D18+Marmara2!D18+Marmara1!D18+Ege!D18+Malatya!D18+Karadeniz!D18+Şanlıurfa!D18</f>
        <v>0</v>
      </c>
      <c r="E18" s="426">
        <f>+Mersin!E18+Ankara!E18+Antalya!E18+Konya!E18+Trakya!E18+Kayseri!E18+Diyarbakır!E18+Erzurum!E18+Marmara2!E18+Marmara1!E18+Ege!E18+Malatya!E18+Karadeniz!E18+Şanlıurfa!E18</f>
        <v>0</v>
      </c>
      <c r="F18" s="426">
        <f>+Mersin!F18+Ankara!F18+Antalya!F18+Konya!F18+Trakya!F18+Kayseri!F18+Diyarbakır!F18+Erzurum!F18+Marmara2!F18+Marmara1!F18+Ege!F18+Malatya!F18+Karadeniz!F18+Şanlıurfa!F18</f>
        <v>0</v>
      </c>
      <c r="G18" s="426">
        <f>+Mersin!G18+Ankara!G18+Antalya!G18+Konya!G18+Trakya!G18+Kayseri!G18+Diyarbakır!G18+Erzurum!G18+Marmara2!G18+Marmara1!G18+Ege!G18+Malatya!G18+Karadeniz!G18+Şanlıurfa!G18</f>
        <v>0</v>
      </c>
      <c r="H18" s="426">
        <f>+Mersin!H18+Ankara!H18+Antalya!H18+Konya!H18+Trakya!H18+Kayseri!H18+Diyarbakır!H18+Erzurum!H18+Marmara2!H18+Marmara1!H18+Ege!H18+Malatya!H18+Karadeniz!H18+Şanlıurfa!H18</f>
        <v>0</v>
      </c>
      <c r="I18" s="426">
        <f>+Mersin!I18+Ankara!I18+Antalya!I18+Konya!I18+Trakya!I18+Kayseri!I18+Diyarbakır!I18+Erzurum!I18+Marmara2!I18+Marmara1!I18+Ege!I18+Malatya!I18+Karadeniz!I18+Şanlıurfa!I18</f>
        <v>0</v>
      </c>
      <c r="J18" s="426">
        <f>+Mersin!J18+Ankara!J18+Antalya!J18+Konya!J18+Trakya!J18+Kayseri!J18+Diyarbakır!J18+Erzurum!J18+Marmara2!J18+Marmara1!J18+Ege!J18+Malatya!J18+Karadeniz!J18+Şanlıurfa!J18</f>
        <v>0</v>
      </c>
      <c r="K18" s="426">
        <f>+Mersin!K18+Ankara!K18+Antalya!K18+Konya!K18+Trakya!K18+Kayseri!K18+Diyarbakır!K18+Erzurum!K18+Marmara2!K18+Marmara1!K18+Ege!K18+Malatya!K18+Karadeniz!K18+Şanlıurfa!K18</f>
        <v>0</v>
      </c>
      <c r="L18" s="426">
        <f>+Mersin!L18+Ankara!L18+Antalya!L18+Konya!L18+Trakya!L18+Kayseri!L18+Diyarbakır!L18+Erzurum!L18+Marmara2!L18+Marmara1!L18+Ege!L18+Malatya!L18+Karadeniz!L18+Şanlıurfa!L18</f>
        <v>0</v>
      </c>
      <c r="M18" s="426">
        <f>+Mersin!M18+Ankara!M18+Antalya!M18+Konya!M18+Trakya!M18+Kayseri!M18+Diyarbakır!M18+Erzurum!M18+Marmara2!M18+Marmara1!M18+Ege!M18+Malatya!M18+Karadeniz!M18+Şanlıurfa!M18</f>
        <v>0</v>
      </c>
      <c r="N18" s="426">
        <f>+Mersin!N18+Ankara!N18+Antalya!N18+Konya!N18+Trakya!N18+Kayseri!N18+Diyarbakır!N18+Erzurum!N18+Marmara2!N18+Marmara1!N18+Ege!N18+Malatya!N18+Karadeniz!N18+Şanlıurfa!N18</f>
        <v>0</v>
      </c>
      <c r="O18" s="427">
        <f>+Mersin!O18+Ankara!O18+Antalya!O18+Konya!O18+Trakya!O18+Kayseri!O18+Diyarbakır!O18+Erzurum!O18+Marmara2!O18+Marmara1!O18+Ege!O18+Malatya!O18+Karadeniz!O18+Şanlıurfa!O18</f>
        <v>0</v>
      </c>
      <c r="P18" s="428">
        <f t="shared" si="2"/>
        <v>0</v>
      </c>
      <c r="Q18" s="429" t="str">
        <f>IF(P18=0,"-",P18/C18-1)</f>
        <v>-</v>
      </c>
      <c r="R18" s="353">
        <f>+P18-Mersin!P18-Ankara!P18-Antalya!P18-Konya!P18-Trakya!P18-Kayseri!P18-Diyarbakır!P18-Erzurum!P18-Marmara2!P18-Marmara1!P18-Ege!P18-Malatya!P18-Karadeniz!P18-Şanlıurfa!P18</f>
        <v>0</v>
      </c>
    </row>
    <row r="19" spans="1:22" ht="16.5" customHeight="1" thickBot="1">
      <c r="A19" s="438" t="s">
        <v>105</v>
      </c>
      <c r="B19" s="439">
        <f>+Mersin!B19+Ankara!B19+Antalya!B19+Konya!B19+Trakya!B19+Kayseri!B19+Diyarbakır!B19+Erzurum!B19+Marmara2!B19+Marmara1!B19+Ege!B19+Malatya!B19+Karadeniz!B19+Şanlıurfa!B19</f>
        <v>0</v>
      </c>
      <c r="C19" s="1450">
        <f>+Mersin!C19+Ankara!C19+Antalya!C19+Konya!C19+Trakya!C19+Kayseri!C19+Diyarbakır!C19+Erzurum!C19+Marmara2!C19+Marmara1!C19+Ege!C19+Malatya!C19+Karadeniz!C19+Şanlıurfa!C19</f>
        <v>0</v>
      </c>
      <c r="D19" s="441">
        <f>+Mersin!D19+Ankara!D19+Antalya!D19+Konya!D19+Trakya!D19+Kayseri!D19+Diyarbakır!D19+Erzurum!D19+Marmara2!D19+Marmara1!D19+Ege!D19+Malatya!D19+Karadeniz!D19+Şanlıurfa!D19</f>
        <v>0</v>
      </c>
      <c r="E19" s="442">
        <f>+Mersin!E19+Ankara!E19+Antalya!E19+Konya!E19+Trakya!E19+Kayseri!E19+Diyarbakır!E19+Erzurum!E19+Marmara2!E19+Marmara1!E19+Ege!E19+Malatya!E19+Karadeniz!E19+Şanlıurfa!E19</f>
        <v>0</v>
      </c>
      <c r="F19" s="442">
        <f>+Mersin!F19+Ankara!F19+Antalya!F19+Konya!F19+Trakya!F19+Kayseri!F19+Diyarbakır!F19+Erzurum!F19+Marmara2!F19+Marmara1!F19+Ege!F19+Malatya!F19+Karadeniz!F19+Şanlıurfa!F19</f>
        <v>0</v>
      </c>
      <c r="G19" s="442">
        <f>+Mersin!G19+Ankara!G19+Antalya!G19+Konya!G19+Trakya!G19+Kayseri!G19+Diyarbakır!G19+Erzurum!G19+Marmara2!G19+Marmara1!G19+Ege!G19+Malatya!G19+Karadeniz!G19+Şanlıurfa!G19</f>
        <v>0</v>
      </c>
      <c r="H19" s="442">
        <f>+Mersin!H19+Ankara!H19+Antalya!H19+Konya!H19+Trakya!H19+Kayseri!H19+Diyarbakır!H19+Erzurum!H19+Marmara2!H19+Marmara1!H19+Ege!H19+Malatya!H19+Karadeniz!H19+Şanlıurfa!H19</f>
        <v>0</v>
      </c>
      <c r="I19" s="442">
        <f>+Mersin!I19+Ankara!I19+Antalya!I19+Konya!I19+Trakya!I19+Kayseri!I19+Diyarbakır!I19+Erzurum!I19+Marmara2!I19+Marmara1!I19+Ege!I19+Malatya!I19+Karadeniz!I19+Şanlıurfa!I19</f>
        <v>0</v>
      </c>
      <c r="J19" s="442">
        <f>+Mersin!J19+Ankara!J19+Antalya!J19+Konya!J19+Trakya!J19+Kayseri!J19+Diyarbakır!J19+Erzurum!J19+Marmara2!J19+Marmara1!J19+Ege!J19+Malatya!J19+Karadeniz!J19+Şanlıurfa!J19</f>
        <v>0</v>
      </c>
      <c r="K19" s="442">
        <f>+Mersin!K19+Ankara!K19+Antalya!K19+Konya!K19+Trakya!K19+Kayseri!K19+Diyarbakır!K19+Erzurum!K19+Marmara2!K19+Marmara1!K19+Ege!K19+Malatya!K19+Karadeniz!K19+Şanlıurfa!K19</f>
        <v>0</v>
      </c>
      <c r="L19" s="442">
        <f>+Mersin!L19+Ankara!L19+Antalya!L19+Konya!L19+Trakya!L19+Kayseri!L19+Diyarbakır!L19+Erzurum!L19+Marmara2!L19+Marmara1!L19+Ege!L19+Malatya!L19+Karadeniz!L19+Şanlıurfa!L19</f>
        <v>0</v>
      </c>
      <c r="M19" s="442">
        <f>+Mersin!M19+Ankara!M19+Antalya!M19+Konya!M19+Trakya!M19+Kayseri!M19+Diyarbakır!M19+Erzurum!M19+Marmara2!M19+Marmara1!M19+Ege!M19+Malatya!M19+Karadeniz!M19+Şanlıurfa!M19</f>
        <v>0</v>
      </c>
      <c r="N19" s="442">
        <f>+Mersin!N19+Ankara!N19+Antalya!N19+Konya!N19+Trakya!N19+Kayseri!N19+Diyarbakır!N19+Erzurum!N19+Marmara2!N19+Marmara1!N19+Ege!N19+Malatya!N19+Karadeniz!N19+Şanlıurfa!N19</f>
        <v>0</v>
      </c>
      <c r="O19" s="443">
        <f>+Mersin!O19+Ankara!O19+Antalya!O19+Konya!O19+Trakya!O19+Kayseri!O19+Diyarbakır!O19+Erzurum!O19+Marmara2!O19+Marmara1!O19+Ege!O19+Malatya!O19+Karadeniz!O19+Şanlıurfa!O19</f>
        <v>0</v>
      </c>
      <c r="P19" s="444">
        <f t="shared" si="2"/>
        <v>0</v>
      </c>
      <c r="Q19" s="445" t="str">
        <f>IF(P19=0,"-",P19/C19-1)</f>
        <v>-</v>
      </c>
      <c r="R19" s="353">
        <f>+P19-Mersin!P19-Ankara!P19-Antalya!P19-Konya!P19-Trakya!P19-Kayseri!P19-Diyarbakır!P19-Erzurum!P19-Marmara2!P19-Marmara1!P19-Ege!P19-Malatya!P19-Karadeniz!P19-Şanlıurfa!P19</f>
        <v>0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/>
      <c r="R20" s="353">
        <f>+P20-Mersin!P20-Ankara!P20-Antalya!P20-Konya!P20-Trakya!P20-Kayseri!P20-Diyarbakır!P20-Erzurum!P20-Marmara2!P20-Marmara1!P20-Ege!P20-Malatya!P20-Karadeniz!P20-Şanlıurfa!P20</f>
        <v>0</v>
      </c>
    </row>
    <row r="21" spans="1:22" ht="22.5" customHeight="1" thickBot="1">
      <c r="A21" s="362" t="s">
        <v>85</v>
      </c>
      <c r="B21" s="363">
        <f>Kayseri!B21+Karadeniz!B21+Malatya!B21+Şanlıurfa!B21+Ege!B21+Marmara1!B21+Marmara2!B21+Erzurum!B21+Konya!B21+Diyarbakır!B21+Trakya!B21+Antalya!B21+Ankara!B21+Mersin!B21</f>
        <v>0</v>
      </c>
      <c r="C21" s="364">
        <f>Kayseri!C21+Karadeniz!C21+Malatya!C21+Şanlıurfa!C21+Ege!C21+Marmara1!C21+Marmara2!C21+Erzurum!C21+Konya!C21+Diyarbakır!C21+Trakya!C21+Antalya!C21+Ankara!C21+Mersin!C21</f>
        <v>0</v>
      </c>
      <c r="D21" s="365">
        <f>Kayseri!D21+Karadeniz!D21+Malatya!D21+Şanlıurfa!D21+Ege!D21+Marmara1!D21+Marmara2!D21+Erzurum!D21+Konya!D21+Diyarbakır!D21+Trakya!D21+Antalya!D21+Ankara!D21+Mersin!D21</f>
        <v>0</v>
      </c>
      <c r="E21" s="366">
        <f>Kayseri!E21+Karadeniz!E21+Malatya!E21+Şanlıurfa!E21+Ege!E21+Marmara1!E21+Marmara2!E21+Erzurum!E21+Konya!E21+Diyarbakır!E21+Trakya!E21+Antalya!E21+Ankara!E21+Mersin!E21</f>
        <v>0</v>
      </c>
      <c r="F21" s="366">
        <f>Kayseri!F21+Karadeniz!F21+Malatya!F21+Şanlıurfa!F21+Ege!F21+Marmara1!F21+Marmara2!F21+Erzurum!F21+Konya!F21+Diyarbakır!F21+Trakya!F21+Antalya!F21+Ankara!F21+Mersin!F21</f>
        <v>0</v>
      </c>
      <c r="G21" s="366">
        <f>Kayseri!G21+Karadeniz!G21+Malatya!G21+Şanlıurfa!G21+Ege!G21+Marmara1!G21+Marmara2!G21+Erzurum!G21+Konya!G21+Diyarbakır!G21+Trakya!G21+Antalya!G21+Ankara!G21+Mersin!G21</f>
        <v>0</v>
      </c>
      <c r="H21" s="366">
        <f>Kayseri!H21+Karadeniz!H21+Malatya!H21+Şanlıurfa!H21+Ege!H21+Marmara1!H21+Marmara2!H21+Erzurum!H21+Konya!H21+Diyarbakır!H21+Trakya!H21+Antalya!H21+Ankara!H21+Mersin!H21</f>
        <v>0</v>
      </c>
      <c r="I21" s="366">
        <f>Kayseri!I21+Karadeniz!I21+Malatya!I21+Şanlıurfa!I21+Ege!I21+Marmara1!I21+Marmara2!I21+Erzurum!I21+Konya!I21+Diyarbakır!I21+Trakya!I21+Antalya!I21+Ankara!I21+Mersin!I21</f>
        <v>0</v>
      </c>
      <c r="J21" s="366">
        <f>Kayseri!J21+Karadeniz!J21+Malatya!J21+Şanlıurfa!J21+Ege!J21+Marmara1!J21+Marmara2!J21+Erzurum!J21+Konya!J21+Diyarbakır!J21+Trakya!J21+Antalya!J21+Ankara!J21+Mersin!J21</f>
        <v>0</v>
      </c>
      <c r="K21" s="366">
        <f>Kayseri!K21+Karadeniz!K21+Malatya!K21+Şanlıurfa!K21+Ege!K21+Marmara1!K21+Marmara2!K21+Erzurum!K21+Konya!K21+Diyarbakır!K21+Trakya!K21+Antalya!K21+Ankara!K21+Mersin!K21</f>
        <v>0</v>
      </c>
      <c r="L21" s="366">
        <f>Kayseri!L21+Karadeniz!L21+Malatya!L21+Şanlıurfa!L21+Ege!L21+Marmara1!L21+Marmara2!L21+Erzurum!L21+Konya!L21+Diyarbakır!L21+Trakya!L21+Antalya!L21+Ankara!L21+Mersin!L21</f>
        <v>0</v>
      </c>
      <c r="M21" s="366">
        <f>Kayseri!M21+Karadeniz!M21+Malatya!M21+Şanlıurfa!M21+Ege!M21+Marmara1!M21+Marmara2!M21+Erzurum!M21+Konya!M21+Diyarbakır!M21+Trakya!M21+Antalya!M21+Ankara!M21+Mersin!M21</f>
        <v>0</v>
      </c>
      <c r="N21" s="366">
        <f>Kayseri!N21+Karadeniz!N21+Malatya!N21+Şanlıurfa!N21+Ege!N21+Marmara1!N21+Marmara2!N21+Erzurum!N21+Konya!N21+Diyarbakır!N21+Trakya!N21+Antalya!N21+Ankara!N21+Mersin!N21</f>
        <v>0</v>
      </c>
      <c r="O21" s="448">
        <f>Kayseri!O21+Karadeniz!O21+Malatya!O21+Şanlıurfa!O21+Ege!O21+Marmara1!O21+Marmara2!O21+Erzurum!O21+Konya!O21+Diyarbakır!O21+Trakya!O21+Antalya!O21+Ankara!O21+Mersin!O21</f>
        <v>0</v>
      </c>
      <c r="P21" s="363">
        <f t="shared" ref="P21" si="11">SUM(D21:O21)</f>
        <v>0</v>
      </c>
      <c r="Q21" s="367" t="str">
        <f>IF(P21=0,"-",P21/C21-1)</f>
        <v>-</v>
      </c>
      <c r="R21" s="353">
        <f>+P21-Mersin!P21-Ankara!P21-Antalya!P21-Konya!P21-Trakya!P21-Kayseri!P21-Diyarbakır!P21-Erzurum!P21-Marmara2!P21-Marmara1!P21-Ege!P21-Malatya!P21-Karadeniz!P21-Şanlıurfa!P21</f>
        <v>0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  <c r="R22" s="353">
        <f>+P22-Mersin!P22-Ankara!P22-Antalya!P22-Konya!P22-Trakya!P22-Kayseri!P22-Diyarbakır!P22-Erzurum!P22-Marmara2!P22-Marmara1!P22-Ege!P22-Malatya!P22-Karadeniz!P22-Şanlıurfa!P22</f>
        <v>0</v>
      </c>
    </row>
    <row r="23" spans="1:22" ht="33" customHeight="1" thickBot="1">
      <c r="A23" s="354"/>
      <c r="B23" s="2372" t="s">
        <v>669</v>
      </c>
      <c r="C23" s="2373"/>
      <c r="D23" s="2374" t="s">
        <v>701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  <c r="R23" s="353">
        <f>+P23-Mersin!P23-Ankara!P23-Antalya!P23-Konya!P23-Trakya!P23-Kayseri!P23-Diyarbakır!P23-Erzurum!P23-Marmara2!P23-Marmara1!P23-Ege!P23-Malatya!P23-Karadeniz!P23-Şanlıurfa!P23</f>
        <v>0</v>
      </c>
    </row>
    <row r="24" spans="1:22" ht="30.75" customHeight="1" thickBot="1">
      <c r="A24" s="356"/>
      <c r="B24" s="357" t="s">
        <v>704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  <c r="R24" s="353"/>
    </row>
    <row r="25" spans="1:22" ht="22.5" customHeight="1" thickBot="1">
      <c r="A25" s="362" t="s">
        <v>28</v>
      </c>
      <c r="B25" s="363">
        <f>B28+B29+B34</f>
        <v>0</v>
      </c>
      <c r="C25" s="364">
        <f t="shared" ref="C25" si="12">C28+C29+C34</f>
        <v>0</v>
      </c>
      <c r="D25" s="365">
        <f>D28+D29+D34</f>
        <v>0</v>
      </c>
      <c r="E25" s="366">
        <f t="shared" ref="E25:O25" si="13">E28+E29+E34</f>
        <v>0</v>
      </c>
      <c r="F25" s="366">
        <f t="shared" si="13"/>
        <v>0</v>
      </c>
      <c r="G25" s="366">
        <f t="shared" si="13"/>
        <v>0</v>
      </c>
      <c r="H25" s="366">
        <f t="shared" si="13"/>
        <v>0</v>
      </c>
      <c r="I25" s="366">
        <f t="shared" si="13"/>
        <v>0</v>
      </c>
      <c r="J25" s="366">
        <f t="shared" si="13"/>
        <v>0</v>
      </c>
      <c r="K25" s="366">
        <f t="shared" si="13"/>
        <v>0</v>
      </c>
      <c r="L25" s="366">
        <f t="shared" si="13"/>
        <v>0</v>
      </c>
      <c r="M25" s="366">
        <f t="shared" si="13"/>
        <v>0</v>
      </c>
      <c r="N25" s="366">
        <f t="shared" si="13"/>
        <v>0</v>
      </c>
      <c r="O25" s="364">
        <f t="shared" si="13"/>
        <v>0</v>
      </c>
      <c r="P25" s="456">
        <f t="shared" ref="P25:P44" si="14">SUM(D25:O25)</f>
        <v>0</v>
      </c>
      <c r="Q25" s="1236" t="str">
        <f t="shared" ref="Q25:Q40" si="15">IF(P25=0,"-",P25/C25-1)</f>
        <v>-</v>
      </c>
      <c r="R25" s="353">
        <f>+P25-Mersin!P25-Ankara!P25-Antalya!P25-Konya!P25-Trakya!P25-Kayseri!P25-Diyarbakır!P25-Erzurum!P25-Marmara2!P25-Marmara1!P25-Ege!P25-Malatya!P25-Karadeniz!P25-Şanlıurfa!P25</f>
        <v>0</v>
      </c>
    </row>
    <row r="26" spans="1:22" ht="16.5" customHeight="1">
      <c r="A26" s="368" t="s">
        <v>15</v>
      </c>
      <c r="B26" s="369">
        <f>Kayseri!B26+Karadeniz!B26+Malatya!B26+Şanlıurfa!B26+Ege!B26+Marmara1!B26+Marmara2!B26+Erzurum!B26+Konya!B26+Diyarbakır!B26+Trakya!B26+Antalya!B26+Ankara!B26+Mersin!B26</f>
        <v>0</v>
      </c>
      <c r="C26" s="370">
        <f>Kayseri!C26+Karadeniz!C26+Malatya!C26+Şanlıurfa!C26+Ege!C26+Marmara1!C26+Marmara2!C26+Erzurum!C26+Konya!C26+Diyarbakır!C26+Trakya!C26+Antalya!C26+Ankara!C26+Mersin!C26</f>
        <v>0</v>
      </c>
      <c r="D26" s="371">
        <f>Kayseri!D26+Karadeniz!D26+Malatya!D26+Şanlıurfa!D26+Ege!D26+Marmara1!D26+Marmara2!D26+Erzurum!D26+Konya!D26+Diyarbakır!D26+Trakya!D26+Antalya!D26+Ankara!D26+Mersin!D26</f>
        <v>0</v>
      </c>
      <c r="E26" s="372">
        <f>Kayseri!E26+Karadeniz!E26+Malatya!E26+Şanlıurfa!E26+Ege!E26+Marmara1!E26+Marmara2!E26+Erzurum!E26+Konya!E26+Diyarbakır!E26+Trakya!E26+Antalya!E26+Ankara!E26+Mersin!E26</f>
        <v>0</v>
      </c>
      <c r="F26" s="372">
        <f>Kayseri!F26+Karadeniz!F26+Malatya!F26+Şanlıurfa!F26+Ege!F26+Marmara1!F26+Marmara2!F26+Erzurum!F26+Konya!F26+Diyarbakır!F26+Trakya!F26+Antalya!F26+Ankara!F26+Mersin!F26</f>
        <v>0</v>
      </c>
      <c r="G26" s="372">
        <f>Kayseri!G26+Karadeniz!G26+Malatya!G26+Şanlıurfa!G26+Ege!G26+Marmara1!G26+Marmara2!G26+Erzurum!G26+Konya!G26+Diyarbakır!G26+Trakya!G26+Antalya!G26+Ankara!G26+Mersin!G26</f>
        <v>0</v>
      </c>
      <c r="H26" s="373">
        <f>Kayseri!H26+Karadeniz!H26+Malatya!H26+Şanlıurfa!H26+Ege!H26+Marmara1!H26+Marmara2!H26+Erzurum!H26+Konya!H26+Diyarbakır!H26+Trakya!H26+Antalya!H26+Ankara!H26+Mersin!H26</f>
        <v>0</v>
      </c>
      <c r="I26" s="373">
        <f>Kayseri!I26+Karadeniz!I26+Malatya!I26+Şanlıurfa!I26+Ege!I26+Marmara1!I26+Marmara2!I26+Erzurum!I26+Konya!I26+Diyarbakır!I26+Trakya!I26+Antalya!I26+Ankara!I26+Mersin!I26</f>
        <v>0</v>
      </c>
      <c r="J26" s="373">
        <f>Kayseri!J26+Karadeniz!J26+Malatya!J26+Şanlıurfa!J26+Ege!J26+Marmara1!J26+Marmara2!J26+Erzurum!J26+Konya!J26+Diyarbakır!J26+Trakya!J26+Antalya!J26+Ankara!J26+Mersin!J26</f>
        <v>0</v>
      </c>
      <c r="K26" s="373">
        <f>Kayseri!K26+Karadeniz!K26+Malatya!K26+Şanlıurfa!K26+Ege!K26+Marmara1!K26+Marmara2!K26+Erzurum!K26+Konya!K26+Diyarbakır!K26+Trakya!K26+Antalya!K26+Ankara!K26+Mersin!K26</f>
        <v>0</v>
      </c>
      <c r="L26" s="373">
        <f>Kayseri!L26+Karadeniz!L26+Malatya!L26+Şanlıurfa!L26+Ege!L26+Marmara1!L26+Marmara2!L26+Erzurum!L26+Konya!L26+Diyarbakır!L26+Trakya!L26+Antalya!L26+Ankara!L26+Mersin!L26</f>
        <v>0</v>
      </c>
      <c r="M26" s="373">
        <f>Kayseri!M26+Karadeniz!M26+Malatya!M26+Şanlıurfa!M26+Ege!M26+Marmara1!M26+Marmara2!M26+Erzurum!M26+Konya!M26+Diyarbakır!M26+Trakya!M26+Antalya!M26+Ankara!M26+Mersin!M26</f>
        <v>0</v>
      </c>
      <c r="N26" s="373">
        <f>Kayseri!N26+Karadeniz!N26+Malatya!N26+Şanlıurfa!N26+Ege!N26+Marmara1!N26+Marmara2!N26+Erzurum!N26+Konya!N26+Diyarbakır!N26+Trakya!N26+Antalya!N26+Ankara!N26+Mersin!N26</f>
        <v>0</v>
      </c>
      <c r="O26" s="374">
        <f>Kayseri!O26+Karadeniz!O26+Malatya!O26+Şanlıurfa!O26+Ege!O26+Marmara1!O26+Marmara2!O26+Erzurum!O26+Konya!O26+Diyarbakır!O26+Trakya!O26+Antalya!O26+Ankara!O26+Mersin!O26</f>
        <v>0</v>
      </c>
      <c r="P26" s="1230">
        <f t="shared" si="14"/>
        <v>0</v>
      </c>
      <c r="Q26" s="1237" t="str">
        <f t="shared" si="15"/>
        <v>-</v>
      </c>
      <c r="R26" s="353">
        <f>+P26-Mersin!P26-Ankara!P26-Antalya!P26-Konya!P26-Trakya!P26-Kayseri!P26-Diyarbakır!P26-Erzurum!P26-Marmara2!P26-Marmara1!P26-Ege!P26-Malatya!P26-Karadeniz!P26-Şanlıurfa!P26</f>
        <v>0</v>
      </c>
      <c r="S26" s="639" t="e">
        <f>SUM(P26-P95)/P26</f>
        <v>#DIV/0!</v>
      </c>
      <c r="T26" s="376"/>
      <c r="U26" s="376"/>
      <c r="V26" s="376"/>
    </row>
    <row r="27" spans="1:22" ht="16.5" hidden="1" customHeight="1">
      <c r="A27" s="377" t="s">
        <v>16</v>
      </c>
      <c r="B27" s="378">
        <f>Kayseri!B27+Karadeniz!B27+Malatya!B27+Şanlıurfa!B27+Ege!B27+Marmara1!B27+Marmara2!B27+Erzurum!B27+Konya!B27+Diyarbakır!B27+Trakya!B27+Antalya!B27+Ankara!B27+Mersin!B27</f>
        <v>0</v>
      </c>
      <c r="C27" s="379">
        <f>Kayseri!C27+Karadeniz!C27+Malatya!C27+Şanlıurfa!C27+Ege!C27+Marmara1!C27+Marmara2!C27+Erzurum!C27+Konya!C27+Diyarbakır!C27+Trakya!C27+Antalya!C27+Ankara!C27+Mersin!C27</f>
        <v>0</v>
      </c>
      <c r="D27" s="380">
        <f>Kayseri!D27+Karadeniz!D27+Malatya!D27+Şanlıurfa!D27+Ege!D27+Marmara1!D27+Marmara2!D27+Erzurum!D27+Konya!D27+Diyarbakır!D27+Trakya!D27+Antalya!D27+Ankara!D27+Mersin!D27</f>
        <v>0</v>
      </c>
      <c r="E27" s="381">
        <f>Kayseri!E27+Karadeniz!E27+Malatya!E27+Şanlıurfa!E27+Ege!E27+Marmara1!E27+Marmara2!E27+Erzurum!E27+Konya!E27+Diyarbakır!E27+Trakya!E27+Antalya!E27+Ankara!E27+Mersin!E27</f>
        <v>0</v>
      </c>
      <c r="F27" s="381">
        <f>Kayseri!F27+Karadeniz!F27+Malatya!F27+Şanlıurfa!F27+Ege!F27+Marmara1!F27+Marmara2!F27+Erzurum!F27+Konya!F27+Diyarbakır!F27+Trakya!F27+Antalya!F27+Ankara!F27+Mersin!F27</f>
        <v>0</v>
      </c>
      <c r="G27" s="381">
        <f>Kayseri!G27+Karadeniz!G27+Malatya!G27+Şanlıurfa!G27+Ege!G27+Marmara1!G27+Marmara2!G27+Erzurum!G27+Konya!G27+Diyarbakır!G27+Trakya!G27+Antalya!G27+Ankara!G27+Mersin!G27</f>
        <v>0</v>
      </c>
      <c r="H27" s="382">
        <f>Kayseri!H27+Karadeniz!H27+Malatya!H27+Şanlıurfa!H27+Ege!H27+Marmara1!H27+Marmara2!H27+Erzurum!H27+Konya!H27+Diyarbakır!H27+Trakya!H27+Antalya!H27+Ankara!H27+Mersin!H27</f>
        <v>0</v>
      </c>
      <c r="I27" s="382">
        <f>Kayseri!I27+Karadeniz!I27+Malatya!I27+Şanlıurfa!I27+Ege!I27+Marmara1!I27+Marmara2!I27+Erzurum!I27+Konya!I27+Diyarbakır!I27+Trakya!I27+Antalya!I27+Ankara!I27+Mersin!I27</f>
        <v>0</v>
      </c>
      <c r="J27" s="382">
        <f>Kayseri!J27+Karadeniz!J27+Malatya!J27+Şanlıurfa!J27+Ege!J27+Marmara1!J27+Marmara2!J27+Erzurum!J27+Konya!J27+Diyarbakır!J27+Trakya!J27+Antalya!J27+Ankara!J27+Mersin!J27</f>
        <v>0</v>
      </c>
      <c r="K27" s="382">
        <f>Kayseri!K27+Karadeniz!K27+Malatya!K27+Şanlıurfa!K27+Ege!K27+Marmara1!K27+Marmara2!K27+Erzurum!K27+Konya!K27+Diyarbakır!K27+Trakya!K27+Antalya!K27+Ankara!K27+Mersin!K27</f>
        <v>0</v>
      </c>
      <c r="L27" s="382">
        <f>Kayseri!L27+Karadeniz!L27+Malatya!L27+Şanlıurfa!L27+Ege!L27+Marmara1!L27+Marmara2!L27+Erzurum!L27+Konya!L27+Diyarbakır!L27+Trakya!L27+Antalya!L27+Ankara!L27+Mersin!L27</f>
        <v>0</v>
      </c>
      <c r="M27" s="382">
        <f>Kayseri!M27+Karadeniz!M27+Malatya!M27+Şanlıurfa!M27+Ege!M27+Marmara1!M27+Marmara2!M27+Erzurum!M27+Konya!M27+Diyarbakır!M27+Trakya!M27+Antalya!M27+Ankara!M27+Mersin!M27</f>
        <v>0</v>
      </c>
      <c r="N27" s="382">
        <f>Kayseri!N27+Karadeniz!N27+Malatya!N27+Şanlıurfa!N27+Ege!N27+Marmara1!N27+Marmara2!N27+Erzurum!N27+Konya!N27+Diyarbakır!N27+Trakya!N27+Antalya!N27+Ankara!N27+Mersin!N27</f>
        <v>0</v>
      </c>
      <c r="O27" s="383">
        <f>Kayseri!O27+Karadeniz!O27+Malatya!O27+Şanlıurfa!O27+Ege!O27+Marmara1!O27+Marmara2!O27+Erzurum!O27+Konya!O27+Diyarbakır!O27+Trakya!O27+Antalya!O27+Ankara!O27+Mersin!O27</f>
        <v>0</v>
      </c>
      <c r="P27" s="1231">
        <f t="shared" si="14"/>
        <v>0</v>
      </c>
      <c r="Q27" s="1238" t="str">
        <f t="shared" si="15"/>
        <v>-</v>
      </c>
      <c r="R27" s="353">
        <f>+P27-Mersin!P27-Ankara!P27-Antalya!P27-Konya!P27-Trakya!P27-Kayseri!P27-Diyarbakır!P27-Erzurum!P27-Marmara2!P27-Marmara1!P27-Ege!P27-Malatya!P27-Karadeniz!P27-Şanlıurfa!P27</f>
        <v>0</v>
      </c>
      <c r="S27" s="639" t="e">
        <f t="shared" ref="S27:S33" si="16">SUM(P27-P96)/P27</f>
        <v>#DIV/0!</v>
      </c>
    </row>
    <row r="28" spans="1:22" ht="15" customHeight="1">
      <c r="A28" s="385" t="s">
        <v>27</v>
      </c>
      <c r="B28" s="391">
        <f t="shared" ref="B28:C28" si="17">B26+B27</f>
        <v>0</v>
      </c>
      <c r="C28" s="390">
        <f t="shared" si="17"/>
        <v>0</v>
      </c>
      <c r="D28" s="388">
        <f t="shared" ref="D28:O28" si="18">D26+D27</f>
        <v>0</v>
      </c>
      <c r="E28" s="389">
        <f t="shared" si="18"/>
        <v>0</v>
      </c>
      <c r="F28" s="389">
        <f t="shared" si="18"/>
        <v>0</v>
      </c>
      <c r="G28" s="389">
        <f t="shared" si="18"/>
        <v>0</v>
      </c>
      <c r="H28" s="389">
        <f t="shared" si="18"/>
        <v>0</v>
      </c>
      <c r="I28" s="389">
        <f t="shared" si="18"/>
        <v>0</v>
      </c>
      <c r="J28" s="389">
        <f t="shared" si="18"/>
        <v>0</v>
      </c>
      <c r="K28" s="389">
        <f t="shared" si="18"/>
        <v>0</v>
      </c>
      <c r="L28" s="389">
        <f t="shared" si="18"/>
        <v>0</v>
      </c>
      <c r="M28" s="389">
        <f t="shared" si="18"/>
        <v>0</v>
      </c>
      <c r="N28" s="389">
        <f t="shared" si="18"/>
        <v>0</v>
      </c>
      <c r="O28" s="390">
        <f t="shared" si="18"/>
        <v>0</v>
      </c>
      <c r="P28" s="1158">
        <f t="shared" si="14"/>
        <v>0</v>
      </c>
      <c r="Q28" s="1239" t="str">
        <f t="shared" si="15"/>
        <v>-</v>
      </c>
      <c r="R28" s="353">
        <f>+P28-Mersin!P28-Ankara!P28-Antalya!P28-Konya!P28-Trakya!P28-Kayseri!P28-Diyarbakır!P28-Erzurum!P28-Marmara2!P28-Marmara1!P28-Ege!P28-Malatya!P28-Karadeniz!P28-Şanlıurfa!P28</f>
        <v>0</v>
      </c>
      <c r="S28" s="639"/>
    </row>
    <row r="29" spans="1:22" ht="16.5" customHeight="1">
      <c r="A29" s="393" t="s">
        <v>17</v>
      </c>
      <c r="B29" s="394">
        <f>Kayseri!B29+Karadeniz!B29+Malatya!B29+Şanlıurfa!B29+Ege!B29+Marmara1!B29+Marmara2!B29+Erzurum!B29+Konya!B29+Diyarbakır!B29+Trakya!B29+Antalya!B29+Ankara!B29+Mersin!B29</f>
        <v>0</v>
      </c>
      <c r="C29" s="395">
        <f>Kayseri!C29+Karadeniz!C29+Malatya!C29+Şanlıurfa!C29+Ege!C29+Marmara1!C29+Marmara2!C29+Erzurum!C29+Konya!C29+Diyarbakır!C29+Trakya!C29+Antalya!C29+Ankara!C29+Mersin!C29</f>
        <v>0</v>
      </c>
      <c r="D29" s="396">
        <f>Kayseri!D29+Karadeniz!D29+Malatya!D29+Şanlıurfa!D29+Ege!D29+Marmara1!D29+Marmara2!D29+Erzurum!D29+Konya!D29+Diyarbakır!D29+Trakya!D29+Antalya!D29+Ankara!D29+Mersin!D29</f>
        <v>0</v>
      </c>
      <c r="E29" s="397">
        <f>Kayseri!E29+Karadeniz!E29+Malatya!E29+Şanlıurfa!E29+Ege!E29+Marmara1!E29+Marmara2!E29+Erzurum!E29+Konya!E29+Diyarbakır!E29+Trakya!E29+Antalya!E29+Ankara!E29+Mersin!E29</f>
        <v>0</v>
      </c>
      <c r="F29" s="397">
        <f>Kayseri!F29+Karadeniz!F29+Malatya!F29+Şanlıurfa!F29+Ege!F29+Marmara1!F29+Marmara2!F29+Erzurum!F29+Konya!F29+Diyarbakır!F29+Trakya!F29+Antalya!F29+Ankara!F29+Mersin!F29</f>
        <v>0</v>
      </c>
      <c r="G29" s="397">
        <f>Kayseri!G29+Karadeniz!G29+Malatya!G29+Şanlıurfa!G29+Ege!G29+Marmara1!G29+Marmara2!G29+Erzurum!G29+Konya!G29+Diyarbakır!G29+Trakya!G29+Antalya!G29+Ankara!G29+Mersin!G29</f>
        <v>0</v>
      </c>
      <c r="H29" s="397">
        <f>Kayseri!H29+Karadeniz!H29+Malatya!H29+Şanlıurfa!H29+Ege!H29+Marmara1!H29+Marmara2!H29+Erzurum!H29+Konya!H29+Diyarbakır!H29+Trakya!H29+Antalya!H29+Ankara!H29+Mersin!H29</f>
        <v>0</v>
      </c>
      <c r="I29" s="397">
        <f>Kayseri!I29+Karadeniz!I29+Malatya!I29+Şanlıurfa!I29+Ege!I29+Marmara1!I29+Marmara2!I29+Erzurum!I29+Konya!I29+Diyarbakır!I29+Trakya!I29+Antalya!I29+Ankara!I29+Mersin!I29</f>
        <v>0</v>
      </c>
      <c r="J29" s="397">
        <f>Kayseri!J29+Karadeniz!J29+Malatya!J29+Şanlıurfa!J29+Ege!J29+Marmara1!J29+Marmara2!J29+Erzurum!J29+Konya!J29+Diyarbakır!J29+Trakya!J29+Antalya!J29+Ankara!J29+Mersin!J29</f>
        <v>0</v>
      </c>
      <c r="K29" s="397">
        <f>Kayseri!K29+Karadeniz!K29+Malatya!K29+Şanlıurfa!K29+Ege!K29+Marmara1!K29+Marmara2!K29+Erzurum!K29+Konya!K29+Diyarbakır!K29+Trakya!K29+Antalya!K29+Ankara!K29+Mersin!K29</f>
        <v>0</v>
      </c>
      <c r="L29" s="397">
        <f>Kayseri!L29+Karadeniz!L29+Malatya!L29+Şanlıurfa!L29+Ege!L29+Marmara1!L29+Marmara2!L29+Erzurum!L29+Konya!L29+Diyarbakır!L29+Trakya!L29+Antalya!L29+Ankara!L29+Mersin!L29</f>
        <v>0</v>
      </c>
      <c r="M29" s="397">
        <f>Kayseri!M29+Karadeniz!M29+Malatya!M29+Şanlıurfa!M29+Ege!M29+Marmara1!M29+Marmara2!M29+Erzurum!M29+Konya!M29+Diyarbakır!M29+Trakya!M29+Antalya!M29+Ankara!M29+Mersin!M29</f>
        <v>0</v>
      </c>
      <c r="N29" s="397">
        <f>Kayseri!N29+Karadeniz!N29+Malatya!N29+Şanlıurfa!N29+Ege!N29+Marmara1!N29+Marmara2!N29+Erzurum!N29+Konya!N29+Diyarbakır!N29+Trakya!N29+Antalya!N29+Ankara!N29+Mersin!N29</f>
        <v>0</v>
      </c>
      <c r="O29" s="398">
        <f>Kayseri!O29+Karadeniz!O29+Malatya!O29+Şanlıurfa!O29+Ege!O29+Marmara1!O29+Marmara2!O29+Erzurum!O29+Konya!O29+Diyarbakır!O29+Trakya!O29+Antalya!O29+Ankara!O29+Mersin!O29</f>
        <v>0</v>
      </c>
      <c r="P29" s="1246">
        <f t="shared" si="14"/>
        <v>0</v>
      </c>
      <c r="Q29" s="1238" t="str">
        <f t="shared" si="15"/>
        <v>-</v>
      </c>
      <c r="R29" s="353">
        <f>+P29-Mersin!P29-Ankara!P29-Antalya!P29-Konya!P29-Trakya!P29-Kayseri!P29-Diyarbakır!P29-Erzurum!P29-Marmara2!P29-Marmara1!P29-Ege!P29-Malatya!P29-Karadeniz!P29-Şanlıurfa!P29</f>
        <v>0</v>
      </c>
      <c r="S29" s="639" t="e">
        <f>SUM(P29-P98)/P29</f>
        <v>#DIV/0!</v>
      </c>
    </row>
    <row r="30" spans="1:22" ht="16.5" customHeight="1">
      <c r="A30" s="400" t="s">
        <v>81</v>
      </c>
      <c r="B30" s="386">
        <f>Kayseri!B30+Karadeniz!B30+Malatya!B30+Şanlıurfa!B30+Ege!B30+Marmara1!B30+Marmara2!B30+Erzurum!B30+Konya!B30+Diyarbakır!B30+Trakya!B30+Antalya!B30+Ankara!B30+Mersin!B30</f>
        <v>0</v>
      </c>
      <c r="C30" s="401">
        <f>Kayseri!C30+Karadeniz!C30+Malatya!C30+Şanlıurfa!C30+Ege!C30+Marmara1!C30+Marmara2!C30+Erzurum!C30+Konya!C30+Diyarbakır!C30+Trakya!C30+Antalya!C30+Ankara!C30+Mersin!C30</f>
        <v>0</v>
      </c>
      <c r="D30" s="1563">
        <f>Kayseri!D30+Karadeniz!D30+Malatya!D30+Şanlıurfa!D30+Ege!D30+Marmara1!D30+Marmara2!D30+Erzurum!D30+Konya!D30+Diyarbakır!D30+Trakya!D30+Antalya!D30+Ankara!D30+Mersin!D30</f>
        <v>0</v>
      </c>
      <c r="E30" s="1560">
        <f>Kayseri!E30+Karadeniz!E30+Malatya!E30+Şanlıurfa!E30+Ege!E30+Marmara1!E30+Marmara2!E30+Erzurum!E30+Konya!E30+Diyarbakır!E30+Trakya!E30+Antalya!E30+Ankara!E30+Mersin!E30</f>
        <v>0</v>
      </c>
      <c r="F30" s="1560">
        <f>Kayseri!F30+Karadeniz!F30+Malatya!F30+Şanlıurfa!F30+Ege!F30+Marmara1!F30+Marmara2!F30+Erzurum!F30+Konya!F30+Diyarbakır!F30+Trakya!F30+Antalya!F30+Ankara!F30+Mersin!F30</f>
        <v>0</v>
      </c>
      <c r="G30" s="1560">
        <f>Kayseri!G30+Karadeniz!G30+Malatya!G30+Şanlıurfa!G30+Ege!G30+Marmara1!G30+Marmara2!G30+Erzurum!G30+Konya!G30+Diyarbakır!G30+Trakya!G30+Antalya!G30+Ankara!G30+Mersin!G30</f>
        <v>0</v>
      </c>
      <c r="H30" s="1560">
        <f>Kayseri!H30+Karadeniz!H30+Malatya!H30+Şanlıurfa!H30+Ege!H30+Marmara1!H30+Marmara2!H30+Erzurum!H30+Konya!H30+Diyarbakır!H30+Trakya!H30+Antalya!H30+Ankara!H30+Mersin!H30</f>
        <v>0</v>
      </c>
      <c r="I30" s="1560">
        <f>Kayseri!I30+Karadeniz!I30+Malatya!I30+Şanlıurfa!I30+Ege!I30+Marmara1!I30+Marmara2!I30+Erzurum!I30+Konya!I30+Diyarbakır!I30+Trakya!I30+Antalya!I30+Ankara!I30+Mersin!I30</f>
        <v>0</v>
      </c>
      <c r="J30" s="1560">
        <f>Kayseri!J30+Karadeniz!J30+Malatya!J30+Şanlıurfa!J30+Ege!J30+Marmara1!J30+Marmara2!J30+Erzurum!J30+Konya!J30+Diyarbakır!J30+Trakya!J30+Antalya!J30+Ankara!J30+Mersin!J30</f>
        <v>0</v>
      </c>
      <c r="K30" s="1560">
        <f>Kayseri!K30+Karadeniz!K30+Malatya!K30+Şanlıurfa!K30+Ege!K30+Marmara1!K30+Marmara2!K30+Erzurum!K30+Konya!K30+Diyarbakır!K30+Trakya!K30+Antalya!K30+Ankara!K30+Mersin!K30</f>
        <v>0</v>
      </c>
      <c r="L30" s="1560">
        <f>Kayseri!L30+Karadeniz!L30+Malatya!L30+Şanlıurfa!L30+Ege!L30+Marmara1!L30+Marmara2!L30+Erzurum!L30+Konya!L30+Diyarbakır!L30+Trakya!L30+Antalya!L30+Ankara!L30+Mersin!L30</f>
        <v>0</v>
      </c>
      <c r="M30" s="1560">
        <f>Kayseri!M30+Karadeniz!M30+Malatya!M30+Şanlıurfa!M30+Ege!M30+Marmara1!M30+Marmara2!M30+Erzurum!M30+Konya!M30+Diyarbakır!M30+Trakya!M30+Antalya!M30+Ankara!M30+Mersin!M30</f>
        <v>0</v>
      </c>
      <c r="N30" s="1560">
        <f>Kayseri!N30+Karadeniz!N30+Malatya!N30+Şanlıurfa!N30+Ege!N30+Marmara1!N30+Marmara2!N30+Erzurum!N30+Konya!N30+Diyarbakır!N30+Trakya!N30+Antalya!N30+Ankara!N30+Mersin!N30</f>
        <v>0</v>
      </c>
      <c r="O30" s="387">
        <f>Kayseri!O30+Karadeniz!O30+Malatya!O30+Şanlıurfa!O30+Ege!O30+Marmara1!O30+Marmara2!O30+Erzurum!O30+Konya!O30+Diyarbakır!O30+Trakya!O30+Antalya!O30+Ankara!O30+Mersin!O30</f>
        <v>0</v>
      </c>
      <c r="P30" s="1218">
        <f t="shared" si="14"/>
        <v>0</v>
      </c>
      <c r="Q30" s="1240" t="str">
        <f t="shared" si="15"/>
        <v>-</v>
      </c>
      <c r="R30" s="353">
        <f>+P30-Mersin!P30-Ankara!P30-Antalya!P30-Konya!P30-Trakya!P30-Kayseri!P30-Diyarbakır!P30-Erzurum!P30-Marmara2!P30-Marmara1!P30-Ege!P30-Malatya!P30-Karadeniz!P30-Şanlıurfa!P30</f>
        <v>0</v>
      </c>
      <c r="S30" s="639" t="e">
        <f>SUM(P30-P99)/P30</f>
        <v>#DIV/0!</v>
      </c>
    </row>
    <row r="31" spans="1:22" ht="16.5" hidden="1" customHeight="1">
      <c r="A31" s="406" t="s">
        <v>82</v>
      </c>
      <c r="B31" s="394">
        <f>Kayseri!B31+Karadeniz!B31+Malatya!B31+Şanlıurfa!B31+Ege!B31+Marmara1!B31+Marmara2!B31+Erzurum!B31+Konya!B31+Diyarbakır!B31+Trakya!B31+Antalya!B31+Ankara!B31+Mersin!B31</f>
        <v>0</v>
      </c>
      <c r="C31" s="395">
        <f>Kayseri!C31+Karadeniz!C31+Malatya!C31+Şanlıurfa!C31+Ege!C31+Marmara1!C31+Marmara2!C31+Erzurum!C31+Konya!C31+Diyarbakır!C31+Trakya!C31+Antalya!C31+Ankara!C31+Mersin!C31</f>
        <v>0</v>
      </c>
      <c r="D31" s="396">
        <f>Kayseri!D31+Karadeniz!D31+Malatya!D31+Şanlıurfa!D31+Ege!D31+Marmara1!D31+Marmara2!D31+Erzurum!D31+Konya!D31+Diyarbakır!D31+Trakya!D31+Antalya!D31+Ankara!D31+Mersin!D31</f>
        <v>0</v>
      </c>
      <c r="E31" s="397">
        <f>Kayseri!E31+Karadeniz!E31+Malatya!E31+Şanlıurfa!E31+Ege!E31+Marmara1!E31+Marmara2!E31+Erzurum!E31+Konya!E31+Diyarbakır!E31+Trakya!E31+Antalya!E31+Ankara!E31+Mersin!E31</f>
        <v>0</v>
      </c>
      <c r="F31" s="397">
        <f>Kayseri!F31+Karadeniz!F31+Malatya!F31+Şanlıurfa!F31+Ege!F31+Marmara1!F31+Marmara2!F31+Erzurum!F31+Konya!F31+Diyarbakır!F31+Trakya!F31+Antalya!F31+Ankara!F31+Mersin!F31</f>
        <v>0</v>
      </c>
      <c r="G31" s="397">
        <f>Kayseri!G31+Karadeniz!G31+Malatya!G31+Şanlıurfa!G31+Ege!G31+Marmara1!G31+Marmara2!G31+Erzurum!G31+Konya!G31+Diyarbakır!G31+Trakya!G31+Antalya!G31+Ankara!G31+Mersin!G31</f>
        <v>0</v>
      </c>
      <c r="H31" s="397">
        <f>Kayseri!H31+Karadeniz!H31+Malatya!H31+Şanlıurfa!H31+Ege!H31+Marmara1!H31+Marmara2!H31+Erzurum!H31+Konya!H31+Diyarbakır!H31+Trakya!H31+Antalya!H31+Ankara!H31+Mersin!H31</f>
        <v>0</v>
      </c>
      <c r="I31" s="397">
        <f>Kayseri!I31+Karadeniz!I31+Malatya!I31+Şanlıurfa!I31+Ege!I31+Marmara1!I31+Marmara2!I31+Erzurum!I31+Konya!I31+Diyarbakır!I31+Trakya!I31+Antalya!I31+Ankara!I31+Mersin!I31</f>
        <v>0</v>
      </c>
      <c r="J31" s="397">
        <f>Kayseri!J31+Karadeniz!J31+Malatya!J31+Şanlıurfa!J31+Ege!J31+Marmara1!J31+Marmara2!J31+Erzurum!J31+Konya!J31+Diyarbakır!J31+Trakya!J31+Antalya!J31+Ankara!J31+Mersin!J31</f>
        <v>0</v>
      </c>
      <c r="K31" s="397">
        <f>Kayseri!K31+Karadeniz!K31+Malatya!K31+Şanlıurfa!K31+Ege!K31+Marmara1!K31+Marmara2!K31+Erzurum!K31+Konya!K31+Diyarbakır!K31+Trakya!K31+Antalya!K31+Ankara!K31+Mersin!K31</f>
        <v>0</v>
      </c>
      <c r="L31" s="397">
        <f>Kayseri!L31+Karadeniz!L31+Malatya!L31+Şanlıurfa!L31+Ege!L31+Marmara1!L31+Marmara2!L31+Erzurum!L31+Konya!L31+Diyarbakır!L31+Trakya!L31+Antalya!L31+Ankara!L31+Mersin!L31</f>
        <v>0</v>
      </c>
      <c r="M31" s="397">
        <f>Kayseri!M31+Karadeniz!M31+Malatya!M31+Şanlıurfa!M31+Ege!M31+Marmara1!M31+Marmara2!M31+Erzurum!M31+Konya!M31+Diyarbakır!M31+Trakya!M31+Antalya!M31+Ankara!M31+Mersin!M31</f>
        <v>0</v>
      </c>
      <c r="N31" s="397">
        <f>Kayseri!N31+Karadeniz!N31+Malatya!N31+Şanlıurfa!N31+Ege!N31+Marmara1!N31+Marmara2!N31+Erzurum!N31+Konya!N31+Diyarbakır!N31+Trakya!N31+Antalya!N31+Ankara!N31+Mersin!N31</f>
        <v>0</v>
      </c>
      <c r="O31" s="398">
        <f>Kayseri!O31+Karadeniz!O31+Malatya!O31+Şanlıurfa!O31+Ege!O31+Marmara1!O31+Marmara2!O31+Erzurum!O31+Konya!O31+Diyarbakır!O31+Trakya!O31+Antalya!O31+Ankara!O31+Mersin!O31</f>
        <v>0</v>
      </c>
      <c r="P31" s="1246">
        <f t="shared" si="14"/>
        <v>0</v>
      </c>
      <c r="Q31" s="1238" t="str">
        <f t="shared" si="15"/>
        <v>-</v>
      </c>
      <c r="R31" s="353">
        <f>+P31-Mersin!P31-Ankara!P31-Antalya!P31-Konya!P31-Trakya!P31-Kayseri!P31-Diyarbakır!P31-Erzurum!P31-Marmara2!P31-Marmara1!P31-Ege!P31-Malatya!P31-Karadeniz!P31-Şanlıurfa!P31</f>
        <v>0</v>
      </c>
      <c r="S31" s="639" t="e">
        <f t="shared" si="16"/>
        <v>#DIV/0!</v>
      </c>
    </row>
    <row r="32" spans="1:22" ht="16.5" customHeight="1">
      <c r="A32" s="400" t="s">
        <v>83</v>
      </c>
      <c r="B32" s="408">
        <f>Kayseri!B32+Karadeniz!B32+Malatya!B32+Şanlıurfa!B32+Ege!B32+Marmara1!B32+Marmara2!B32+Erzurum!B32+Konya!B32+Diyarbakır!B32+Trakya!B32+Antalya!B32+Ankara!B32+Mersin!B32</f>
        <v>0</v>
      </c>
      <c r="C32" s="409">
        <f>Kayseri!C32+Karadeniz!C32+Malatya!C32+Şanlıurfa!C32+Ege!C32+Marmara1!C32+Marmara2!C32+Erzurum!C32+Konya!C32+Diyarbakır!C32+Trakya!C32+Antalya!C32+Ankara!C32+Mersin!C32</f>
        <v>0</v>
      </c>
      <c r="D32" s="402">
        <f>Kayseri!D32+Karadeniz!D32+Malatya!D32+Şanlıurfa!D32+Ege!D32+Marmara1!D32+Marmara2!D32+Erzurum!D32+Konya!D32+Diyarbakır!D32+Trakya!D32+Antalya!D32+Ankara!D32+Mersin!D32</f>
        <v>0</v>
      </c>
      <c r="E32" s="403">
        <f>Kayseri!E32+Karadeniz!E32+Malatya!E32+Şanlıurfa!E32+Ege!E32+Marmara1!E32+Marmara2!E32+Erzurum!E32+Konya!E32+Diyarbakır!E32+Trakya!E32+Antalya!E32+Ankara!E32+Mersin!E32</f>
        <v>0</v>
      </c>
      <c r="F32" s="389">
        <f>Kayseri!F32+Karadeniz!F32+Malatya!F32+Şanlıurfa!F32+Ege!F32+Marmara1!F32+Marmara2!F32+Erzurum!F32+Konya!F32+Diyarbakır!F32+Trakya!F32+Antalya!F32+Ankara!F32+Mersin!F32</f>
        <v>0</v>
      </c>
      <c r="G32" s="403">
        <f>Kayseri!G32+Karadeniz!G32+Malatya!G32+Şanlıurfa!G32+Ege!G32+Marmara1!G32+Marmara2!G32+Erzurum!G32+Konya!G32+Diyarbakır!G32+Trakya!G32+Antalya!G32+Ankara!G32+Mersin!G32</f>
        <v>0</v>
      </c>
      <c r="H32" s="403">
        <f>Kayseri!H32+Karadeniz!H32+Malatya!H32+Şanlıurfa!H32+Ege!H32+Marmara1!H32+Marmara2!H32+Erzurum!H32+Konya!H32+Diyarbakır!H32+Trakya!H32+Antalya!H32+Ankara!H32+Mersin!H32</f>
        <v>0</v>
      </c>
      <c r="I32" s="403">
        <f>Kayseri!I32+Karadeniz!I32+Malatya!I32+Şanlıurfa!I32+Ege!I32+Marmara1!I32+Marmara2!I32+Erzurum!I32+Konya!I32+Diyarbakır!I32+Trakya!I32+Antalya!I32+Ankara!I32+Mersin!I32</f>
        <v>0</v>
      </c>
      <c r="J32" s="403">
        <f>Kayseri!J32+Karadeniz!J32+Malatya!J32+Şanlıurfa!J32+Ege!J32+Marmara1!J32+Marmara2!J32+Erzurum!J32+Konya!J32+Diyarbakır!J32+Trakya!J32+Antalya!J32+Ankara!J32+Mersin!J32</f>
        <v>0</v>
      </c>
      <c r="K32" s="403">
        <f>Kayseri!K32+Karadeniz!K32+Malatya!K32+Şanlıurfa!K32+Ege!K32+Marmara1!K32+Marmara2!K32+Erzurum!K32+Konya!K32+Diyarbakır!K32+Trakya!K32+Antalya!K32+Ankara!K32+Mersin!K32</f>
        <v>0</v>
      </c>
      <c r="L32" s="403">
        <f>Kayseri!L32+Karadeniz!L32+Malatya!L32+Şanlıurfa!L32+Ege!L32+Marmara1!L32+Marmara2!L32+Erzurum!L32+Konya!L32+Diyarbakır!L32+Trakya!L32+Antalya!L32+Ankara!L32+Mersin!L32</f>
        <v>0</v>
      </c>
      <c r="M32" s="403">
        <f>Kayseri!M32+Karadeniz!M32+Malatya!M32+Şanlıurfa!M32+Ege!M32+Marmara1!M32+Marmara2!M32+Erzurum!M32+Konya!M32+Diyarbakır!M32+Trakya!M32+Antalya!M32+Ankara!M32+Mersin!M32</f>
        <v>0</v>
      </c>
      <c r="N32" s="403">
        <f>Kayseri!N32+Karadeniz!N32+Malatya!N32+Şanlıurfa!N32+Ege!N32+Marmara1!N32+Marmara2!N32+Erzurum!N32+Konya!N32+Diyarbakır!N32+Trakya!N32+Antalya!N32+Ankara!N32+Mersin!N32</f>
        <v>0</v>
      </c>
      <c r="O32" s="404">
        <f>Kayseri!O32+Karadeniz!O32+Malatya!O32+Şanlıurfa!O32+Ege!O32+Marmara1!O32+Marmara2!O32+Erzurum!O32+Konya!O32+Diyarbakır!O32+Trakya!O32+Antalya!O32+Ankara!O32+Mersin!O32</f>
        <v>0</v>
      </c>
      <c r="P32" s="1218">
        <f t="shared" si="14"/>
        <v>0</v>
      </c>
      <c r="Q32" s="1240" t="str">
        <f t="shared" si="15"/>
        <v>-</v>
      </c>
      <c r="R32" s="353">
        <f>+P32-Mersin!P32-Ankara!P32-Antalya!P32-Konya!P32-Trakya!P32-Kayseri!P32-Diyarbakır!P32-Erzurum!P32-Marmara2!P32-Marmara1!P32-Ege!P32-Malatya!P32-Karadeniz!P32-Şanlıurfa!P32</f>
        <v>0</v>
      </c>
      <c r="S32" s="639" t="e">
        <f>SUM(P32-P101)/P32</f>
        <v>#DIV/0!</v>
      </c>
    </row>
    <row r="33" spans="1:22" ht="16.5" hidden="1" customHeight="1">
      <c r="A33" s="406" t="s">
        <v>84</v>
      </c>
      <c r="B33" s="378">
        <f>Kayseri!B33+Karadeniz!B33+Malatya!B33+Şanlıurfa!B33+Ege!B33+Marmara1!B33+Marmara2!B33+Erzurum!B33+Konya!B33+Diyarbakır!B33+Trakya!B33+Antalya!B33+Ankara!B33+Mersin!B33</f>
        <v>0</v>
      </c>
      <c r="C33" s="379">
        <f>Kayseri!C33+Karadeniz!C33+Malatya!C33+Şanlıurfa!C33+Ege!C33+Marmara1!C33+Marmara2!C33+Erzurum!C33+Konya!C33+Diyarbakır!C33+Trakya!C33+Antalya!C33+Ankara!C33+Mersin!C33</f>
        <v>0</v>
      </c>
      <c r="D33" s="407">
        <f>Kayseri!D33+Karadeniz!D33+Malatya!D33+Şanlıurfa!D33+Ege!D33+Marmara1!D33+Marmara2!D33+Erzurum!D33+Konya!D33+Diyarbakır!D33+Trakya!D33+Antalya!D33+Ankara!D33+Mersin!D33</f>
        <v>0</v>
      </c>
      <c r="E33" s="382">
        <f>Kayseri!E33+Karadeniz!E33+Malatya!E33+Şanlıurfa!E33+Ege!E33+Marmara1!E33+Marmara2!E33+Erzurum!E33+Konya!E33+Diyarbakır!E33+Trakya!E33+Antalya!E33+Ankara!E33+Mersin!E33</f>
        <v>0</v>
      </c>
      <c r="F33" s="382">
        <f>Kayseri!F33+Karadeniz!F33+Malatya!F33+Şanlıurfa!F33+Ege!F33+Marmara1!F33+Marmara2!F33+Erzurum!F33+Konya!F33+Diyarbakır!F33+Trakya!F33+Antalya!F33+Ankara!F33+Mersin!F33</f>
        <v>0</v>
      </c>
      <c r="G33" s="382">
        <f>Kayseri!G33+Karadeniz!G33+Malatya!G33+Şanlıurfa!G33+Ege!G33+Marmara1!G33+Marmara2!G33+Erzurum!G33+Konya!G33+Diyarbakır!G33+Trakya!G33+Antalya!G33+Ankara!G33+Mersin!G33</f>
        <v>0</v>
      </c>
      <c r="H33" s="382">
        <f>Kayseri!H33+Karadeniz!H33+Malatya!H33+Şanlıurfa!H33+Ege!H33+Marmara1!H33+Marmara2!H33+Erzurum!H33+Konya!H33+Diyarbakır!H33+Trakya!H33+Antalya!H33+Ankara!H33+Mersin!H33</f>
        <v>0</v>
      </c>
      <c r="I33" s="381">
        <f>Kayseri!I33+Karadeniz!I33+Malatya!I33+Şanlıurfa!I33+Ege!I33+Marmara1!I33+Marmara2!I33+Erzurum!I33+Konya!I33+Diyarbakır!I33+Trakya!I33+Antalya!I33+Ankara!I33+Mersin!I33</f>
        <v>0</v>
      </c>
      <c r="J33" s="381">
        <f>Kayseri!J33+Karadeniz!J33+Malatya!J33+Şanlıurfa!J33+Ege!J33+Marmara1!J33+Marmara2!J33+Erzurum!J33+Konya!J33+Diyarbakır!J33+Trakya!J33+Antalya!J33+Ankara!J33+Mersin!J33</f>
        <v>0</v>
      </c>
      <c r="K33" s="382">
        <f>Kayseri!K33+Karadeniz!K33+Malatya!K33+Şanlıurfa!K33+Ege!K33+Marmara1!K33+Marmara2!K33+Erzurum!K33+Konya!K33+Diyarbakır!K33+Trakya!K33+Antalya!K33+Ankara!K33+Mersin!K33</f>
        <v>0</v>
      </c>
      <c r="L33" s="382">
        <f>Kayseri!L33+Karadeniz!L33+Malatya!L33+Şanlıurfa!L33+Ege!L33+Marmara1!L33+Marmara2!L33+Erzurum!L33+Konya!L33+Diyarbakır!L33+Trakya!L33+Antalya!L33+Ankara!L33+Mersin!L33</f>
        <v>0</v>
      </c>
      <c r="M33" s="382">
        <f>Kayseri!M33+Karadeniz!M33+Malatya!M33+Şanlıurfa!M33+Ege!M33+Marmara1!M33+Marmara2!M33+Erzurum!M33+Konya!M33+Diyarbakır!M33+Trakya!M33+Antalya!M33+Ankara!M33+Mersin!M33</f>
        <v>0</v>
      </c>
      <c r="N33" s="382">
        <f>Kayseri!N33+Karadeniz!N33+Malatya!N33+Şanlıurfa!N33+Ege!N33+Marmara1!N33+Marmara2!N33+Erzurum!N33+Konya!N33+Diyarbakır!N33+Trakya!N33+Antalya!N33+Ankara!N33+Mersin!N33</f>
        <v>0</v>
      </c>
      <c r="O33" s="383">
        <f>Kayseri!O33+Karadeniz!O33+Malatya!O33+Şanlıurfa!O33+Ege!O33+Marmara1!O33+Marmara2!O33+Erzurum!O33+Konya!O33+Diyarbakır!O33+Trakya!O33+Antalya!O33+Ankara!O33+Mersin!O33</f>
        <v>0</v>
      </c>
      <c r="P33" s="1246">
        <f t="shared" si="14"/>
        <v>0</v>
      </c>
      <c r="Q33" s="1238" t="str">
        <f t="shared" si="15"/>
        <v>-</v>
      </c>
      <c r="R33" s="353">
        <f>+P33-Mersin!P33-Ankara!P33-Antalya!P33-Konya!P33-Trakya!P33-Kayseri!P33-Diyarbakır!P33-Erzurum!P33-Marmara2!P33-Marmara1!P33-Ege!P33-Malatya!P33-Karadeniz!P33-Şanlıurfa!P33</f>
        <v>0</v>
      </c>
      <c r="S33" s="639" t="e">
        <f t="shared" si="16"/>
        <v>#DIV/0!</v>
      </c>
      <c r="T33" s="901"/>
      <c r="U33" s="901"/>
      <c r="V33" s="901"/>
    </row>
    <row r="34" spans="1:22" ht="15" customHeight="1" thickBot="1">
      <c r="A34" s="410" t="s">
        <v>18</v>
      </c>
      <c r="B34" s="411">
        <f t="shared" ref="B34:C34" si="19">SUM(B30:B33)</f>
        <v>0</v>
      </c>
      <c r="C34" s="412">
        <f t="shared" si="19"/>
        <v>0</v>
      </c>
      <c r="D34" s="413">
        <f t="shared" ref="D34:O34" si="20">SUM(D30:D33)</f>
        <v>0</v>
      </c>
      <c r="E34" s="414">
        <f t="shared" si="20"/>
        <v>0</v>
      </c>
      <c r="F34" s="414">
        <f t="shared" si="20"/>
        <v>0</v>
      </c>
      <c r="G34" s="414">
        <f t="shared" si="20"/>
        <v>0</v>
      </c>
      <c r="H34" s="414">
        <f t="shared" si="20"/>
        <v>0</v>
      </c>
      <c r="I34" s="414">
        <f t="shared" si="20"/>
        <v>0</v>
      </c>
      <c r="J34" s="414">
        <f t="shared" si="20"/>
        <v>0</v>
      </c>
      <c r="K34" s="414">
        <f t="shared" si="20"/>
        <v>0</v>
      </c>
      <c r="L34" s="414">
        <f t="shared" si="20"/>
        <v>0</v>
      </c>
      <c r="M34" s="414">
        <f t="shared" si="20"/>
        <v>0</v>
      </c>
      <c r="N34" s="414">
        <f t="shared" si="20"/>
        <v>0</v>
      </c>
      <c r="O34" s="412">
        <f t="shared" si="20"/>
        <v>0</v>
      </c>
      <c r="P34" s="1159">
        <f t="shared" si="14"/>
        <v>0</v>
      </c>
      <c r="Q34" s="1241" t="str">
        <f t="shared" si="15"/>
        <v>-</v>
      </c>
      <c r="R34" s="353">
        <f>+P34-Mersin!P34-Ankara!P34-Antalya!P34-Konya!P34-Trakya!P34-Kayseri!P34-Diyarbakır!P34-Erzurum!P34-Marmara2!P34-Marmara1!P34-Ege!P34-Malatya!P34-Karadeniz!P34-Şanlıurfa!P34</f>
        <v>0</v>
      </c>
      <c r="S34" s="639"/>
    </row>
    <row r="35" spans="1:22" ht="22.5" customHeight="1" thickBot="1">
      <c r="A35" s="362" t="s">
        <v>29</v>
      </c>
      <c r="B35" s="420">
        <f t="shared" ref="B35:C35" si="21">SUM(B36:B37)</f>
        <v>0</v>
      </c>
      <c r="C35" s="416">
        <f t="shared" si="21"/>
        <v>0</v>
      </c>
      <c r="D35" s="417">
        <f t="shared" ref="D35:O35" si="22">SUM(D36:D37)</f>
        <v>0</v>
      </c>
      <c r="E35" s="418">
        <f t="shared" si="22"/>
        <v>0</v>
      </c>
      <c r="F35" s="418">
        <f t="shared" si="22"/>
        <v>0</v>
      </c>
      <c r="G35" s="418">
        <f t="shared" si="22"/>
        <v>0</v>
      </c>
      <c r="H35" s="418">
        <f t="shared" si="22"/>
        <v>0</v>
      </c>
      <c r="I35" s="418">
        <f t="shared" si="22"/>
        <v>0</v>
      </c>
      <c r="J35" s="418">
        <f t="shared" si="22"/>
        <v>0</v>
      </c>
      <c r="K35" s="418">
        <f t="shared" si="22"/>
        <v>0</v>
      </c>
      <c r="L35" s="418">
        <f t="shared" si="22"/>
        <v>0</v>
      </c>
      <c r="M35" s="418">
        <f t="shared" si="22"/>
        <v>0</v>
      </c>
      <c r="N35" s="418">
        <f t="shared" si="22"/>
        <v>0</v>
      </c>
      <c r="O35" s="419">
        <f t="shared" si="22"/>
        <v>0</v>
      </c>
      <c r="P35" s="1232">
        <f t="shared" si="14"/>
        <v>0</v>
      </c>
      <c r="Q35" s="1242" t="str">
        <f t="shared" si="15"/>
        <v>-</v>
      </c>
      <c r="R35" s="353">
        <f>+P35-Mersin!P35-Ankara!P35-Antalya!P35-Konya!P35-Trakya!P35-Kayseri!P35-Diyarbakır!P35-Erzurum!P35-Marmara2!P35-Marmara1!P35-Ege!P35-Malatya!P35-Karadeniz!P35-Şanlıurfa!P35</f>
        <v>0</v>
      </c>
      <c r="S35" s="639"/>
    </row>
    <row r="36" spans="1:22" ht="16.5" customHeight="1">
      <c r="A36" s="422" t="s">
        <v>19</v>
      </c>
      <c r="B36" s="423">
        <f>Kayseri!B36+Karadeniz!B36+Malatya!B36+Şanlıurfa!B36+Ege!B36+Marmara1!B36+Marmara2!B36+Erzurum!B36+Konya!B36+Diyarbakır!B36+Trakya!B36+Antalya!B36+Ankara!B36+Mersin!B36</f>
        <v>0</v>
      </c>
      <c r="C36" s="424">
        <f>Kayseri!C36+Karadeniz!C36+Malatya!C36+Şanlıurfa!C36+Ege!C36+Marmara1!C36+Marmara2!C36+Erzurum!C36+Konya!C36+Diyarbakır!C36+Trakya!C36+Antalya!C36+Ankara!C36+Mersin!C36</f>
        <v>0</v>
      </c>
      <c r="D36" s="425">
        <f>Kayseri!D36+Karadeniz!D36+Malatya!D36+Şanlıurfa!D36+Ege!D36+Marmara1!D36+Marmara2!D36+Erzurum!D36+Konya!D36+Diyarbakır!D36+Trakya!D36+Antalya!D36+Ankara!D36+Mersin!D36</f>
        <v>0</v>
      </c>
      <c r="E36" s="426">
        <f>Kayseri!E36+Karadeniz!E36+Malatya!E36+Şanlıurfa!E36+Ege!E36+Marmara1!E36+Marmara2!E36+Erzurum!E36+Konya!E36+Diyarbakır!E36+Trakya!E36+Antalya!E36+Ankara!E36+Mersin!E36</f>
        <v>0</v>
      </c>
      <c r="F36" s="426">
        <f>Kayseri!F36+Karadeniz!F36+Malatya!F36+Şanlıurfa!F36+Ege!F36+Marmara1!F36+Marmara2!F36+Erzurum!F36+Konya!F36+Diyarbakır!F36+Trakya!F36+Antalya!F36+Ankara!F36+Mersin!F36</f>
        <v>0</v>
      </c>
      <c r="G36" s="426">
        <f>Kayseri!G36+Karadeniz!G36+Malatya!G36+Şanlıurfa!G36+Ege!G36+Marmara1!G36+Marmara2!G36+Erzurum!G36+Konya!G36+Diyarbakır!G36+Trakya!G36+Antalya!G36+Ankara!G36+Mersin!G36</f>
        <v>0</v>
      </c>
      <c r="H36" s="426">
        <f>Kayseri!H36+Karadeniz!H36+Malatya!H36+Şanlıurfa!H36+Ege!H36+Marmara1!H36+Marmara2!H36+Erzurum!H36+Konya!H36+Diyarbakır!H36+Trakya!H36+Antalya!H36+Ankara!H36+Mersin!H36</f>
        <v>0</v>
      </c>
      <c r="I36" s="426">
        <f>Kayseri!I36+Karadeniz!I36+Malatya!I36+Şanlıurfa!I36+Ege!I36+Marmara1!I36+Marmara2!I36+Erzurum!I36+Konya!I36+Diyarbakır!I36+Trakya!I36+Antalya!I36+Ankara!I36+Mersin!I36</f>
        <v>0</v>
      </c>
      <c r="J36" s="426">
        <f>Kayseri!J36+Karadeniz!J36+Malatya!J36+Şanlıurfa!J36+Ege!J36+Marmara1!J36+Marmara2!J36+Erzurum!J36+Konya!J36+Diyarbakır!J36+Trakya!J36+Antalya!J36+Ankara!J36+Mersin!J36</f>
        <v>0</v>
      </c>
      <c r="K36" s="426">
        <f>Kayseri!K36+Karadeniz!K36+Malatya!K36+Şanlıurfa!K36+Ege!K36+Marmara1!K36+Marmara2!K36+Erzurum!K36+Konya!K36+Diyarbakır!K36+Trakya!K36+Antalya!K36+Ankara!K36+Mersin!K36</f>
        <v>0</v>
      </c>
      <c r="L36" s="426">
        <f>Kayseri!L36+Karadeniz!L36+Malatya!L36+Şanlıurfa!L36+Ege!L36+Marmara1!L36+Marmara2!L36+Erzurum!L36+Konya!L36+Diyarbakır!L36+Trakya!L36+Antalya!L36+Ankara!L36+Mersin!L36</f>
        <v>0</v>
      </c>
      <c r="M36" s="426">
        <f>Kayseri!M36+Karadeniz!M36+Malatya!M36+Şanlıurfa!M36+Ege!M36+Marmara1!M36+Marmara2!M36+Erzurum!M36+Konya!M36+Diyarbakır!M36+Trakya!M36+Antalya!M36+Ankara!M36+Mersin!M36</f>
        <v>0</v>
      </c>
      <c r="N36" s="426">
        <f>Kayseri!N36+Karadeniz!N36+Malatya!N36+Şanlıurfa!N36+Ege!N36+Marmara1!N36+Marmara2!N36+Erzurum!N36+Konya!N36+Diyarbakır!N36+Trakya!N36+Antalya!N36+Ankara!N36+Mersin!N36</f>
        <v>0</v>
      </c>
      <c r="O36" s="427">
        <f>Kayseri!O36+Karadeniz!O36+Malatya!O36+Şanlıurfa!O36+Ege!O36+Marmara1!O36+Marmara2!O36+Erzurum!O36+Konya!O36+Diyarbakır!O36+Trakya!O36+Antalya!O36+Ankara!O36+Mersin!O36</f>
        <v>0</v>
      </c>
      <c r="P36" s="1247">
        <f t="shared" si="14"/>
        <v>0</v>
      </c>
      <c r="Q36" s="1243" t="str">
        <f t="shared" si="15"/>
        <v>-</v>
      </c>
      <c r="R36" s="353">
        <f>+P36-Mersin!P36-Ankara!P36-Antalya!P36-Konya!P36-Trakya!P36-Kayseri!P36-Diyarbakır!P36-Erzurum!P36-Marmara2!P36-Marmara1!P36-Ege!P36-Malatya!P36-Karadeniz!P36-Şanlıurfa!P36</f>
        <v>0</v>
      </c>
      <c r="S36" s="639"/>
    </row>
    <row r="37" spans="1:22" ht="16.5" customHeight="1" thickBot="1">
      <c r="A37" s="430" t="s">
        <v>20</v>
      </c>
      <c r="B37" s="431">
        <f>Kayseri!B37+Karadeniz!B37+Malatya!B37+Şanlıurfa!B37+Ege!B37+Marmara1!B37+Marmara2!B37+Erzurum!B37+Konya!B37+Diyarbakır!B37+Trakya!B37+Antalya!B37+Ankara!B37+Mersin!B37</f>
        <v>0</v>
      </c>
      <c r="C37" s="432">
        <f>Kayseri!C37+Karadeniz!C37+Malatya!C37+Şanlıurfa!C37+Ege!C37+Marmara1!C37+Marmara2!C37+Erzurum!C37+Konya!C37+Diyarbakır!C37+Trakya!C37+Antalya!C37+Ankara!C37+Mersin!C37</f>
        <v>0</v>
      </c>
      <c r="D37" s="433">
        <f>Kayseri!D37+Karadeniz!D37+Malatya!D37+Şanlıurfa!D37+Ege!D37+Marmara1!D37+Marmara2!D37+Erzurum!D37+Konya!D37+Diyarbakır!D37+Trakya!D37+Antalya!D37+Ankara!D37+Mersin!D37</f>
        <v>0</v>
      </c>
      <c r="E37" s="434">
        <f>Kayseri!E37+Karadeniz!E37+Malatya!E37+Şanlıurfa!E37+Ege!E37+Marmara1!E37+Marmara2!E37+Erzurum!E37+Konya!E37+Diyarbakır!E37+Trakya!E37+Antalya!E37+Ankara!E37+Mersin!E37</f>
        <v>0</v>
      </c>
      <c r="F37" s="434">
        <f>Kayseri!F37+Karadeniz!F37+Malatya!F37+Şanlıurfa!F37+Ege!F37+Marmara1!F37+Marmara2!F37+Erzurum!F37+Konya!F37+Diyarbakır!F37+Trakya!F37+Antalya!F37+Ankara!F37+Mersin!F37</f>
        <v>0</v>
      </c>
      <c r="G37" s="434">
        <f>Kayseri!G37+Karadeniz!G37+Malatya!G37+Şanlıurfa!G37+Ege!G37+Marmara1!G37+Marmara2!G37+Erzurum!G37+Konya!G37+Diyarbakır!G37+Trakya!G37+Antalya!G37+Ankara!G37+Mersin!G37</f>
        <v>0</v>
      </c>
      <c r="H37" s="434">
        <f>Kayseri!H37+Karadeniz!H37+Malatya!H37+Şanlıurfa!H37+Ege!H37+Marmara1!H37+Marmara2!H37+Erzurum!H37+Konya!H37+Diyarbakır!H37+Trakya!H37+Antalya!H37+Ankara!H37+Mersin!H37</f>
        <v>0</v>
      </c>
      <c r="I37" s="434">
        <f>Kayseri!I37+Karadeniz!I37+Malatya!I37+Şanlıurfa!I37+Ege!I37+Marmara1!I37+Marmara2!I37+Erzurum!I37+Konya!I37+Diyarbakır!I37+Trakya!I37+Antalya!I37+Ankara!I37+Mersin!I37</f>
        <v>0</v>
      </c>
      <c r="J37" s="434">
        <f>Kayseri!J37+Karadeniz!J37+Malatya!J37+Şanlıurfa!J37+Ege!J37+Marmara1!J37+Marmara2!J37+Erzurum!J37+Konya!J37+Diyarbakır!J37+Trakya!J37+Antalya!J37+Ankara!J37+Mersin!J37</f>
        <v>0</v>
      </c>
      <c r="K37" s="434">
        <f>Kayseri!K37+Karadeniz!K37+Malatya!K37+Şanlıurfa!K37+Ege!K37+Marmara1!K37+Marmara2!K37+Erzurum!K37+Konya!K37+Diyarbakır!K37+Trakya!K37+Antalya!K37+Ankara!K37+Mersin!K37</f>
        <v>0</v>
      </c>
      <c r="L37" s="434">
        <f>Kayseri!L37+Karadeniz!L37+Malatya!L37+Şanlıurfa!L37+Ege!L37+Marmara1!L37+Marmara2!L37+Erzurum!L37+Konya!L37+Diyarbakır!L37+Trakya!L37+Antalya!L37+Ankara!L37+Mersin!L37</f>
        <v>0</v>
      </c>
      <c r="M37" s="434">
        <f>Kayseri!M37+Karadeniz!M37+Malatya!M37+Şanlıurfa!M37+Ege!M37+Marmara1!M37+Marmara2!M37+Erzurum!M37+Konya!M37+Diyarbakır!M37+Trakya!M37+Antalya!M37+Ankara!M37+Mersin!M37</f>
        <v>0</v>
      </c>
      <c r="N37" s="434">
        <f>Kayseri!N37+Karadeniz!N37+Malatya!N37+Şanlıurfa!N37+Ege!N37+Marmara1!N37+Marmara2!N37+Erzurum!N37+Konya!N37+Diyarbakır!N37+Trakya!N37+Antalya!N37+Ankara!N37+Mersin!N37</f>
        <v>0</v>
      </c>
      <c r="O37" s="435">
        <f>Kayseri!O37+Karadeniz!O37+Malatya!O37+Şanlıurfa!O37+Ege!O37+Marmara1!O37+Marmara2!O37+Erzurum!O37+Konya!O37+Diyarbakır!O37+Trakya!O37+Antalya!O37+Ankara!O37+Mersin!O37</f>
        <v>0</v>
      </c>
      <c r="P37" s="1220">
        <f t="shared" si="14"/>
        <v>0</v>
      </c>
      <c r="Q37" s="1244" t="str">
        <f t="shared" si="15"/>
        <v>-</v>
      </c>
      <c r="R37" s="353">
        <f>+P37-Mersin!P37-Ankara!P37-Antalya!P37-Konya!P37-Trakya!P37-Kayseri!P37-Diyarbakır!P37-Erzurum!P37-Marmara2!P37-Marmara1!P37-Ege!P37-Malatya!P37-Karadeniz!P37-Şanlıurfa!P37</f>
        <v>0</v>
      </c>
      <c r="S37" s="639" t="e">
        <f>SUM(P37-P106)/P37</f>
        <v>#DIV/0!</v>
      </c>
    </row>
    <row r="38" spans="1:22" ht="22.5" customHeight="1" thickBot="1">
      <c r="A38" s="362" t="s">
        <v>30</v>
      </c>
      <c r="B38" s="363">
        <f t="shared" ref="B38:C38" si="23">SUM(B39:B40)</f>
        <v>0</v>
      </c>
      <c r="C38" s="416">
        <f t="shared" si="23"/>
        <v>0</v>
      </c>
      <c r="D38" s="417">
        <f t="shared" ref="D38:O38" si="24">SUM(D39:D40)</f>
        <v>0</v>
      </c>
      <c r="E38" s="418">
        <f t="shared" si="24"/>
        <v>0</v>
      </c>
      <c r="F38" s="418">
        <f t="shared" si="24"/>
        <v>0</v>
      </c>
      <c r="G38" s="418">
        <f t="shared" si="24"/>
        <v>0</v>
      </c>
      <c r="H38" s="418">
        <f t="shared" si="24"/>
        <v>0</v>
      </c>
      <c r="I38" s="418">
        <f t="shared" si="24"/>
        <v>0</v>
      </c>
      <c r="J38" s="418">
        <f t="shared" si="24"/>
        <v>0</v>
      </c>
      <c r="K38" s="418">
        <f t="shared" si="24"/>
        <v>0</v>
      </c>
      <c r="L38" s="418">
        <f t="shared" si="24"/>
        <v>0</v>
      </c>
      <c r="M38" s="418">
        <f t="shared" si="24"/>
        <v>0</v>
      </c>
      <c r="N38" s="418">
        <f t="shared" si="24"/>
        <v>0</v>
      </c>
      <c r="O38" s="419">
        <f t="shared" si="24"/>
        <v>0</v>
      </c>
      <c r="P38" s="1232">
        <f t="shared" si="14"/>
        <v>0</v>
      </c>
      <c r="Q38" s="1242" t="str">
        <f t="shared" si="15"/>
        <v>-</v>
      </c>
      <c r="R38" s="353">
        <f>+P38-Mersin!P38-Ankara!P38-Antalya!P38-Konya!P38-Trakya!P38-Kayseri!P38-Diyarbakır!P38-Erzurum!P38-Marmara2!P38-Marmara1!P38-Ege!P38-Malatya!P38-Karadeniz!P38-Şanlıurfa!P38</f>
        <v>0</v>
      </c>
      <c r="S38" s="639"/>
    </row>
    <row r="39" spans="1:22" ht="16.5" customHeight="1">
      <c r="A39" s="422" t="s">
        <v>106</v>
      </c>
      <c r="B39" s="423">
        <f>Kayseri!B39+Karadeniz!B39+Malatya!B39+Şanlıurfa!B39+Ege!B39+Marmara1!B39+Marmara2!B39+Erzurum!B39+Konya!B39+Diyarbakır!B39+Trakya!B39+Antalya!B39+Ankara!B39+Mersin!B39</f>
        <v>0</v>
      </c>
      <c r="C39" s="424">
        <f>Kayseri!C39+Karadeniz!C39+Malatya!C39+Şanlıurfa!C39+Ege!C39+Marmara1!C39+Marmara2!C39+Erzurum!C39+Konya!C39+Diyarbakır!C39+Trakya!C39+Antalya!C39+Ankara!C39+Mersin!C39</f>
        <v>0</v>
      </c>
      <c r="D39" s="425">
        <f>Kayseri!D39+Karadeniz!D39+Malatya!D39+Şanlıurfa!D39+Ege!D39+Marmara1!D39+Marmara2!D39+Erzurum!D39+Konya!D39+Diyarbakır!D39+Trakya!D39+Antalya!D39+Ankara!D39+Mersin!D39</f>
        <v>0</v>
      </c>
      <c r="E39" s="426">
        <f>Kayseri!E39+Karadeniz!E39+Malatya!E39+Şanlıurfa!E39+Ege!E39+Marmara1!E39+Marmara2!E39+Erzurum!E39+Konya!E39+Diyarbakır!E39+Trakya!E39+Antalya!E39+Ankara!E39+Mersin!E39</f>
        <v>0</v>
      </c>
      <c r="F39" s="426">
        <f>Kayseri!F39+Karadeniz!F39+Malatya!F39+Şanlıurfa!F39+Ege!F39+Marmara1!F39+Marmara2!F39+Erzurum!F39+Konya!F39+Diyarbakır!F39+Trakya!F39+Antalya!F39+Ankara!F39+Mersin!F39</f>
        <v>0</v>
      </c>
      <c r="G39" s="426">
        <f>Kayseri!G39+Karadeniz!G39+Malatya!G39+Şanlıurfa!G39+Ege!G39+Marmara1!G39+Marmara2!G39+Erzurum!G39+Konya!G39+Diyarbakır!G39+Trakya!G39+Antalya!G39+Ankara!G39+Mersin!G39</f>
        <v>0</v>
      </c>
      <c r="H39" s="426">
        <f>Kayseri!H39+Karadeniz!H39+Malatya!H39+Şanlıurfa!H39+Ege!H39+Marmara1!H39+Marmara2!H39+Erzurum!H39+Konya!H39+Diyarbakır!H39+Trakya!H39+Antalya!H39+Ankara!H39+Mersin!H39</f>
        <v>0</v>
      </c>
      <c r="I39" s="426">
        <f>Kayseri!I39+Karadeniz!I39+Malatya!I39+Şanlıurfa!I39+Ege!I39+Marmara1!I39+Marmara2!I39+Erzurum!I39+Konya!I39+Diyarbakır!I39+Trakya!I39+Antalya!I39+Ankara!I39+Mersin!I39</f>
        <v>0</v>
      </c>
      <c r="J39" s="426">
        <f>Kayseri!J39+Karadeniz!J39+Malatya!J39+Şanlıurfa!J39+Ege!J39+Marmara1!J39+Marmara2!J39+Erzurum!J39+Konya!J39+Diyarbakır!J39+Trakya!J39+Antalya!J39+Ankara!J39+Mersin!J39</f>
        <v>0</v>
      </c>
      <c r="K39" s="426">
        <f>Kayseri!K39+Karadeniz!K39+Malatya!K39+Şanlıurfa!K39+Ege!K39+Marmara1!K39+Marmara2!K39+Erzurum!K39+Konya!K39+Diyarbakır!K39+Trakya!K39+Antalya!K39+Ankara!K39+Mersin!K39</f>
        <v>0</v>
      </c>
      <c r="L39" s="426">
        <f>Kayseri!L39+Karadeniz!L39+Malatya!L39+Şanlıurfa!L39+Ege!L39+Marmara1!L39+Marmara2!L39+Erzurum!L39+Konya!L39+Diyarbakır!L39+Trakya!L39+Antalya!L39+Ankara!L39+Mersin!L39</f>
        <v>0</v>
      </c>
      <c r="M39" s="426">
        <f>Kayseri!M39+Karadeniz!M39+Malatya!M39+Şanlıurfa!M39+Ege!M39+Marmara1!M39+Marmara2!M39+Erzurum!M39+Konya!M39+Diyarbakır!M39+Trakya!M39+Antalya!M39+Ankara!M39+Mersin!M39</f>
        <v>0</v>
      </c>
      <c r="N39" s="426">
        <f>Kayseri!N39+Karadeniz!N39+Malatya!N39+Şanlıurfa!N39+Ege!N39+Marmara1!N39+Marmara2!N39+Erzurum!N39+Konya!N39+Diyarbakır!N39+Trakya!N39+Antalya!N39+Ankara!N39+Mersin!N39</f>
        <v>0</v>
      </c>
      <c r="O39" s="427">
        <f>Kayseri!O39+Karadeniz!O39+Malatya!O39+Şanlıurfa!O39+Ege!O39+Marmara1!O39+Marmara2!O39+Erzurum!O39+Konya!O39+Diyarbakır!O39+Trakya!O39+Antalya!O39+Ankara!O39+Mersin!O39</f>
        <v>0</v>
      </c>
      <c r="P39" s="1247">
        <f t="shared" si="14"/>
        <v>0</v>
      </c>
      <c r="Q39" s="1243" t="str">
        <f t="shared" si="15"/>
        <v>-</v>
      </c>
      <c r="R39" s="353">
        <f>+P39-Mersin!P39-Ankara!P39-Antalya!P39-Konya!P39-Trakya!P39-Kayseri!P39-Diyarbakır!P39-Erzurum!P39-Marmara2!P39-Marmara1!P39-Ege!P39-Malatya!P39-Karadeniz!P39-Şanlıurfa!P39</f>
        <v>0</v>
      </c>
      <c r="S39" s="639" t="e">
        <f>SUM(P39-P108)/P39</f>
        <v>#DIV/0!</v>
      </c>
    </row>
    <row r="40" spans="1:22" ht="16.5" customHeight="1" thickBot="1">
      <c r="A40" s="438" t="s">
        <v>105</v>
      </c>
      <c r="B40" s="439">
        <f>Kayseri!B40+Karadeniz!B40+Malatya!B40+Şanlıurfa!B40+Ege!B40+Marmara1!B40+Marmara2!B40+Erzurum!B40+Konya!B40+Diyarbakır!B40+Trakya!B40+Antalya!B40+Ankara!B40+Mersin!B40</f>
        <v>0</v>
      </c>
      <c r="C40" s="440">
        <f>Kayseri!C40+Karadeniz!C40+Malatya!C40+Şanlıurfa!C40+Ege!C40+Marmara1!C40+Marmara2!C40+Erzurum!C40+Konya!C40+Diyarbakır!C40+Trakya!C40+Antalya!C40+Ankara!C40+Mersin!C40</f>
        <v>0</v>
      </c>
      <c r="D40" s="441">
        <f>Kayseri!D40+Karadeniz!D40+Malatya!D40+Şanlıurfa!D40+Ege!D40+Marmara1!D40+Marmara2!D40+Erzurum!D40+Konya!D40+Diyarbakır!D40+Trakya!D40+Antalya!D40+Ankara!D40+Mersin!D40</f>
        <v>0</v>
      </c>
      <c r="E40" s="442">
        <f>Kayseri!E40+Karadeniz!E40+Malatya!E40+Şanlıurfa!E40+Ege!E40+Marmara1!E40+Marmara2!E40+Erzurum!E40+Konya!E40+Diyarbakır!E40+Trakya!E40+Antalya!E40+Ankara!E40+Mersin!E40</f>
        <v>0</v>
      </c>
      <c r="F40" s="442">
        <f>Kayseri!F40+Karadeniz!F40+Malatya!F40+Şanlıurfa!F40+Ege!F40+Marmara1!F40+Marmara2!F40+Erzurum!F40+Konya!F40+Diyarbakır!F40+Trakya!F40+Antalya!F40+Ankara!F40+Mersin!F40</f>
        <v>0</v>
      </c>
      <c r="G40" s="442">
        <f>Kayseri!G40+Karadeniz!G40+Malatya!G40+Şanlıurfa!G40+Ege!G40+Marmara1!G40+Marmara2!G40+Erzurum!G40+Konya!G40+Diyarbakır!G40+Trakya!G40+Antalya!G40+Ankara!G40+Mersin!G40</f>
        <v>0</v>
      </c>
      <c r="H40" s="442">
        <f>Kayseri!H40+Karadeniz!H40+Malatya!H40+Şanlıurfa!H40+Ege!H40+Marmara1!H40+Marmara2!H40+Erzurum!H40+Konya!H40+Diyarbakır!H40+Trakya!H40+Antalya!H40+Ankara!H40+Mersin!H40</f>
        <v>0</v>
      </c>
      <c r="I40" s="442">
        <f>Kayseri!I40+Karadeniz!I40+Malatya!I40+Şanlıurfa!I40+Ege!I40+Marmara1!I40+Marmara2!I40+Erzurum!I40+Konya!I40+Diyarbakır!I40+Trakya!I40+Antalya!I40+Ankara!I40+Mersin!I40</f>
        <v>0</v>
      </c>
      <c r="J40" s="442">
        <f>Kayseri!J40+Karadeniz!J40+Malatya!J40+Şanlıurfa!J40+Ege!J40+Marmara1!J40+Marmara2!J40+Erzurum!J40+Konya!J40+Diyarbakır!J40+Trakya!J40+Antalya!J40+Ankara!J40+Mersin!J40</f>
        <v>0</v>
      </c>
      <c r="K40" s="442">
        <f>Kayseri!K40+Karadeniz!K40+Malatya!K40+Şanlıurfa!K40+Ege!K40+Marmara1!K40+Marmara2!K40+Erzurum!K40+Konya!K40+Diyarbakır!K40+Trakya!K40+Antalya!K40+Ankara!K40+Mersin!K40</f>
        <v>0</v>
      </c>
      <c r="L40" s="442">
        <f>Kayseri!L40+Karadeniz!L40+Malatya!L40+Şanlıurfa!L40+Ege!L40+Marmara1!L40+Marmara2!L40+Erzurum!L40+Konya!L40+Diyarbakır!L40+Trakya!L40+Antalya!L40+Ankara!L40+Mersin!L40</f>
        <v>0</v>
      </c>
      <c r="M40" s="442">
        <f>Kayseri!M40+Karadeniz!M40+Malatya!M40+Şanlıurfa!M40+Ege!M40+Marmara1!M40+Marmara2!M40+Erzurum!M40+Konya!M40+Diyarbakır!M40+Trakya!M40+Antalya!M40+Ankara!M40+Mersin!M40</f>
        <v>0</v>
      </c>
      <c r="N40" s="442">
        <f>Kayseri!N40+Karadeniz!N40+Malatya!N40+Şanlıurfa!N40+Ege!N40+Marmara1!N40+Marmara2!N40+Erzurum!N40+Konya!N40+Diyarbakır!N40+Trakya!N40+Antalya!N40+Ankara!N40+Mersin!N40</f>
        <v>0</v>
      </c>
      <c r="O40" s="443">
        <f>Kayseri!O40+Karadeniz!O40+Malatya!O40+Şanlıurfa!O40+Ege!O40+Marmara1!O40+Marmara2!O40+Erzurum!O40+Konya!O40+Diyarbakır!O40+Trakya!O40+Antalya!O40+Ankara!O40+Mersin!O40</f>
        <v>0</v>
      </c>
      <c r="P40" s="1248">
        <f t="shared" si="14"/>
        <v>0</v>
      </c>
      <c r="Q40" s="1245" t="str">
        <f t="shared" si="15"/>
        <v>-</v>
      </c>
      <c r="R40" s="353">
        <f>+P40-Mersin!P40-Ankara!P40-Antalya!P40-Konya!P40-Trakya!P40-Kayseri!P40-Diyarbakır!P40-Erzurum!P40-Marmara2!P40-Marmara1!P40-Ege!P40-Malatya!P40-Karadeniz!P40-Şanlıurfa!P40</f>
        <v>0</v>
      </c>
      <c r="S40" s="639" t="e">
        <f>SUM(P40-P109)/P40</f>
        <v>#DIV/0!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  <c r="R41" s="353">
        <f>+P41-Mersin!P41-Ankara!P41-Antalya!P41-Konya!P41-Trakya!P41-Kayseri!P41-Diyarbakır!P41-Erzurum!P41-Marmara2!P41-Marmara1!P41-Ege!P41-Malatya!P41-Karadeniz!P41-Şanlıurfa!P41</f>
        <v>0</v>
      </c>
      <c r="S41" s="376"/>
    </row>
    <row r="42" spans="1:22" ht="22.5" customHeight="1" thickBot="1">
      <c r="A42" s="362" t="s">
        <v>86</v>
      </c>
      <c r="B42" s="363">
        <f>Kayseri!B42+Karadeniz!B42+Malatya!B42+Şanlıurfa!B42+Ege!B42+Marmara1!B42+Marmara2!B42+Erzurum!B42+Konya!B42+Diyarbakır!B42+Trakya!B42+Antalya!B42+Ankara!B42+Mersin!B42</f>
        <v>0</v>
      </c>
      <c r="C42" s="364">
        <f>Kayseri!C42+Karadeniz!C42+Malatya!C42+Şanlıurfa!C42+Ege!C42+Marmara1!C42+Marmara2!C42+Erzurum!C42+Konya!C42+Diyarbakır!C42+Trakya!C42+Antalya!C42+Ankara!C42+Mersin!C42</f>
        <v>0</v>
      </c>
      <c r="D42" s="365">
        <f>Kayseri!D42+Karadeniz!D42+Malatya!D42+Şanlıurfa!D42+Ege!D42+Marmara1!D42+Marmara2!D42+Erzurum!D42+Konya!D42+Diyarbakır!D42+Trakya!D42+Antalya!D42+Ankara!D42+Mersin!D42</f>
        <v>0</v>
      </c>
      <c r="E42" s="366">
        <f>Kayseri!E42+Karadeniz!E42+Malatya!E42+Şanlıurfa!E42+Ege!E42+Marmara1!E42+Marmara2!E42+Erzurum!E42+Konya!E42+Diyarbakır!E42+Trakya!E42+Antalya!E42+Ankara!E42+Mersin!E42</f>
        <v>0</v>
      </c>
      <c r="F42" s="366">
        <f>Kayseri!F42+Karadeniz!F42+Malatya!F42+Şanlıurfa!F42+Ege!F42+Marmara1!F42+Marmara2!F42+Erzurum!F42+Konya!F42+Diyarbakır!F42+Trakya!F42+Antalya!F42+Ankara!F42+Mersin!F42</f>
        <v>0</v>
      </c>
      <c r="G42" s="366">
        <f>Kayseri!G42+Karadeniz!G42+Malatya!G42+Şanlıurfa!G42+Ege!G42+Marmara1!G42+Marmara2!G42+Erzurum!G42+Konya!G42+Diyarbakır!G42+Trakya!G42+Antalya!G42+Ankara!G42+Mersin!G42</f>
        <v>0</v>
      </c>
      <c r="H42" s="366">
        <f>Kayseri!H42+Karadeniz!H42+Malatya!H42+Şanlıurfa!H42+Ege!H42+Marmara1!H42+Marmara2!H42+Erzurum!H42+Konya!H42+Diyarbakır!H42+Trakya!H42+Antalya!H42+Ankara!H42+Mersin!H42</f>
        <v>0</v>
      </c>
      <c r="I42" s="366">
        <f>Kayseri!I42+Karadeniz!I42+Malatya!I42+Şanlıurfa!I42+Ege!I42+Marmara1!I42+Marmara2!I42+Erzurum!I42+Konya!I42+Diyarbakır!I42+Trakya!I42+Antalya!I42+Ankara!I42+Mersin!I42</f>
        <v>0</v>
      </c>
      <c r="J42" s="366">
        <f>Kayseri!J42+Karadeniz!J42+Malatya!J42+Şanlıurfa!J42+Ege!J42+Marmara1!J42+Marmara2!J42+Erzurum!J42+Konya!J42+Diyarbakır!J42+Trakya!J42+Antalya!J42+Ankara!J42+Mersin!J42</f>
        <v>0</v>
      </c>
      <c r="K42" s="366">
        <f>Kayseri!K42+Karadeniz!K42+Malatya!K42+Şanlıurfa!K42+Ege!K42+Marmara1!K42+Marmara2!K42+Erzurum!K42+Konya!K42+Diyarbakır!K42+Trakya!K42+Antalya!K42+Ankara!K42+Mersin!K42</f>
        <v>0</v>
      </c>
      <c r="L42" s="366">
        <f>Kayseri!L42+Karadeniz!L42+Malatya!L42+Şanlıurfa!L42+Ege!L42+Marmara1!L42+Marmara2!L42+Erzurum!L42+Konya!L42+Diyarbakır!L42+Trakya!L42+Antalya!L42+Ankara!L42+Mersin!L42</f>
        <v>0</v>
      </c>
      <c r="M42" s="366">
        <f>Kayseri!M42+Karadeniz!M42+Malatya!M42+Şanlıurfa!M42+Ege!M42+Marmara1!M42+Marmara2!M42+Erzurum!M42+Konya!M42+Diyarbakır!M42+Trakya!M42+Antalya!M42+Ankara!M42+Mersin!M42</f>
        <v>0</v>
      </c>
      <c r="N42" s="366">
        <f>Kayseri!N42+Karadeniz!N42+Malatya!N42+Şanlıurfa!N42+Ege!N42+Marmara1!N42+Marmara2!N42+Erzurum!N42+Konya!N42+Diyarbakır!N42+Trakya!N42+Antalya!N42+Ankara!N42+Mersin!N42</f>
        <v>0</v>
      </c>
      <c r="O42" s="448">
        <f>Kayseri!O42+Karadeniz!O42+Malatya!O42+Şanlıurfa!O42+Ege!O42+Marmara1!O42+Marmara2!O42+Erzurum!O42+Konya!O42+Diyarbakır!O42+Trakya!O42+Antalya!O42+Ankara!O42+Mersin!O42</f>
        <v>0</v>
      </c>
      <c r="P42" s="1249">
        <f t="shared" si="14"/>
        <v>0</v>
      </c>
      <c r="Q42" s="1250" t="str">
        <f>IF(P42=0,"-",P42/C42-1)</f>
        <v>-</v>
      </c>
      <c r="R42" s="353">
        <f>+P42-Mersin!P42-Ankara!P42-Antalya!P42-Konya!P42-Trakya!P42-Kayseri!P42-Diyarbakır!P42-Erzurum!P42-Marmara2!P42-Marmara1!P42-Ege!P42-Malatya!P42-Karadeniz!P42-Şanlıurfa!P42</f>
        <v>0</v>
      </c>
      <c r="S42" s="376"/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4"/>
        <v>0</v>
      </c>
      <c r="Q43" s="453"/>
      <c r="R43" s="353">
        <f>+P43-Mersin!P43-Ankara!P43-Antalya!P43-Konya!P43-Trakya!P43-Kayseri!P43-Diyarbakır!P43-Erzurum!P43-Marmara2!P43-Marmara1!P43-Ege!P43-Malatya!P43-Karadeniz!P43-Şanlıurfa!P43</f>
        <v>0</v>
      </c>
    </row>
    <row r="44" spans="1:22" s="454" customFormat="1" ht="23.25" customHeight="1" thickBot="1">
      <c r="A44" s="362" t="s">
        <v>31</v>
      </c>
      <c r="B44" s="363">
        <f t="shared" ref="B44:C44" si="25">+B25+B35+B38+B42</f>
        <v>0</v>
      </c>
      <c r="C44" s="364">
        <f t="shared" si="25"/>
        <v>0</v>
      </c>
      <c r="D44" s="365">
        <f t="shared" ref="D44:O44" si="26">+D25+D35+D38+D42</f>
        <v>0</v>
      </c>
      <c r="E44" s="366">
        <f t="shared" si="26"/>
        <v>0</v>
      </c>
      <c r="F44" s="366">
        <f t="shared" si="26"/>
        <v>0</v>
      </c>
      <c r="G44" s="366">
        <f>+G25+G35+G38+G42</f>
        <v>0</v>
      </c>
      <c r="H44" s="366">
        <f t="shared" si="26"/>
        <v>0</v>
      </c>
      <c r="I44" s="366">
        <f t="shared" si="26"/>
        <v>0</v>
      </c>
      <c r="J44" s="366">
        <f t="shared" si="26"/>
        <v>0</v>
      </c>
      <c r="K44" s="366">
        <f t="shared" si="26"/>
        <v>0</v>
      </c>
      <c r="L44" s="366">
        <f t="shared" si="26"/>
        <v>0</v>
      </c>
      <c r="M44" s="366">
        <f t="shared" si="26"/>
        <v>0</v>
      </c>
      <c r="N44" s="366">
        <f t="shared" si="26"/>
        <v>0</v>
      </c>
      <c r="O44" s="364">
        <f t="shared" si="26"/>
        <v>0</v>
      </c>
      <c r="P44" s="456">
        <f t="shared" si="14"/>
        <v>0</v>
      </c>
      <c r="Q44" s="1236" t="str">
        <f>IF(P44=0,"-",P44/C44-1)</f>
        <v>-</v>
      </c>
      <c r="R44" s="353">
        <f>+P44-Mersin!P44-Ankara!P44-Antalya!P44-Konya!P44-Trakya!P44-Kayseri!P44-Diyarbakır!P44-Erzurum!P44-Marmara2!P44-Marmara1!P44-Ege!P44-Malatya!P44-Karadeniz!P44-Şanlıurfa!P44</f>
        <v>0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  <c r="R45" s="353">
        <f>+P45-Mersin!P45-Ankara!P45-Antalya!P45-Konya!P45-Trakya!P45-Kayseri!P45-Diyarbakır!P45-Erzurum!P45-Marmara2!P45-Marmara1!P45-Ege!P45-Malatya!P45-Karadeniz!P45-Şanlıurfa!P45</f>
        <v>0</v>
      </c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  <c r="R46" s="353">
        <f>+P46-Mersin!P46-Ankara!P46-Antalya!P46-Konya!P46-Trakya!P46-Kayseri!P46-Diyarbakır!P46-Erzurum!P46-Marmara2!P46-Marmara1!P46-Ege!P46-Malatya!P46-Karadeniz!P46-Şanlıurfa!P46</f>
        <v>0</v>
      </c>
    </row>
    <row r="47" spans="1:22" ht="30.75" customHeight="1" thickBot="1">
      <c r="A47" s="356"/>
      <c r="B47" s="357" t="s">
        <v>704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R47" s="353"/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7">C51+C52+C57</f>
        <v>0</v>
      </c>
      <c r="D48" s="365">
        <f>D51+D52+D57</f>
        <v>0</v>
      </c>
      <c r="E48" s="366">
        <f t="shared" ref="E48:O48" si="28">E51+E52+E57</f>
        <v>0</v>
      </c>
      <c r="F48" s="366">
        <f t="shared" si="28"/>
        <v>0</v>
      </c>
      <c r="G48" s="366">
        <f t="shared" si="28"/>
        <v>0</v>
      </c>
      <c r="H48" s="366">
        <f t="shared" si="28"/>
        <v>0</v>
      </c>
      <c r="I48" s="366">
        <f t="shared" si="28"/>
        <v>0</v>
      </c>
      <c r="J48" s="366">
        <f t="shared" si="28"/>
        <v>0</v>
      </c>
      <c r="K48" s="366">
        <f t="shared" si="28"/>
        <v>0</v>
      </c>
      <c r="L48" s="366">
        <f t="shared" si="28"/>
        <v>0</v>
      </c>
      <c r="M48" s="366">
        <f t="shared" si="28"/>
        <v>0</v>
      </c>
      <c r="N48" s="366">
        <f t="shared" si="28"/>
        <v>0</v>
      </c>
      <c r="O48" s="364">
        <f t="shared" si="28"/>
        <v>0</v>
      </c>
      <c r="P48" s="456">
        <f t="shared" ref="P48:P66" si="29">SUM(D48:O48)</f>
        <v>0</v>
      </c>
      <c r="Q48" s="1236" t="str">
        <f t="shared" ref="Q48:Q63" si="30">IF(P48=0,"-",P48/C48-1)</f>
        <v>-</v>
      </c>
      <c r="R48" s="353">
        <f>+P48-Mersin!P48-Ankara!P48-Antalya!P48-Konya!P48-Trakya!P48-Kayseri!P48-Diyarbakır!P48-Erzurum!P48-Marmara2!P48-Marmara1!P48-Ege!P48-Malatya!P48-Karadeniz!P48-Şanlıurfa!P48</f>
        <v>0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>
        <f>Kayseri!B49+Karadeniz!B49+Malatya!B49+Şanlıurfa!B49+Ege!B49+Marmara1!B49+Marmara2!B49+Erzurum!B49+Konya!B49+Diyarbakır!B49+Trakya!B49+Antalya!B49+Ankara!B49+Mersin!B49</f>
        <v>0</v>
      </c>
      <c r="C49" s="370">
        <f>Kayseri!C49+Karadeniz!C49+Malatya!C49+Şanlıurfa!C49+Ege!C49+Marmara1!C49+Marmara2!C49+Erzurum!C49+Konya!C49+Diyarbakır!C49+Trakya!C49+Antalya!C49+Ankara!C49+Mersin!C49</f>
        <v>0</v>
      </c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31">+$T$49*H26</f>
        <v>0</v>
      </c>
      <c r="I49" s="373">
        <f>+$T$49*I26</f>
        <v>0</v>
      </c>
      <c r="J49" s="373">
        <f>+$U$49*J26</f>
        <v>0</v>
      </c>
      <c r="K49" s="373">
        <f t="shared" ref="K49" si="32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1230">
        <f t="shared" si="29"/>
        <v>0</v>
      </c>
      <c r="Q49" s="1237" t="str">
        <f t="shared" si="30"/>
        <v>-</v>
      </c>
      <c r="R49" s="353">
        <f>+P49-Mersin!P49-Ankara!P49-Antalya!P49-Konya!P49-Trakya!P49-Kayseri!P49-Diyarbakır!P49-Erzurum!P49-Marmara2!P49-Marmara1!P49-Ege!P49-Malatya!P49-Karadeniz!P49-Şanlıurfa!P49</f>
        <v>0</v>
      </c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>
        <f>+$S$50*B27</f>
        <v>0</v>
      </c>
      <c r="C50" s="379">
        <f>Kayseri!C50+Karadeniz!C50+Malatya!C50+Şanlıurfa!C50+Ege!C50+Marmara1!C50+Marmara2!C50+Erzurum!C50+Konya!C50+Diyarbakır!C50+Trakya!C50+Antalya!C50+Ankara!C50+Mersin!C50</f>
        <v>0</v>
      </c>
      <c r="D50" s="380">
        <f>+$S$50*D27</f>
        <v>0</v>
      </c>
      <c r="E50" s="382">
        <f t="shared" ref="E50:O50" si="33">+$S$50*E27</f>
        <v>0</v>
      </c>
      <c r="F50" s="382">
        <f t="shared" si="33"/>
        <v>0</v>
      </c>
      <c r="G50" s="382">
        <f t="shared" si="33"/>
        <v>0</v>
      </c>
      <c r="H50" s="382">
        <f t="shared" si="33"/>
        <v>0</v>
      </c>
      <c r="I50" s="382">
        <f t="shared" si="33"/>
        <v>0</v>
      </c>
      <c r="J50" s="382">
        <f t="shared" si="33"/>
        <v>0</v>
      </c>
      <c r="K50" s="382">
        <f t="shared" si="33"/>
        <v>0</v>
      </c>
      <c r="L50" s="382">
        <f t="shared" si="33"/>
        <v>0</v>
      </c>
      <c r="M50" s="382">
        <f t="shared" si="33"/>
        <v>0</v>
      </c>
      <c r="N50" s="382">
        <f t="shared" si="33"/>
        <v>0</v>
      </c>
      <c r="O50" s="383">
        <f t="shared" si="33"/>
        <v>0</v>
      </c>
      <c r="P50" s="1231">
        <f t="shared" si="29"/>
        <v>0</v>
      </c>
      <c r="Q50" s="1238" t="str">
        <f t="shared" si="30"/>
        <v>-</v>
      </c>
      <c r="R50" s="353">
        <f>+P50-Mersin!P50-Ankara!P50-Antalya!P50-Konya!P50-Trakya!P50-Kayseri!P50-Diyarbakır!P50-Erzurum!P50-Marmara2!P50-Marmara1!P50-Ege!P50-Malatya!P50-Karadeniz!P50-Şanlıurfa!P50</f>
        <v>0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SUM(B49:B50)</f>
        <v>0</v>
      </c>
      <c r="C51" s="390">
        <f>+C49</f>
        <v>0</v>
      </c>
      <c r="D51" s="388">
        <f>SUM(D49:D50)</f>
        <v>0</v>
      </c>
      <c r="E51" s="389">
        <f t="shared" ref="E51:F51" si="34">SUM(E49:E50)</f>
        <v>0</v>
      </c>
      <c r="F51" s="389">
        <f t="shared" si="34"/>
        <v>0</v>
      </c>
      <c r="G51" s="389">
        <f>SUM(G49:G50)</f>
        <v>0</v>
      </c>
      <c r="H51" s="389">
        <f t="shared" ref="H51" si="35">SUM(H49:H50)</f>
        <v>0</v>
      </c>
      <c r="I51" s="389">
        <f>SUM(I49:I50)</f>
        <v>0</v>
      </c>
      <c r="J51" s="389">
        <f>SUM(J49:J50)</f>
        <v>0</v>
      </c>
      <c r="K51" s="389">
        <f t="shared" ref="K51" si="36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1158">
        <f t="shared" si="29"/>
        <v>0</v>
      </c>
      <c r="Q51" s="1239" t="str">
        <f t="shared" si="30"/>
        <v>-</v>
      </c>
      <c r="R51" s="353">
        <f>+P51-Mersin!P51-Ankara!P51-Antalya!P51-Konya!P51-Trakya!P51-Kayseri!P51-Diyarbakır!P51-Erzurum!P51-Marmara2!P51-Marmara1!P51-Ege!P51-Malatya!P51-Karadeniz!P51-Şanlıurfa!P51</f>
        <v>0</v>
      </c>
      <c r="S51" s="459"/>
      <c r="T51" s="459"/>
      <c r="U51" s="459"/>
      <c r="V51" s="459"/>
    </row>
    <row r="52" spans="1:22" ht="16.5" customHeight="1">
      <c r="A52" s="393" t="s">
        <v>17</v>
      </c>
      <c r="B52" s="394">
        <f>Kayseri!B52+Karadeniz!B52+Malatya!B52+Şanlıurfa!B52+Ege!B52+Marmara1!B52+Marmara2!B52+Erzurum!B52+Konya!B52+Diyarbakır!B52+Trakya!B52+Antalya!B52+Ankara!B52+Mersin!B52</f>
        <v>0</v>
      </c>
      <c r="C52" s="395"/>
      <c r="D52" s="396">
        <f>+$S$52*D29</f>
        <v>0</v>
      </c>
      <c r="E52" s="397">
        <f t="shared" ref="E52" si="37">+$S$52*E29</f>
        <v>0</v>
      </c>
      <c r="F52" s="397">
        <f>+$S$52*F29</f>
        <v>0</v>
      </c>
      <c r="G52" s="397">
        <f>+$T$52*G29</f>
        <v>0</v>
      </c>
      <c r="H52" s="397">
        <f t="shared" ref="H52" si="38">+$T$52*H29</f>
        <v>0</v>
      </c>
      <c r="I52" s="397">
        <f>+$T$52*I29</f>
        <v>0</v>
      </c>
      <c r="J52" s="397">
        <f>+$U$52*J29</f>
        <v>0</v>
      </c>
      <c r="K52" s="397">
        <f t="shared" ref="K52" si="39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1246">
        <f t="shared" si="29"/>
        <v>0</v>
      </c>
      <c r="Q52" s="1238" t="str">
        <f t="shared" si="30"/>
        <v>-</v>
      </c>
      <c r="R52" s="353">
        <f>+P52-Mersin!P52-Ankara!P52-Antalya!P52-Konya!P52-Trakya!P52-Kayseri!P52-Diyarbakır!P52-Erzurum!P52-Marmara2!P52-Marmara1!P52-Ege!P52-Malatya!P52-Karadeniz!P52-Şanlıurfa!P52</f>
        <v>0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>
        <f>Kayseri!B53+Karadeniz!B53+Malatya!B53+Şanlıurfa!B53+Ege!B53+Marmara1!B53+Marmara2!B53+Erzurum!B53+Konya!B53+Diyarbakır!B53+Trakya!B53+Antalya!B53+Ankara!B53+Mersin!B53</f>
        <v>0</v>
      </c>
      <c r="C53" s="401">
        <f>Kayseri!C53+Karadeniz!C53+Malatya!C53+Şanlıurfa!C53+Ege!C53+Marmara1!C53+Marmara2!C53+Erzurum!C53+Konya!C53+Diyarbakır!C53+Trakya!C53+Antalya!C53+Ankara!C53+Mersin!C53</f>
        <v>0</v>
      </c>
      <c r="D53" s="402">
        <f>+$S$53*D30</f>
        <v>0</v>
      </c>
      <c r="E53" s="403">
        <f t="shared" ref="E53:F53" si="40">+$S$53*E30</f>
        <v>0</v>
      </c>
      <c r="F53" s="403">
        <f t="shared" si="40"/>
        <v>0</v>
      </c>
      <c r="G53" s="403">
        <f>+$T$53*G30</f>
        <v>0</v>
      </c>
      <c r="H53" s="403">
        <f t="shared" ref="H53" si="41">+$T$53*H30</f>
        <v>0</v>
      </c>
      <c r="I53" s="403">
        <f>+$T$53*I30</f>
        <v>0</v>
      </c>
      <c r="J53" s="403">
        <f>+$U$53*J30</f>
        <v>0</v>
      </c>
      <c r="K53" s="403">
        <f t="shared" ref="K53" si="42">+$U$53*K30</f>
        <v>0</v>
      </c>
      <c r="L53" s="403">
        <f>+$U$53*L30</f>
        <v>0</v>
      </c>
      <c r="M53" s="403">
        <f>+$V$53*M30</f>
        <v>0</v>
      </c>
      <c r="N53" s="403">
        <f t="shared" ref="N53" si="43">+$V$53*N30</f>
        <v>0</v>
      </c>
      <c r="O53" s="404">
        <f>+$V$53*O30</f>
        <v>0</v>
      </c>
      <c r="P53" s="1218">
        <f t="shared" si="29"/>
        <v>0</v>
      </c>
      <c r="Q53" s="1240" t="str">
        <f t="shared" si="30"/>
        <v>-</v>
      </c>
      <c r="R53" s="353">
        <f>+P53-Mersin!P53-Ankara!P53-Antalya!P53-Konya!P53-Trakya!P53-Kayseri!P53-Diyarbakır!P53-Erzurum!P53-Marmara2!P53-Marmara1!P53-Ege!P53-Malatya!P53-Karadeniz!P53-Şanlıurfa!P53</f>
        <v>0</v>
      </c>
      <c r="S53" s="461">
        <v>1.4999999999999999E-2</v>
      </c>
      <c r="T53" s="461">
        <v>1.4999999999999999E-2</v>
      </c>
      <c r="U53" s="461">
        <v>1.4999999999999999E-2</v>
      </c>
      <c r="V53" s="461">
        <v>1.4999999999999999E-2</v>
      </c>
    </row>
    <row r="54" spans="1:22" ht="16.5" customHeight="1">
      <c r="A54" s="406" t="s">
        <v>82</v>
      </c>
      <c r="B54" s="394">
        <f>Kayseri!B54+Karadeniz!B54+Malatya!B54+Şanlıurfa!B54+Ege!B54+Marmara1!B54+Marmara2!B54+Erzurum!B54+Konya!B54+Diyarbakır!B54+Trakya!B54+Antalya!B54+Ankara!B54+Mersin!B54</f>
        <v>0</v>
      </c>
      <c r="C54" s="395">
        <f>Kayseri!C54+Karadeniz!C54+Malatya!C54+Şanlıurfa!C54+Ege!C54+Marmara1!C54+Marmara2!C54+Erzurum!C54+Konya!C54+Diyarbakır!C54+Trakya!C54+Antalya!C54+Ankara!C54+Mersin!C54</f>
        <v>0</v>
      </c>
      <c r="D54" s="407">
        <f t="shared" ref="D54:O54" si="44">+$S$54*D31</f>
        <v>0</v>
      </c>
      <c r="E54" s="382">
        <f t="shared" si="44"/>
        <v>0</v>
      </c>
      <c r="F54" s="382">
        <f t="shared" si="44"/>
        <v>0</v>
      </c>
      <c r="G54" s="382">
        <f t="shared" si="44"/>
        <v>0</v>
      </c>
      <c r="H54" s="382">
        <f t="shared" si="44"/>
        <v>0</v>
      </c>
      <c r="I54" s="382">
        <f t="shared" si="44"/>
        <v>0</v>
      </c>
      <c r="J54" s="382">
        <f t="shared" si="44"/>
        <v>0</v>
      </c>
      <c r="K54" s="382">
        <f t="shared" si="44"/>
        <v>0</v>
      </c>
      <c r="L54" s="382">
        <f t="shared" si="44"/>
        <v>0</v>
      </c>
      <c r="M54" s="382">
        <f t="shared" si="44"/>
        <v>0</v>
      </c>
      <c r="N54" s="382">
        <f t="shared" si="44"/>
        <v>0</v>
      </c>
      <c r="O54" s="383">
        <f t="shared" si="44"/>
        <v>0</v>
      </c>
      <c r="P54" s="1246">
        <f t="shared" si="29"/>
        <v>0</v>
      </c>
      <c r="Q54" s="1238" t="str">
        <f t="shared" si="30"/>
        <v>-</v>
      </c>
      <c r="R54" s="353">
        <f>+P54-Mersin!P54-Ankara!P54-Antalya!P54-Konya!P54-Trakya!P54-Kayseri!P54-Diyarbakır!P54-Erzurum!P54-Marmara2!P54-Marmara1!P54-Ege!P54-Malatya!P54-Karadeniz!P54-Şanlıurfa!P54</f>
        <v>0</v>
      </c>
      <c r="S54" s="460"/>
      <c r="T54" s="460"/>
      <c r="U54" s="460"/>
      <c r="V54" s="460"/>
    </row>
    <row r="55" spans="1:22" ht="16.5" customHeight="1">
      <c r="A55" s="400" t="s">
        <v>83</v>
      </c>
      <c r="B55" s="408">
        <f>Kayseri!B55+Karadeniz!B55+Malatya!B55+Şanlıurfa!B55+Ege!B55+Marmara1!B55+Marmara2!B55+Erzurum!B55+Konya!B55+Diyarbakır!B55+Trakya!B55+Antalya!B55+Ankara!B55+Mersin!B55</f>
        <v>0</v>
      </c>
      <c r="C55" s="409">
        <f>Kayseri!C55+Karadeniz!C55+Malatya!C55+Şanlıurfa!C55+Ege!C55+Marmara1!C55+Marmara2!C55+Erzurum!C55+Konya!C55+Diyarbakır!C55+Trakya!C55+Antalya!C55+Ankara!C55+Mersin!C55</f>
        <v>0</v>
      </c>
      <c r="D55" s="402">
        <f t="shared" ref="D55:F55" si="45">+$S$55*D32</f>
        <v>0</v>
      </c>
      <c r="E55" s="403">
        <f t="shared" si="45"/>
        <v>0</v>
      </c>
      <c r="F55" s="403">
        <f t="shared" si="45"/>
        <v>0</v>
      </c>
      <c r="G55" s="403">
        <f>+$T$55*G32</f>
        <v>0</v>
      </c>
      <c r="H55" s="403">
        <f t="shared" ref="H55" si="46">+$T$55*H32</f>
        <v>0</v>
      </c>
      <c r="I55" s="403">
        <f>+$T$55*I32</f>
        <v>0</v>
      </c>
      <c r="J55" s="403">
        <f>+$U$55*J32</f>
        <v>0</v>
      </c>
      <c r="K55" s="403">
        <f t="shared" ref="K55" si="47">+$U$55*K32</f>
        <v>0</v>
      </c>
      <c r="L55" s="403">
        <f>+$U$55*L32</f>
        <v>0</v>
      </c>
      <c r="M55" s="403">
        <f>+$V$55*M32</f>
        <v>0</v>
      </c>
      <c r="N55" s="403">
        <f t="shared" ref="N55" si="48">+$V$55*N32</f>
        <v>0</v>
      </c>
      <c r="O55" s="404">
        <f>+$V$55*O32</f>
        <v>0</v>
      </c>
      <c r="P55" s="1218">
        <f t="shared" si="29"/>
        <v>0</v>
      </c>
      <c r="Q55" s="1240" t="str">
        <f t="shared" si="30"/>
        <v>-</v>
      </c>
      <c r="R55" s="353">
        <f>+P55-Mersin!P55-Ankara!P55-Antalya!P55-Konya!P55-Trakya!P55-Kayseri!P55-Diyarbakır!P55-Erzurum!P55-Marmara2!P55-Marmara1!P55-Ege!P55-Malatya!P55-Karadeniz!P55-Şanlıurfa!P55</f>
        <v>0</v>
      </c>
      <c r="S55" s="461">
        <v>1.4999999999999999E-2</v>
      </c>
      <c r="T55" s="461">
        <v>1.4999999999999999E-2</v>
      </c>
      <c r="U55" s="461">
        <v>1.4999999999999999E-2</v>
      </c>
      <c r="V55" s="461">
        <v>1.4999999999999999E-2</v>
      </c>
    </row>
    <row r="56" spans="1:22" ht="16.5" customHeight="1">
      <c r="A56" s="406" t="s">
        <v>84</v>
      </c>
      <c r="B56" s="378">
        <f>Kayseri!B56+Karadeniz!B56+Malatya!B56+Şanlıurfa!B56+Ege!B56+Marmara1!B56+Marmara2!B56+Erzurum!B56+Konya!B56+Diyarbakır!B56+Trakya!B56+Antalya!B56+Ankara!B56+Mersin!B56</f>
        <v>0</v>
      </c>
      <c r="C56" s="379"/>
      <c r="D56" s="407">
        <f t="shared" ref="D56:O56" si="49">+$S$56*D33</f>
        <v>0</v>
      </c>
      <c r="E56" s="382">
        <f t="shared" si="49"/>
        <v>0</v>
      </c>
      <c r="F56" s="382">
        <f t="shared" si="49"/>
        <v>0</v>
      </c>
      <c r="G56" s="382">
        <f t="shared" si="49"/>
        <v>0</v>
      </c>
      <c r="H56" s="382">
        <f t="shared" si="49"/>
        <v>0</v>
      </c>
      <c r="I56" s="382">
        <f t="shared" si="49"/>
        <v>0</v>
      </c>
      <c r="J56" s="382">
        <f t="shared" si="49"/>
        <v>0</v>
      </c>
      <c r="K56" s="382">
        <f t="shared" si="49"/>
        <v>0</v>
      </c>
      <c r="L56" s="382">
        <f t="shared" si="49"/>
        <v>0</v>
      </c>
      <c r="M56" s="382">
        <f t="shared" si="49"/>
        <v>0</v>
      </c>
      <c r="N56" s="382">
        <f t="shared" si="49"/>
        <v>0</v>
      </c>
      <c r="O56" s="383">
        <f t="shared" si="49"/>
        <v>0</v>
      </c>
      <c r="P56" s="1246">
        <f t="shared" si="29"/>
        <v>0</v>
      </c>
      <c r="Q56" s="1238" t="str">
        <f t="shared" si="30"/>
        <v>-</v>
      </c>
      <c r="R56" s="353">
        <f>+P56-Mersin!P56-Ankara!P56-Antalya!P56-Konya!P56-Trakya!P56-Kayseri!P56-Diyarbakır!P56-Erzurum!P56-Marmara2!P56-Marmara1!P56-Ege!P56-Malatya!P56-Karadeniz!P56-Şanlıurfa!P56</f>
        <v>0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>SUM(B53:B56)</f>
        <v>0</v>
      </c>
      <c r="C57" s="412">
        <f>SUM(C53:C56)</f>
        <v>0</v>
      </c>
      <c r="D57" s="413">
        <f>SUM(D53:D56)</f>
        <v>0</v>
      </c>
      <c r="E57" s="414">
        <f t="shared" ref="E57:F57" si="50">SUM(E53:E56)</f>
        <v>0</v>
      </c>
      <c r="F57" s="414">
        <f t="shared" si="50"/>
        <v>0</v>
      </c>
      <c r="G57" s="414">
        <f>SUM(G53:G56)</f>
        <v>0</v>
      </c>
      <c r="H57" s="414">
        <f t="shared" ref="H57" si="51">SUM(H53:H56)</f>
        <v>0</v>
      </c>
      <c r="I57" s="414">
        <f>SUM(I53:I56)</f>
        <v>0</v>
      </c>
      <c r="J57" s="414">
        <f>SUM(J53:J56)</f>
        <v>0</v>
      </c>
      <c r="K57" s="414">
        <f t="shared" ref="K57" si="52">SUM(K53:K56)</f>
        <v>0</v>
      </c>
      <c r="L57" s="414">
        <f>SUM(L53:L56)</f>
        <v>0</v>
      </c>
      <c r="M57" s="414">
        <f>SUM(M53:M56)</f>
        <v>0</v>
      </c>
      <c r="N57" s="414">
        <f t="shared" ref="N57" si="53">SUM(N53:N56)</f>
        <v>0</v>
      </c>
      <c r="O57" s="412">
        <f>SUM(O53:O56)</f>
        <v>0</v>
      </c>
      <c r="P57" s="1159">
        <f t="shared" si="29"/>
        <v>0</v>
      </c>
      <c r="Q57" s="1241" t="str">
        <f t="shared" si="30"/>
        <v>-</v>
      </c>
      <c r="R57" s="353">
        <f>+P57-Mersin!P57-Ankara!P57-Antalya!P57-Konya!P57-Trakya!P57-Kayseri!P57-Diyarbakır!P57-Erzurum!P57-Marmara2!P57-Marmara1!P57-Ege!P57-Malatya!P57-Karadeniz!P57-Şanlıurfa!P57</f>
        <v>0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16">
        <f>SUM(B59:B60)</f>
        <v>0</v>
      </c>
      <c r="C58" s="416">
        <f>SUM(C59:C60)</f>
        <v>0</v>
      </c>
      <c r="D58" s="417">
        <f>SUM(D59:D60)</f>
        <v>0</v>
      </c>
      <c r="E58" s="418">
        <f t="shared" ref="E58:F58" si="54">SUM(E59:E60)</f>
        <v>0</v>
      </c>
      <c r="F58" s="418">
        <f t="shared" si="54"/>
        <v>0</v>
      </c>
      <c r="G58" s="418">
        <f>SUM(G59:G60)</f>
        <v>0</v>
      </c>
      <c r="H58" s="418">
        <f t="shared" ref="H58" si="55">SUM(H59:H60)</f>
        <v>0</v>
      </c>
      <c r="I58" s="418">
        <f>SUM(I59:I60)</f>
        <v>0</v>
      </c>
      <c r="J58" s="418">
        <f>SUM(J59:J60)</f>
        <v>0</v>
      </c>
      <c r="K58" s="418">
        <f t="shared" ref="K58" si="56">SUM(K59:K60)</f>
        <v>0</v>
      </c>
      <c r="L58" s="418">
        <f>SUM(L59:L60)</f>
        <v>0</v>
      </c>
      <c r="M58" s="418">
        <f>SUM(M59:M60)</f>
        <v>0</v>
      </c>
      <c r="N58" s="418">
        <f t="shared" ref="N58" si="57">SUM(N59:N60)</f>
        <v>0</v>
      </c>
      <c r="O58" s="419">
        <f>SUM(O59:O60)</f>
        <v>0</v>
      </c>
      <c r="P58" s="1232">
        <f t="shared" si="29"/>
        <v>0</v>
      </c>
      <c r="Q58" s="1242" t="str">
        <f t="shared" si="30"/>
        <v>-</v>
      </c>
      <c r="R58" s="353">
        <f>+P58-Mersin!P58-Ankara!P58-Antalya!P58-Konya!P58-Trakya!P58-Kayseri!P58-Diyarbakır!P58-Erzurum!P58-Marmara2!P58-Marmara1!P58-Ege!P58-Malatya!P58-Karadeniz!P58-Şanlıurfa!P58</f>
        <v>0</v>
      </c>
      <c r="S58" s="463"/>
      <c r="T58" s="463"/>
      <c r="U58" s="463"/>
      <c r="V58" s="463"/>
    </row>
    <row r="59" spans="1:22" ht="16.5" customHeight="1">
      <c r="A59" s="422" t="s">
        <v>19</v>
      </c>
      <c r="B59" s="423">
        <f>Kayseri!B59+Karadeniz!B59+Malatya!B59+Şanlıurfa!B59+Ege!B59+Marmara1!B59+Marmara2!B59+Erzurum!B59+Konya!B59+Diyarbakır!B59+Trakya!B59+Antalya!B59+Ankara!B59+Mersin!B59</f>
        <v>0</v>
      </c>
      <c r="C59" s="424">
        <f>Kayseri!C59+Karadeniz!C59+Malatya!C59+Şanlıurfa!C59+Ege!C59+Marmara1!C59+Marmara2!C59+Erzurum!C59+Konya!C59+Diyarbakır!C59+Trakya!C59+Antalya!C59+Ankara!C59+Mersin!C59</f>
        <v>0</v>
      </c>
      <c r="D59" s="425">
        <f>+$S$59*D36</f>
        <v>0</v>
      </c>
      <c r="E59" s="426">
        <f t="shared" ref="E59:F59" si="58">+$S$59*E36</f>
        <v>0</v>
      </c>
      <c r="F59" s="426">
        <f t="shared" si="58"/>
        <v>0</v>
      </c>
      <c r="G59" s="426">
        <f>+$T$59*G36</f>
        <v>0</v>
      </c>
      <c r="H59" s="426">
        <f t="shared" ref="H59" si="59">+$T$59*H36</f>
        <v>0</v>
      </c>
      <c r="I59" s="426">
        <f>+$T$59*I36</f>
        <v>0</v>
      </c>
      <c r="J59" s="426">
        <f>+$U$59*J36</f>
        <v>0</v>
      </c>
      <c r="K59" s="426">
        <f t="shared" ref="K59" si="60">+$U$59*K36</f>
        <v>0</v>
      </c>
      <c r="L59" s="426">
        <f>+$U$59*L36</f>
        <v>0</v>
      </c>
      <c r="M59" s="426">
        <f>+$V$59*M36</f>
        <v>0</v>
      </c>
      <c r="N59" s="426">
        <f t="shared" ref="N59" si="61">+$V$59*N36</f>
        <v>0</v>
      </c>
      <c r="O59" s="427">
        <f>+$V$59*O36</f>
        <v>0</v>
      </c>
      <c r="P59" s="1247">
        <f t="shared" si="29"/>
        <v>0</v>
      </c>
      <c r="Q59" s="1243" t="str">
        <f t="shared" si="30"/>
        <v>-</v>
      </c>
      <c r="R59" s="353">
        <f>+P59-Mersin!P59-Ankara!P59-Antalya!P59-Konya!P59-Trakya!P59-Kayseri!P59-Diyarbakır!P59-Erzurum!P59-Marmara2!P59-Marmara1!P59-Ege!P59-Malatya!P59-Karadeniz!P59-Şanlıurfa!P59</f>
        <v>0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>
        <f>Kayseri!B60+Karadeniz!B60+Malatya!B60+Şanlıurfa!B60+Ege!B60+Marmara1!B60+Marmara2!B60+Erzurum!B60+Konya!B60+Diyarbakır!B60+Trakya!B60+Antalya!B60+Ankara!B60+Mersin!B60</f>
        <v>0</v>
      </c>
      <c r="C60" s="432">
        <f>Kayseri!C60+Karadeniz!C60+Malatya!C60+Şanlıurfa!C60+Ege!C60+Marmara1!C60+Marmara2!C60+Erzurum!C60+Konya!C60+Diyarbakır!C60+Trakya!C60+Antalya!C60+Ankara!C60+Mersin!C60</f>
        <v>0</v>
      </c>
      <c r="D60" s="433">
        <f>+$S$60*D37</f>
        <v>0</v>
      </c>
      <c r="E60" s="434">
        <f t="shared" ref="E60:F60" si="62">+$S$60*E37</f>
        <v>0</v>
      </c>
      <c r="F60" s="434">
        <f t="shared" si="62"/>
        <v>0</v>
      </c>
      <c r="G60" s="434">
        <f>+$T$60*G37</f>
        <v>0</v>
      </c>
      <c r="H60" s="434">
        <f t="shared" ref="H60" si="63">+$T$60*H37</f>
        <v>0</v>
      </c>
      <c r="I60" s="434">
        <f>+$T$60*I37</f>
        <v>0</v>
      </c>
      <c r="J60" s="434">
        <f>+$U$60*J37</f>
        <v>0</v>
      </c>
      <c r="K60" s="434">
        <f t="shared" ref="K60" si="64">+$U$60*K37</f>
        <v>0</v>
      </c>
      <c r="L60" s="434">
        <f>+$U$60*L37</f>
        <v>0</v>
      </c>
      <c r="M60" s="434">
        <f>+$V$60*M37</f>
        <v>0</v>
      </c>
      <c r="N60" s="434">
        <f t="shared" ref="N60" si="65">+$V$60*N37</f>
        <v>0</v>
      </c>
      <c r="O60" s="435">
        <f>+$V$60*O37</f>
        <v>0</v>
      </c>
      <c r="P60" s="1220">
        <f t="shared" si="29"/>
        <v>0</v>
      </c>
      <c r="Q60" s="1244" t="str">
        <f t="shared" si="30"/>
        <v>-</v>
      </c>
      <c r="R60" s="353">
        <f>+P60-Mersin!P60-Ankara!P60-Antalya!P60-Konya!P60-Trakya!P60-Kayseri!P60-Diyarbakır!P60-Erzurum!P60-Marmara2!P60-Marmara1!P60-Ege!P60-Malatya!P60-Karadeniz!P60-Şanlıurfa!P60</f>
        <v>0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" si="66">SUM(B62:B63)</f>
        <v>0</v>
      </c>
      <c r="C61" s="416">
        <f>SUM(C62:C63)</f>
        <v>0</v>
      </c>
      <c r="D61" s="417">
        <f t="shared" ref="D61:F61" si="67">SUM(D62:D63)</f>
        <v>0</v>
      </c>
      <c r="E61" s="418">
        <f t="shared" si="67"/>
        <v>0</v>
      </c>
      <c r="F61" s="418">
        <f t="shared" si="67"/>
        <v>0</v>
      </c>
      <c r="G61" s="418">
        <f>SUM(G62:G63)</f>
        <v>0</v>
      </c>
      <c r="H61" s="418">
        <f t="shared" ref="H61" si="68">SUM(H62:H63)</f>
        <v>0</v>
      </c>
      <c r="I61" s="418">
        <f>SUM(I62:I63)</f>
        <v>0</v>
      </c>
      <c r="J61" s="418">
        <f>SUM(J62:J63)</f>
        <v>0</v>
      </c>
      <c r="K61" s="418">
        <f t="shared" ref="K61" si="69">SUM(K62:K63)</f>
        <v>0</v>
      </c>
      <c r="L61" s="418">
        <f>SUM(L62:L63)</f>
        <v>0</v>
      </c>
      <c r="M61" s="418">
        <f>SUM(M62:M63)</f>
        <v>0</v>
      </c>
      <c r="N61" s="418">
        <f t="shared" ref="N61" si="70">SUM(N62:N63)</f>
        <v>0</v>
      </c>
      <c r="O61" s="419">
        <f>SUM(O62:O63)</f>
        <v>0</v>
      </c>
      <c r="P61" s="1232">
        <f t="shared" si="29"/>
        <v>0</v>
      </c>
      <c r="Q61" s="1242" t="str">
        <f t="shared" si="30"/>
        <v>-</v>
      </c>
      <c r="R61" s="353">
        <f>+P61-Mersin!P61-Ankara!P61-Antalya!P61-Konya!P61-Trakya!P61-Kayseri!P61-Diyarbakır!P61-Erzurum!P61-Marmara2!P61-Marmara1!P61-Ege!P61-Malatya!P61-Karadeniz!P61-Şanlıurfa!P61</f>
        <v>0</v>
      </c>
    </row>
    <row r="62" spans="1:22" ht="16.5" customHeight="1">
      <c r="A62" s="422" t="s">
        <v>106</v>
      </c>
      <c r="B62" s="423">
        <f>Kayseri!B62+Karadeniz!B62+Malatya!B62+Şanlıurfa!B62+Ege!B62+Marmara1!B62+Marmara2!B62+Erzurum!B62+Konya!B62+Diyarbakır!B62+Trakya!B62+Antalya!B62+Ankara!B62+Mersin!B62</f>
        <v>0</v>
      </c>
      <c r="C62" s="424">
        <f>Kayseri!C62+Karadeniz!C62+Malatya!C62+Şanlıurfa!C62+Ege!C62+Marmara1!C62+Marmara2!C62+Erzurum!C62+Konya!C62+Diyarbakır!C62+Trakya!C62+Antalya!C62+Ankara!C62+Mersin!C62</f>
        <v>0</v>
      </c>
      <c r="D62" s="425">
        <f>+$S$62*D39</f>
        <v>0</v>
      </c>
      <c r="E62" s="426">
        <f t="shared" ref="E62:F62" si="71">+$S$62*E39</f>
        <v>0</v>
      </c>
      <c r="F62" s="426">
        <f t="shared" si="71"/>
        <v>0</v>
      </c>
      <c r="G62" s="426">
        <f>+$T$62*G39</f>
        <v>0</v>
      </c>
      <c r="H62" s="426">
        <f t="shared" ref="H62" si="72">+$T$62*H39</f>
        <v>0</v>
      </c>
      <c r="I62" s="426">
        <f>+$T$62*I39</f>
        <v>0</v>
      </c>
      <c r="J62" s="426">
        <f>+$U$62*J39</f>
        <v>0</v>
      </c>
      <c r="K62" s="426">
        <f t="shared" ref="K62" si="73">+$U$62*K39</f>
        <v>0</v>
      </c>
      <c r="L62" s="426">
        <f>+$U$62*L39</f>
        <v>0</v>
      </c>
      <c r="M62" s="426">
        <f>+$V$62*M39</f>
        <v>0</v>
      </c>
      <c r="N62" s="426">
        <f t="shared" ref="N62" si="74">+$V$62*N39</f>
        <v>0</v>
      </c>
      <c r="O62" s="427">
        <f>+$V$62*O39</f>
        <v>0</v>
      </c>
      <c r="P62" s="1247">
        <f t="shared" si="29"/>
        <v>0</v>
      </c>
      <c r="Q62" s="1243" t="str">
        <f t="shared" si="30"/>
        <v>-</v>
      </c>
      <c r="R62" s="353">
        <f>+P62-Mersin!P62-Ankara!P62-Antalya!P62-Konya!P62-Trakya!P62-Kayseri!P62-Diyarbakır!P62-Erzurum!P62-Marmara2!P62-Marmara1!P62-Ege!P62-Malatya!P62-Karadeniz!P62-Şanlıurfa!P62</f>
        <v>0</v>
      </c>
    </row>
    <row r="63" spans="1:22" ht="16.5" customHeight="1" thickBot="1">
      <c r="A63" s="438" t="s">
        <v>105</v>
      </c>
      <c r="B63" s="439">
        <f>Kayseri!B63+Karadeniz!B63+Malatya!B63+Şanlıurfa!B63+Ege!B63+Marmara1!B63+Marmara2!B63+Erzurum!B63+Konya!B63+Diyarbakır!B63+Trakya!B63+Antalya!B63+Ankara!B63+Mersin!B63</f>
        <v>0</v>
      </c>
      <c r="C63" s="440">
        <f>Kayseri!C63+Karadeniz!C63+Malatya!C63+Şanlıurfa!C63+Ege!C63+Marmara1!C63+Marmara2!C63+Erzurum!C63+Konya!C63+Diyarbakır!C63+Trakya!C63+Antalya!C63+Ankara!C63+Mersin!C63</f>
        <v>0</v>
      </c>
      <c r="D63" s="441">
        <f>+$S$63*D40</f>
        <v>0</v>
      </c>
      <c r="E63" s="442">
        <f t="shared" ref="E63:F63" si="75">+$S$63*E40</f>
        <v>0</v>
      </c>
      <c r="F63" s="442">
        <f t="shared" si="75"/>
        <v>0</v>
      </c>
      <c r="G63" s="442">
        <f>+$T$63*G40</f>
        <v>0</v>
      </c>
      <c r="H63" s="442">
        <f t="shared" ref="H63" si="76">+$T$63*H40</f>
        <v>0</v>
      </c>
      <c r="I63" s="442">
        <f>+$T$63*I40</f>
        <v>0</v>
      </c>
      <c r="J63" s="442">
        <f>+$U$63*J40</f>
        <v>0</v>
      </c>
      <c r="K63" s="442">
        <f t="shared" ref="K63" si="77">+$U$63*K40</f>
        <v>0</v>
      </c>
      <c r="L63" s="442">
        <f>+$U$63*L40</f>
        <v>0</v>
      </c>
      <c r="M63" s="442">
        <f>+$V$63*M40</f>
        <v>0</v>
      </c>
      <c r="N63" s="442">
        <f t="shared" ref="N63" si="78">+$V$63*N40</f>
        <v>0</v>
      </c>
      <c r="O63" s="443">
        <f>+$V$63*O40</f>
        <v>0</v>
      </c>
      <c r="P63" s="1248">
        <f t="shared" si="29"/>
        <v>0</v>
      </c>
      <c r="Q63" s="1245" t="str">
        <f t="shared" si="30"/>
        <v>-</v>
      </c>
      <c r="R63" s="353">
        <f>+P63-Mersin!P63-Ankara!P63-Antalya!P63-Konya!P63-Trakya!P63-Kayseri!P63-Diyarbakır!P63-Erzurum!P63-Marmara2!P63-Marmara1!P63-Ege!P63-Malatya!P63-Karadeniz!P63-Şanlıurfa!P63</f>
        <v>0</v>
      </c>
    </row>
    <row r="64" spans="1:22" ht="16.5" customHeight="1" thickBot="1">
      <c r="B64" s="352">
        <f t="shared" ref="B64:B66" si="79">+$S$49*B41</f>
        <v>0</v>
      </c>
      <c r="C64" s="353">
        <f t="shared" ref="C64:C66" si="80">+$S$49*C41</f>
        <v>0</v>
      </c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  <c r="R64" s="353">
        <f>+P64-Mersin!P64-Ankara!P64-Antalya!P64-Konya!P64-Trakya!P64-Kayseri!P64-Diyarbakır!P64-Erzurum!P64-Marmara2!P64-Marmara1!P64-Ege!P64-Malatya!P64-Karadeniz!P64-Şanlıurfa!P64</f>
        <v>0</v>
      </c>
      <c r="S64" s="352">
        <v>0</v>
      </c>
      <c r="T64" s="352">
        <v>0</v>
      </c>
      <c r="U64" s="352">
        <v>0</v>
      </c>
      <c r="V64" s="352">
        <v>0</v>
      </c>
    </row>
    <row r="65" spans="1:22" ht="22.5" customHeight="1" thickBot="1">
      <c r="A65" s="362" t="s">
        <v>86</v>
      </c>
      <c r="B65" s="363">
        <f t="shared" si="79"/>
        <v>0</v>
      </c>
      <c r="C65" s="364">
        <f t="shared" si="80"/>
        <v>0</v>
      </c>
      <c r="D65" s="365">
        <f>+$S$65*D42</f>
        <v>0</v>
      </c>
      <c r="E65" s="366">
        <f t="shared" ref="E65:F65" si="81">+$S$65*E42</f>
        <v>0</v>
      </c>
      <c r="F65" s="366">
        <f t="shared" si="81"/>
        <v>0</v>
      </c>
      <c r="G65" s="366">
        <f>+$T$65*G42</f>
        <v>0</v>
      </c>
      <c r="H65" s="366">
        <f t="shared" ref="H65" si="82">+$T$65*H42</f>
        <v>0</v>
      </c>
      <c r="I65" s="366">
        <f>+$T$65*I42</f>
        <v>0</v>
      </c>
      <c r="J65" s="366">
        <f>+$T$65*J42</f>
        <v>0</v>
      </c>
      <c r="K65" s="366">
        <f t="shared" ref="K65" si="83">+$T$65*K42</f>
        <v>0</v>
      </c>
      <c r="L65" s="366">
        <f>+$U$65*L42</f>
        <v>0</v>
      </c>
      <c r="M65" s="366">
        <f>+$V$65*M42</f>
        <v>0</v>
      </c>
      <c r="N65" s="366">
        <f t="shared" ref="N65" si="84">+$V$65*N42</f>
        <v>0</v>
      </c>
      <c r="O65" s="448">
        <f>+$V$65*O42</f>
        <v>0</v>
      </c>
      <c r="P65" s="456">
        <f t="shared" si="29"/>
        <v>0</v>
      </c>
      <c r="Q65" s="1236" t="str">
        <f>IF(P65=0,"-",P65/C65-1)</f>
        <v>-</v>
      </c>
      <c r="R65" s="353">
        <f>+P65-Mersin!P65-Ankara!P65-Antalya!P65-Konya!P65-Trakya!P65-Kayseri!P65-Diyarbakır!P65-Erzurum!P65-Marmara2!P65-Marmara1!P65-Ege!P65-Malatya!P65-Karadeniz!P65-Şanlıurfa!P65</f>
        <v>0</v>
      </c>
      <c r="S65" s="352">
        <v>0</v>
      </c>
      <c r="T65" s="352">
        <v>0</v>
      </c>
      <c r="U65" s="352">
        <v>0</v>
      </c>
      <c r="V65" s="352">
        <v>0</v>
      </c>
    </row>
    <row r="66" spans="1:22" ht="16.5" customHeight="1" thickBot="1">
      <c r="A66" s="451"/>
      <c r="B66" s="452">
        <f t="shared" si="79"/>
        <v>0</v>
      </c>
      <c r="C66" s="452">
        <f t="shared" si="80"/>
        <v>0</v>
      </c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9"/>
        <v>0</v>
      </c>
      <c r="Q66" s="453"/>
      <c r="R66" s="353">
        <f>+P66-Mersin!P66-Ankara!P66-Antalya!P66-Konya!P66-Trakya!P66-Kayseri!P66-Diyarbakır!P66-Erzurum!P66-Marmara2!P66-Marmara1!P66-Ege!P66-Malatya!P66-Karadeniz!P66-Şanlıurfa!P66</f>
        <v>0</v>
      </c>
      <c r="S66" s="466">
        <v>0</v>
      </c>
      <c r="T66" s="466">
        <v>0</v>
      </c>
      <c r="U66" s="466">
        <v>0</v>
      </c>
      <c r="V66" s="466">
        <v>0</v>
      </c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5">+C48+C58+C61+C65</f>
        <v>0</v>
      </c>
      <c r="D67" s="365">
        <f>+D48+D58+D61+D65</f>
        <v>0</v>
      </c>
      <c r="E67" s="366">
        <f t="shared" ref="E67:F67" si="86">+E48+E58+E61+E65</f>
        <v>0</v>
      </c>
      <c r="F67" s="366">
        <f t="shared" si="86"/>
        <v>0</v>
      </c>
      <c r="G67" s="366">
        <f>+G48+G58+G61+G65</f>
        <v>0</v>
      </c>
      <c r="H67" s="366">
        <f t="shared" ref="H67:I67" si="87">+H48+H58+H61+H65</f>
        <v>0</v>
      </c>
      <c r="I67" s="366">
        <f t="shared" si="87"/>
        <v>0</v>
      </c>
      <c r="J67" s="366">
        <f>+J48+J58+J61+J65</f>
        <v>0</v>
      </c>
      <c r="K67" s="366">
        <f t="shared" ref="K67" si="88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89">+N48+N58+N61+N65</f>
        <v>0</v>
      </c>
      <c r="O67" s="364">
        <f>+O48+O58+O61+O65</f>
        <v>0</v>
      </c>
      <c r="P67" s="456">
        <f>SUM(D67:O67)</f>
        <v>0</v>
      </c>
      <c r="Q67" s="1236" t="str">
        <f>IF(P67=0,"-",P67/C67-1)</f>
        <v>-</v>
      </c>
      <c r="R67" s="353">
        <f>+P67-Mersin!P67-Ankara!P67-Antalya!P67-Konya!P67-Trakya!P67-Kayseri!P67-Diyarbakır!P67-Erzurum!P67-Marmara2!P67-Marmara1!P67-Ege!P67-Malatya!P67-Karadeniz!P67-Şanlıurfa!P67</f>
        <v>0</v>
      </c>
      <c r="S67" s="467">
        <v>0</v>
      </c>
      <c r="T67" s="467">
        <v>0</v>
      </c>
      <c r="U67" s="467">
        <v>0</v>
      </c>
      <c r="V67" s="467">
        <v>0</v>
      </c>
    </row>
    <row r="68" spans="1:22" ht="15" thickBot="1">
      <c r="R68" s="353">
        <f>+P68-Mersin!P68-Ankara!P68-Antalya!P68-Konya!P68-Trakya!P68-Kayseri!P68-Diyarbakır!P68-Erzurum!P68-Marmara2!P68-Marmara1!P68-Ege!P68-Malatya!P68-Karadeniz!P68-Şanlıurfa!P68</f>
        <v>0</v>
      </c>
    </row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  <c r="R69" s="353">
        <f>+P69-Mersin!P69-Ankara!P69-Antalya!P69-Konya!P69-Trakya!P69-Kayseri!P69-Diyarbakır!P69-Erzurum!P69-Marmara2!P69-Marmara1!P69-Ege!P69-Malatya!P69-Karadeniz!P69-Şanlıurfa!P69</f>
        <v>0</v>
      </c>
    </row>
    <row r="70" spans="1:22" ht="30.75" customHeight="1" thickBot="1">
      <c r="A70" s="356"/>
      <c r="B70" s="357" t="s">
        <v>704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  <c r="R70" s="353"/>
    </row>
    <row r="71" spans="1:22" ht="22.5" customHeight="1" thickBot="1">
      <c r="A71" s="362" t="s">
        <v>28</v>
      </c>
      <c r="B71" s="363">
        <f>B74+B75+B80</f>
        <v>0</v>
      </c>
      <c r="C71" s="364">
        <f>C74+C75+C80</f>
        <v>0</v>
      </c>
      <c r="D71" s="365">
        <f t="shared" ref="D71:O71" si="90">D74+D75+D80</f>
        <v>0</v>
      </c>
      <c r="E71" s="366">
        <f t="shared" si="90"/>
        <v>0</v>
      </c>
      <c r="F71" s="366">
        <f t="shared" si="90"/>
        <v>0</v>
      </c>
      <c r="G71" s="366">
        <f t="shared" si="90"/>
        <v>0</v>
      </c>
      <c r="H71" s="366">
        <f t="shared" si="90"/>
        <v>0</v>
      </c>
      <c r="I71" s="366">
        <f t="shared" si="90"/>
        <v>0</v>
      </c>
      <c r="J71" s="366">
        <f t="shared" si="90"/>
        <v>0</v>
      </c>
      <c r="K71" s="366">
        <f t="shared" si="90"/>
        <v>0</v>
      </c>
      <c r="L71" s="366">
        <f t="shared" si="90"/>
        <v>0</v>
      </c>
      <c r="M71" s="366">
        <f t="shared" si="90"/>
        <v>0</v>
      </c>
      <c r="N71" s="366">
        <f t="shared" si="90"/>
        <v>0</v>
      </c>
      <c r="O71" s="364">
        <f t="shared" si="90"/>
        <v>0</v>
      </c>
      <c r="P71" s="456">
        <f>SUM(D71:O71)</f>
        <v>0</v>
      </c>
      <c r="Q71" s="1236" t="str">
        <f t="shared" ref="Q71:Q86" si="91">IF(P71=0,"-",P71/C71-1)</f>
        <v>-</v>
      </c>
      <c r="R71" s="353">
        <f>+P71-Mersin!P71-Ankara!P71-Antalya!P71-Konya!P71-Trakya!P71-Kayseri!P71-Diyarbakır!P71-Erzurum!P71-Marmara2!P71-Marmara1!P71-Ege!P71-Malatya!P71-Karadeniz!P71-Şanlıurfa!P71</f>
        <v>0</v>
      </c>
    </row>
    <row r="72" spans="1:22" ht="16.5" customHeight="1">
      <c r="A72" s="368" t="s">
        <v>15</v>
      </c>
      <c r="B72" s="369">
        <f t="shared" ref="B72:C72" si="92">+B26-B49</f>
        <v>0</v>
      </c>
      <c r="C72" s="370">
        <f t="shared" si="92"/>
        <v>0</v>
      </c>
      <c r="D72" s="371">
        <f t="shared" ref="D72:O72" si="93">+D26-D49</f>
        <v>0</v>
      </c>
      <c r="E72" s="372">
        <f t="shared" si="93"/>
        <v>0</v>
      </c>
      <c r="F72" s="372">
        <f t="shared" si="93"/>
        <v>0</v>
      </c>
      <c r="G72" s="372">
        <f t="shared" si="93"/>
        <v>0</v>
      </c>
      <c r="H72" s="373">
        <f t="shared" si="93"/>
        <v>0</v>
      </c>
      <c r="I72" s="373">
        <f t="shared" si="93"/>
        <v>0</v>
      </c>
      <c r="J72" s="373">
        <f t="shared" si="93"/>
        <v>0</v>
      </c>
      <c r="K72" s="373">
        <f t="shared" si="93"/>
        <v>0</v>
      </c>
      <c r="L72" s="373">
        <f t="shared" si="93"/>
        <v>0</v>
      </c>
      <c r="M72" s="373">
        <f t="shared" si="93"/>
        <v>0</v>
      </c>
      <c r="N72" s="373">
        <f t="shared" si="93"/>
        <v>0</v>
      </c>
      <c r="O72" s="374">
        <f t="shared" si="93"/>
        <v>0</v>
      </c>
      <c r="P72" s="1230">
        <f t="shared" ref="P72:P90" si="94">SUM(D72:O72)</f>
        <v>0</v>
      </c>
      <c r="Q72" s="1237" t="str">
        <f t="shared" si="91"/>
        <v>-</v>
      </c>
      <c r="R72" s="353">
        <f>+P72-Mersin!P72-Ankara!P72-Antalya!P72-Konya!P72-Trakya!P72-Kayseri!P72-Diyarbakır!P72-Erzurum!P72-Marmara2!P72-Marmara1!P72-Ege!P72-Malatya!P72-Karadeniz!P72-Şanlıurfa!P72</f>
        <v>0</v>
      </c>
      <c r="S72" s="639" t="e">
        <f>SUM(P72-P95)/P72</f>
        <v>#DIV/0!</v>
      </c>
      <c r="T72" s="376"/>
      <c r="U72" s="376"/>
      <c r="V72" s="376"/>
    </row>
    <row r="73" spans="1:22" ht="16.5" hidden="1" customHeight="1">
      <c r="A73" s="377" t="s">
        <v>16</v>
      </c>
      <c r="B73" s="378">
        <f t="shared" ref="B73:C73" si="95">+B27-B50</f>
        <v>0</v>
      </c>
      <c r="C73" s="379">
        <f t="shared" si="95"/>
        <v>0</v>
      </c>
      <c r="D73" s="380">
        <f t="shared" ref="D73:O73" si="96">+D27-D50</f>
        <v>0</v>
      </c>
      <c r="E73" s="381">
        <f t="shared" si="96"/>
        <v>0</v>
      </c>
      <c r="F73" s="381">
        <f t="shared" si="96"/>
        <v>0</v>
      </c>
      <c r="G73" s="381">
        <f t="shared" si="96"/>
        <v>0</v>
      </c>
      <c r="H73" s="382">
        <f t="shared" si="96"/>
        <v>0</v>
      </c>
      <c r="I73" s="382">
        <f t="shared" si="96"/>
        <v>0</v>
      </c>
      <c r="J73" s="382">
        <f t="shared" si="96"/>
        <v>0</v>
      </c>
      <c r="K73" s="382">
        <f t="shared" si="96"/>
        <v>0</v>
      </c>
      <c r="L73" s="382">
        <f t="shared" si="96"/>
        <v>0</v>
      </c>
      <c r="M73" s="382">
        <f t="shared" si="96"/>
        <v>0</v>
      </c>
      <c r="N73" s="382">
        <f t="shared" si="96"/>
        <v>0</v>
      </c>
      <c r="O73" s="383">
        <f t="shared" si="96"/>
        <v>0</v>
      </c>
      <c r="P73" s="1231">
        <f t="shared" si="94"/>
        <v>0</v>
      </c>
      <c r="Q73" s="1238" t="str">
        <f t="shared" si="91"/>
        <v>-</v>
      </c>
      <c r="R73" s="353">
        <f>+P73-Mersin!P73-Ankara!P73-Antalya!P73-Konya!P73-Trakya!P73-Kayseri!P73-Diyarbakır!P73-Erzurum!P73-Marmara2!P73-Marmara1!P73-Ege!P73-Malatya!P73-Karadeniz!P73-Şanlıurfa!P73</f>
        <v>0</v>
      </c>
      <c r="S73" s="639" t="e">
        <f t="shared" ref="S73:S90" si="97">SUM(P73-P96)/P73</f>
        <v>#DIV/0!</v>
      </c>
    </row>
    <row r="74" spans="1:22" ht="15" customHeight="1">
      <c r="A74" s="385" t="s">
        <v>27</v>
      </c>
      <c r="B74" s="391">
        <f t="shared" ref="B74:C74" si="98">SUM(B72:B73)</f>
        <v>0</v>
      </c>
      <c r="C74" s="390">
        <f t="shared" si="98"/>
        <v>0</v>
      </c>
      <c r="D74" s="388">
        <f t="shared" ref="D74:O74" si="99">SUM(D72:D73)</f>
        <v>0</v>
      </c>
      <c r="E74" s="389">
        <f t="shared" si="99"/>
        <v>0</v>
      </c>
      <c r="F74" s="389">
        <f t="shared" si="99"/>
        <v>0</v>
      </c>
      <c r="G74" s="389">
        <f t="shared" si="99"/>
        <v>0</v>
      </c>
      <c r="H74" s="389">
        <f t="shared" si="99"/>
        <v>0</v>
      </c>
      <c r="I74" s="389">
        <f t="shared" si="99"/>
        <v>0</v>
      </c>
      <c r="J74" s="389">
        <f t="shared" si="99"/>
        <v>0</v>
      </c>
      <c r="K74" s="389">
        <f t="shared" si="99"/>
        <v>0</v>
      </c>
      <c r="L74" s="389">
        <f t="shared" si="99"/>
        <v>0</v>
      </c>
      <c r="M74" s="389">
        <f t="shared" si="99"/>
        <v>0</v>
      </c>
      <c r="N74" s="389">
        <f t="shared" si="99"/>
        <v>0</v>
      </c>
      <c r="O74" s="390">
        <f t="shared" si="99"/>
        <v>0</v>
      </c>
      <c r="P74" s="1158">
        <f t="shared" si="94"/>
        <v>0</v>
      </c>
      <c r="Q74" s="1239" t="str">
        <f t="shared" si="91"/>
        <v>-</v>
      </c>
      <c r="R74" s="353">
        <f>+P74-Mersin!P74-Ankara!P74-Antalya!P74-Konya!P74-Trakya!P74-Kayseri!P74-Diyarbakır!P74-Erzurum!P74-Marmara2!P74-Marmara1!P74-Ege!P74-Malatya!P74-Karadeniz!P74-Şanlıurfa!P74</f>
        <v>0</v>
      </c>
      <c r="S74" s="639"/>
    </row>
    <row r="75" spans="1:22" ht="16.5" customHeight="1">
      <c r="A75" s="393" t="s">
        <v>17</v>
      </c>
      <c r="B75" s="394">
        <f t="shared" ref="B75:C75" si="100">+B29-B52</f>
        <v>0</v>
      </c>
      <c r="C75" s="395">
        <f t="shared" si="100"/>
        <v>0</v>
      </c>
      <c r="D75" s="396">
        <f t="shared" ref="D75:O75" si="101">+D29-D52</f>
        <v>0</v>
      </c>
      <c r="E75" s="397">
        <f t="shared" si="101"/>
        <v>0</v>
      </c>
      <c r="F75" s="397">
        <f t="shared" si="101"/>
        <v>0</v>
      </c>
      <c r="G75" s="397">
        <f t="shared" si="101"/>
        <v>0</v>
      </c>
      <c r="H75" s="397">
        <f t="shared" si="101"/>
        <v>0</v>
      </c>
      <c r="I75" s="397">
        <f t="shared" si="101"/>
        <v>0</v>
      </c>
      <c r="J75" s="397">
        <f t="shared" si="101"/>
        <v>0</v>
      </c>
      <c r="K75" s="397">
        <f t="shared" si="101"/>
        <v>0</v>
      </c>
      <c r="L75" s="397">
        <f t="shared" si="101"/>
        <v>0</v>
      </c>
      <c r="M75" s="397">
        <f t="shared" si="101"/>
        <v>0</v>
      </c>
      <c r="N75" s="397">
        <f t="shared" si="101"/>
        <v>0</v>
      </c>
      <c r="O75" s="398">
        <f t="shared" si="101"/>
        <v>0</v>
      </c>
      <c r="P75" s="1246">
        <f t="shared" si="94"/>
        <v>0</v>
      </c>
      <c r="Q75" s="1238" t="str">
        <f t="shared" si="91"/>
        <v>-</v>
      </c>
      <c r="R75" s="353">
        <f>+P75-Mersin!P75-Ankara!P75-Antalya!P75-Konya!P75-Trakya!P75-Kayseri!P75-Diyarbakır!P75-Erzurum!P75-Marmara2!P75-Marmara1!P75-Ege!P75-Malatya!P75-Karadeniz!P75-Şanlıurfa!P75</f>
        <v>0</v>
      </c>
      <c r="S75" s="639" t="e">
        <f t="shared" si="97"/>
        <v>#DIV/0!</v>
      </c>
    </row>
    <row r="76" spans="1:22" ht="16.5" customHeight="1">
      <c r="A76" s="400" t="s">
        <v>81</v>
      </c>
      <c r="B76" s="391">
        <f t="shared" ref="B76:C76" si="102">+B30-B53</f>
        <v>0</v>
      </c>
      <c r="C76" s="450">
        <f t="shared" si="102"/>
        <v>0</v>
      </c>
      <c r="D76" s="388">
        <f>+D30-D53</f>
        <v>0</v>
      </c>
      <c r="E76" s="389">
        <f t="shared" ref="E76:O76" si="103">+E30-E53</f>
        <v>0</v>
      </c>
      <c r="F76" s="389">
        <f t="shared" si="103"/>
        <v>0</v>
      </c>
      <c r="G76" s="389">
        <f t="shared" si="103"/>
        <v>0</v>
      </c>
      <c r="H76" s="389">
        <f t="shared" si="103"/>
        <v>0</v>
      </c>
      <c r="I76" s="389">
        <f t="shared" si="103"/>
        <v>0</v>
      </c>
      <c r="J76" s="389">
        <f t="shared" si="103"/>
        <v>0</v>
      </c>
      <c r="K76" s="389">
        <f t="shared" si="103"/>
        <v>0</v>
      </c>
      <c r="L76" s="389">
        <f t="shared" si="103"/>
        <v>0</v>
      </c>
      <c r="M76" s="389">
        <f t="shared" si="103"/>
        <v>0</v>
      </c>
      <c r="N76" s="389">
        <f t="shared" si="103"/>
        <v>0</v>
      </c>
      <c r="O76" s="390">
        <f t="shared" si="103"/>
        <v>0</v>
      </c>
      <c r="P76" s="1218">
        <f t="shared" si="94"/>
        <v>0</v>
      </c>
      <c r="Q76" s="1240" t="str">
        <f t="shared" si="91"/>
        <v>-</v>
      </c>
      <c r="R76" s="353">
        <f>+P76-Mersin!P76-Ankara!P76-Antalya!P76-Konya!P76-Trakya!P76-Kayseri!P76-Diyarbakır!P76-Erzurum!P76-Marmara2!P76-Marmara1!P76-Ege!P76-Malatya!P76-Karadeniz!P76-Şanlıurfa!P76</f>
        <v>0</v>
      </c>
      <c r="S76" s="639" t="e">
        <f>SUM(P76-P99)/P76</f>
        <v>#DIV/0!</v>
      </c>
    </row>
    <row r="77" spans="1:22" ht="16.5" hidden="1" customHeight="1">
      <c r="A77" s="406" t="s">
        <v>82</v>
      </c>
      <c r="B77" s="394">
        <f t="shared" ref="B77:C77" si="104">+B31-B54</f>
        <v>0</v>
      </c>
      <c r="C77" s="395">
        <f t="shared" si="104"/>
        <v>0</v>
      </c>
      <c r="D77" s="396">
        <f t="shared" ref="D77:O77" si="105">+D31-D54</f>
        <v>0</v>
      </c>
      <c r="E77" s="397">
        <f t="shared" si="105"/>
        <v>0</v>
      </c>
      <c r="F77" s="397">
        <f t="shared" si="105"/>
        <v>0</v>
      </c>
      <c r="G77" s="397">
        <f t="shared" si="105"/>
        <v>0</v>
      </c>
      <c r="H77" s="397">
        <f t="shared" si="105"/>
        <v>0</v>
      </c>
      <c r="I77" s="397">
        <f t="shared" si="105"/>
        <v>0</v>
      </c>
      <c r="J77" s="397">
        <f t="shared" si="105"/>
        <v>0</v>
      </c>
      <c r="K77" s="397">
        <f t="shared" si="105"/>
        <v>0</v>
      </c>
      <c r="L77" s="397">
        <f t="shared" si="105"/>
        <v>0</v>
      </c>
      <c r="M77" s="397">
        <f t="shared" si="105"/>
        <v>0</v>
      </c>
      <c r="N77" s="397">
        <f t="shared" si="105"/>
        <v>0</v>
      </c>
      <c r="O77" s="398">
        <f t="shared" si="105"/>
        <v>0</v>
      </c>
      <c r="P77" s="1246">
        <f>SUM(D77:O77)</f>
        <v>0</v>
      </c>
      <c r="Q77" s="1238" t="str">
        <f t="shared" si="91"/>
        <v>-</v>
      </c>
      <c r="R77" s="353">
        <f>+P77-Mersin!P77-Ankara!P77-Antalya!P77-Konya!P77-Trakya!P77-Kayseri!P77-Diyarbakır!P77-Erzurum!P77-Marmara2!P77-Marmara1!P77-Ege!P77-Malatya!P77-Karadeniz!P77-Şanlıurfa!P77</f>
        <v>0</v>
      </c>
      <c r="S77" s="639" t="e">
        <f t="shared" si="97"/>
        <v>#DIV/0!</v>
      </c>
    </row>
    <row r="78" spans="1:22" ht="16.5" customHeight="1">
      <c r="A78" s="400" t="s">
        <v>83</v>
      </c>
      <c r="B78" s="408">
        <f t="shared" ref="B78:C78" si="106">+B32-B55</f>
        <v>0</v>
      </c>
      <c r="C78" s="409">
        <f t="shared" si="106"/>
        <v>0</v>
      </c>
      <c r="D78" s="402">
        <f t="shared" ref="D78:O78" si="107">+D32-D55</f>
        <v>0</v>
      </c>
      <c r="E78" s="403">
        <f t="shared" si="107"/>
        <v>0</v>
      </c>
      <c r="F78" s="403">
        <f t="shared" si="107"/>
        <v>0</v>
      </c>
      <c r="G78" s="403">
        <f t="shared" si="107"/>
        <v>0</v>
      </c>
      <c r="H78" s="403">
        <f t="shared" si="107"/>
        <v>0</v>
      </c>
      <c r="I78" s="403">
        <f t="shared" si="107"/>
        <v>0</v>
      </c>
      <c r="J78" s="403">
        <f t="shared" si="107"/>
        <v>0</v>
      </c>
      <c r="K78" s="403">
        <f t="shared" si="107"/>
        <v>0</v>
      </c>
      <c r="L78" s="403">
        <f t="shared" si="107"/>
        <v>0</v>
      </c>
      <c r="M78" s="403">
        <f t="shared" si="107"/>
        <v>0</v>
      </c>
      <c r="N78" s="403">
        <f t="shared" si="107"/>
        <v>0</v>
      </c>
      <c r="O78" s="404">
        <f t="shared" si="107"/>
        <v>0</v>
      </c>
      <c r="P78" s="1218">
        <f t="shared" si="94"/>
        <v>0</v>
      </c>
      <c r="Q78" s="1240" t="str">
        <f t="shared" si="91"/>
        <v>-</v>
      </c>
      <c r="R78" s="353">
        <f>+P78-Mersin!P78-Ankara!P78-Antalya!P78-Konya!P78-Trakya!P78-Kayseri!P78-Diyarbakır!P78-Erzurum!P78-Marmara2!P78-Marmara1!P78-Ege!P78-Malatya!P78-Karadeniz!P78-Şanlıurfa!P78</f>
        <v>0</v>
      </c>
      <c r="S78" s="639" t="e">
        <f t="shared" si="97"/>
        <v>#DIV/0!</v>
      </c>
    </row>
    <row r="79" spans="1:22" ht="16.5" hidden="1" customHeight="1">
      <c r="A79" s="406" t="s">
        <v>84</v>
      </c>
      <c r="B79" s="378">
        <f t="shared" ref="B79" si="108">+B33-B56</f>
        <v>0</v>
      </c>
      <c r="C79" s="379">
        <f>Kayseri!C79+Karadeniz!C79+Malatya!C79+Şanlıurfa!C79+Ege!C79+Marmara1!C79+Marmara2!C79+Erzurum!C79+Konya!C79+Diyarbakır!C79+Trakya!C79+Antalya!C79+Ankara!C79+Mersin!C79</f>
        <v>0</v>
      </c>
      <c r="D79" s="407">
        <f t="shared" ref="D79:O79" si="109">+D33-D56</f>
        <v>0</v>
      </c>
      <c r="E79" s="382">
        <f t="shared" si="109"/>
        <v>0</v>
      </c>
      <c r="F79" s="382">
        <f t="shared" si="109"/>
        <v>0</v>
      </c>
      <c r="G79" s="382">
        <f t="shared" si="109"/>
        <v>0</v>
      </c>
      <c r="H79" s="382">
        <f t="shared" si="109"/>
        <v>0</v>
      </c>
      <c r="I79" s="381">
        <f t="shared" si="109"/>
        <v>0</v>
      </c>
      <c r="J79" s="381">
        <f t="shared" si="109"/>
        <v>0</v>
      </c>
      <c r="K79" s="382">
        <f t="shared" si="109"/>
        <v>0</v>
      </c>
      <c r="L79" s="382">
        <f t="shared" si="109"/>
        <v>0</v>
      </c>
      <c r="M79" s="382">
        <f t="shared" si="109"/>
        <v>0</v>
      </c>
      <c r="N79" s="382">
        <f t="shared" si="109"/>
        <v>0</v>
      </c>
      <c r="O79" s="383">
        <f t="shared" si="109"/>
        <v>0</v>
      </c>
      <c r="P79" s="1246">
        <f t="shared" si="94"/>
        <v>0</v>
      </c>
      <c r="Q79" s="1238" t="str">
        <f t="shared" si="91"/>
        <v>-</v>
      </c>
      <c r="R79" s="353">
        <f>+P79-Mersin!P79-Ankara!P79-Antalya!P79-Konya!P79-Trakya!P79-Kayseri!P79-Diyarbakır!P79-Erzurum!P79-Marmara2!P79-Marmara1!P79-Ege!P79-Malatya!P79-Karadeniz!P79-Şanlıurfa!P79</f>
        <v>0</v>
      </c>
      <c r="S79" s="639" t="e">
        <f t="shared" si="97"/>
        <v>#DIV/0!</v>
      </c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110">SUM(B76:B79)</f>
        <v>0</v>
      </c>
      <c r="C80" s="412">
        <f t="shared" si="110"/>
        <v>0</v>
      </c>
      <c r="D80" s="413">
        <f t="shared" ref="D80:O80" si="111">SUM(D76:D79)</f>
        <v>0</v>
      </c>
      <c r="E80" s="414">
        <f t="shared" si="111"/>
        <v>0</v>
      </c>
      <c r="F80" s="414">
        <f t="shared" si="111"/>
        <v>0</v>
      </c>
      <c r="G80" s="414">
        <f t="shared" si="111"/>
        <v>0</v>
      </c>
      <c r="H80" s="414">
        <f t="shared" si="111"/>
        <v>0</v>
      </c>
      <c r="I80" s="414">
        <f t="shared" si="111"/>
        <v>0</v>
      </c>
      <c r="J80" s="414">
        <f t="shared" si="111"/>
        <v>0</v>
      </c>
      <c r="K80" s="414">
        <f t="shared" si="111"/>
        <v>0</v>
      </c>
      <c r="L80" s="414">
        <f t="shared" si="111"/>
        <v>0</v>
      </c>
      <c r="M80" s="414">
        <f t="shared" si="111"/>
        <v>0</v>
      </c>
      <c r="N80" s="414">
        <f t="shared" si="111"/>
        <v>0</v>
      </c>
      <c r="O80" s="412">
        <f t="shared" si="111"/>
        <v>0</v>
      </c>
      <c r="P80" s="1159">
        <f t="shared" si="94"/>
        <v>0</v>
      </c>
      <c r="Q80" s="1241" t="str">
        <f t="shared" si="91"/>
        <v>-</v>
      </c>
      <c r="R80" s="353">
        <f>+P80-Mersin!P80-Ankara!P80-Antalya!P80-Konya!P80-Trakya!P80-Kayseri!P80-Diyarbakır!P80-Erzurum!P80-Marmara2!P80-Marmara1!P80-Ege!P80-Malatya!P80-Karadeniz!P80-Şanlıurfa!P80</f>
        <v>0</v>
      </c>
      <c r="S80" s="639"/>
    </row>
    <row r="81" spans="1:22" ht="22.5" customHeight="1" thickBot="1">
      <c r="A81" s="362" t="s">
        <v>29</v>
      </c>
      <c r="B81" s="420">
        <f t="shared" ref="B81:C81" si="112">+B35-B58</f>
        <v>0</v>
      </c>
      <c r="C81" s="416">
        <f t="shared" si="112"/>
        <v>0</v>
      </c>
      <c r="D81" s="417">
        <f t="shared" ref="D81:O81" si="113">+D35-D58</f>
        <v>0</v>
      </c>
      <c r="E81" s="418">
        <f t="shared" si="113"/>
        <v>0</v>
      </c>
      <c r="F81" s="418">
        <f t="shared" si="113"/>
        <v>0</v>
      </c>
      <c r="G81" s="418">
        <f t="shared" si="113"/>
        <v>0</v>
      </c>
      <c r="H81" s="418">
        <f t="shared" si="113"/>
        <v>0</v>
      </c>
      <c r="I81" s="418">
        <f t="shared" si="113"/>
        <v>0</v>
      </c>
      <c r="J81" s="418">
        <f t="shared" si="113"/>
        <v>0</v>
      </c>
      <c r="K81" s="418">
        <f t="shared" si="113"/>
        <v>0</v>
      </c>
      <c r="L81" s="418">
        <f t="shared" si="113"/>
        <v>0</v>
      </c>
      <c r="M81" s="418">
        <f t="shared" si="113"/>
        <v>0</v>
      </c>
      <c r="N81" s="418">
        <f t="shared" si="113"/>
        <v>0</v>
      </c>
      <c r="O81" s="419">
        <f t="shared" si="113"/>
        <v>0</v>
      </c>
      <c r="P81" s="1232">
        <f t="shared" si="94"/>
        <v>0</v>
      </c>
      <c r="Q81" s="1242" t="str">
        <f t="shared" si="91"/>
        <v>-</v>
      </c>
      <c r="R81" s="353">
        <f>+P81-Mersin!P81-Ankara!P81-Antalya!P81-Konya!P81-Trakya!P81-Kayseri!P81-Diyarbakır!P81-Erzurum!P81-Marmara2!P81-Marmara1!P81-Ege!P81-Malatya!P81-Karadeniz!P81-Şanlıurfa!P81</f>
        <v>0</v>
      </c>
      <c r="S81" s="639" t="e">
        <f t="shared" si="97"/>
        <v>#DIV/0!</v>
      </c>
    </row>
    <row r="82" spans="1:22" ht="16.5" customHeight="1">
      <c r="A82" s="422" t="s">
        <v>19</v>
      </c>
      <c r="B82" s="423">
        <f t="shared" ref="B82:C82" si="114">+B36-B59</f>
        <v>0</v>
      </c>
      <c r="C82" s="424">
        <f t="shared" si="114"/>
        <v>0</v>
      </c>
      <c r="D82" s="425">
        <f t="shared" ref="D82:O82" si="115">+D36-D59</f>
        <v>0</v>
      </c>
      <c r="E82" s="426">
        <f t="shared" si="115"/>
        <v>0</v>
      </c>
      <c r="F82" s="426">
        <f t="shared" si="115"/>
        <v>0</v>
      </c>
      <c r="G82" s="426">
        <f t="shared" si="115"/>
        <v>0</v>
      </c>
      <c r="H82" s="426">
        <f t="shared" si="115"/>
        <v>0</v>
      </c>
      <c r="I82" s="426">
        <f t="shared" si="115"/>
        <v>0</v>
      </c>
      <c r="J82" s="426">
        <f t="shared" si="115"/>
        <v>0</v>
      </c>
      <c r="K82" s="426">
        <f t="shared" si="115"/>
        <v>0</v>
      </c>
      <c r="L82" s="426">
        <f t="shared" si="115"/>
        <v>0</v>
      </c>
      <c r="M82" s="426">
        <f t="shared" si="115"/>
        <v>0</v>
      </c>
      <c r="N82" s="426">
        <f t="shared" si="115"/>
        <v>0</v>
      </c>
      <c r="O82" s="427">
        <f t="shared" si="115"/>
        <v>0</v>
      </c>
      <c r="P82" s="1247">
        <f t="shared" si="94"/>
        <v>0</v>
      </c>
      <c r="Q82" s="1243" t="str">
        <f t="shared" si="91"/>
        <v>-</v>
      </c>
      <c r="R82" s="353">
        <f>+P82-Mersin!P82-Ankara!P82-Antalya!P82-Konya!P82-Trakya!P82-Kayseri!P82-Diyarbakır!P82-Erzurum!P82-Marmara2!P82-Marmara1!P82-Ege!P82-Malatya!P82-Karadeniz!P82-Şanlıurfa!P82</f>
        <v>0</v>
      </c>
      <c r="S82" s="639"/>
    </row>
    <row r="83" spans="1:22" ht="16.5" customHeight="1" thickBot="1">
      <c r="A83" s="430" t="s">
        <v>20</v>
      </c>
      <c r="B83" s="431">
        <f t="shared" ref="B83:C83" si="116">+B37-B60</f>
        <v>0</v>
      </c>
      <c r="C83" s="432">
        <f t="shared" si="116"/>
        <v>0</v>
      </c>
      <c r="D83" s="433">
        <f t="shared" ref="D83:O83" si="117">+D37-D60</f>
        <v>0</v>
      </c>
      <c r="E83" s="434">
        <f t="shared" si="117"/>
        <v>0</v>
      </c>
      <c r="F83" s="434">
        <f t="shared" si="117"/>
        <v>0</v>
      </c>
      <c r="G83" s="434">
        <f t="shared" si="117"/>
        <v>0</v>
      </c>
      <c r="H83" s="434">
        <f t="shared" si="117"/>
        <v>0</v>
      </c>
      <c r="I83" s="434">
        <f t="shared" si="117"/>
        <v>0</v>
      </c>
      <c r="J83" s="434">
        <f t="shared" si="117"/>
        <v>0</v>
      </c>
      <c r="K83" s="434">
        <f t="shared" si="117"/>
        <v>0</v>
      </c>
      <c r="L83" s="434">
        <f t="shared" si="117"/>
        <v>0</v>
      </c>
      <c r="M83" s="434">
        <f t="shared" si="117"/>
        <v>0</v>
      </c>
      <c r="N83" s="434">
        <f t="shared" si="117"/>
        <v>0</v>
      </c>
      <c r="O83" s="435">
        <f t="shared" si="117"/>
        <v>0</v>
      </c>
      <c r="P83" s="1220">
        <f t="shared" si="94"/>
        <v>0</v>
      </c>
      <c r="Q83" s="1244" t="str">
        <f t="shared" si="91"/>
        <v>-</v>
      </c>
      <c r="R83" s="353">
        <f>+P83-Mersin!P83-Ankara!P83-Antalya!P83-Konya!P83-Trakya!P83-Kayseri!P83-Diyarbakır!P83-Erzurum!P83-Marmara2!P83-Marmara1!P83-Ege!P83-Malatya!P83-Karadeniz!P83-Şanlıurfa!P83</f>
        <v>0</v>
      </c>
      <c r="S83" s="639" t="e">
        <f t="shared" si="97"/>
        <v>#DIV/0!</v>
      </c>
    </row>
    <row r="84" spans="1:22" ht="22.5" customHeight="1" thickBot="1">
      <c r="A84" s="362" t="s">
        <v>30</v>
      </c>
      <c r="B84" s="363">
        <f t="shared" ref="B84:C84" si="118">+B38-B61</f>
        <v>0</v>
      </c>
      <c r="C84" s="364">
        <f t="shared" si="118"/>
        <v>0</v>
      </c>
      <c r="D84" s="365">
        <f t="shared" ref="D84:O84" si="119">+D38-D61</f>
        <v>0</v>
      </c>
      <c r="E84" s="366">
        <f t="shared" si="119"/>
        <v>0</v>
      </c>
      <c r="F84" s="366">
        <f t="shared" si="119"/>
        <v>0</v>
      </c>
      <c r="G84" s="366">
        <f t="shared" si="119"/>
        <v>0</v>
      </c>
      <c r="H84" s="366">
        <f t="shared" si="119"/>
        <v>0</v>
      </c>
      <c r="I84" s="366">
        <f t="shared" si="119"/>
        <v>0</v>
      </c>
      <c r="J84" s="366">
        <f t="shared" si="119"/>
        <v>0</v>
      </c>
      <c r="K84" s="366">
        <f t="shared" si="119"/>
        <v>0</v>
      </c>
      <c r="L84" s="366">
        <f t="shared" si="119"/>
        <v>0</v>
      </c>
      <c r="M84" s="366">
        <f t="shared" si="119"/>
        <v>0</v>
      </c>
      <c r="N84" s="366">
        <f t="shared" si="119"/>
        <v>0</v>
      </c>
      <c r="O84" s="448">
        <f t="shared" si="119"/>
        <v>0</v>
      </c>
      <c r="P84" s="456">
        <f t="shared" si="94"/>
        <v>0</v>
      </c>
      <c r="Q84" s="1236" t="str">
        <f t="shared" si="91"/>
        <v>-</v>
      </c>
      <c r="R84" s="353">
        <f>+P84-Mersin!P84-Ankara!P84-Antalya!P84-Konya!P84-Trakya!P84-Kayseri!P84-Diyarbakır!P84-Erzurum!P84-Marmara2!P84-Marmara1!P84-Ege!P84-Malatya!P84-Karadeniz!P84-Şanlıurfa!P84</f>
        <v>0</v>
      </c>
      <c r="S84" s="639" t="e">
        <f t="shared" si="97"/>
        <v>#DIV/0!</v>
      </c>
    </row>
    <row r="85" spans="1:22" ht="16.5" customHeight="1">
      <c r="A85" s="422" t="s">
        <v>106</v>
      </c>
      <c r="B85" s="423">
        <f t="shared" ref="B85:C85" si="120">+B39-B62</f>
        <v>0</v>
      </c>
      <c r="C85" s="424">
        <f t="shared" si="120"/>
        <v>0</v>
      </c>
      <c r="D85" s="425">
        <f t="shared" ref="D85:O85" si="121">+D39-D62</f>
        <v>0</v>
      </c>
      <c r="E85" s="426">
        <f t="shared" si="121"/>
        <v>0</v>
      </c>
      <c r="F85" s="426">
        <f t="shared" si="121"/>
        <v>0</v>
      </c>
      <c r="G85" s="426">
        <f t="shared" si="121"/>
        <v>0</v>
      </c>
      <c r="H85" s="426">
        <f t="shared" si="121"/>
        <v>0</v>
      </c>
      <c r="I85" s="426">
        <f t="shared" si="121"/>
        <v>0</v>
      </c>
      <c r="J85" s="426">
        <f t="shared" si="121"/>
        <v>0</v>
      </c>
      <c r="K85" s="426">
        <f t="shared" si="121"/>
        <v>0</v>
      </c>
      <c r="L85" s="426">
        <f t="shared" si="121"/>
        <v>0</v>
      </c>
      <c r="M85" s="426">
        <f t="shared" si="121"/>
        <v>0</v>
      </c>
      <c r="N85" s="426">
        <f t="shared" si="121"/>
        <v>0</v>
      </c>
      <c r="O85" s="427">
        <f t="shared" si="121"/>
        <v>0</v>
      </c>
      <c r="P85" s="1247">
        <f t="shared" si="94"/>
        <v>0</v>
      </c>
      <c r="Q85" s="1243" t="str">
        <f t="shared" si="91"/>
        <v>-</v>
      </c>
      <c r="R85" s="353">
        <f>+P85-Mersin!P85-Ankara!P85-Antalya!P85-Konya!P85-Trakya!P85-Kayseri!P85-Diyarbakır!P85-Erzurum!P85-Marmara2!P85-Marmara1!P85-Ege!P85-Malatya!P85-Karadeniz!P85-Şanlıurfa!P85</f>
        <v>0</v>
      </c>
      <c r="S85" s="639" t="e">
        <f t="shared" si="97"/>
        <v>#DIV/0!</v>
      </c>
    </row>
    <row r="86" spans="1:22" ht="16.5" customHeight="1" thickBot="1">
      <c r="A86" s="438" t="s">
        <v>105</v>
      </c>
      <c r="B86" s="439">
        <f t="shared" ref="B86:C86" si="122">+B40-B63</f>
        <v>0</v>
      </c>
      <c r="C86" s="440">
        <f t="shared" si="122"/>
        <v>0</v>
      </c>
      <c r="D86" s="441">
        <f t="shared" ref="D86:O86" si="123">+D40-D63</f>
        <v>0</v>
      </c>
      <c r="E86" s="442">
        <f t="shared" si="123"/>
        <v>0</v>
      </c>
      <c r="F86" s="442">
        <f t="shared" si="123"/>
        <v>0</v>
      </c>
      <c r="G86" s="442">
        <f t="shared" si="123"/>
        <v>0</v>
      </c>
      <c r="H86" s="442">
        <f t="shared" si="123"/>
        <v>0</v>
      </c>
      <c r="I86" s="442">
        <f t="shared" si="123"/>
        <v>0</v>
      </c>
      <c r="J86" s="442">
        <f t="shared" si="123"/>
        <v>0</v>
      </c>
      <c r="K86" s="442">
        <f t="shared" si="123"/>
        <v>0</v>
      </c>
      <c r="L86" s="442">
        <f t="shared" si="123"/>
        <v>0</v>
      </c>
      <c r="M86" s="442">
        <f t="shared" si="123"/>
        <v>0</v>
      </c>
      <c r="N86" s="442">
        <f t="shared" si="123"/>
        <v>0</v>
      </c>
      <c r="O86" s="443">
        <f t="shared" si="123"/>
        <v>0</v>
      </c>
      <c r="P86" s="1248">
        <f t="shared" si="94"/>
        <v>0</v>
      </c>
      <c r="Q86" s="1245" t="str">
        <f t="shared" si="91"/>
        <v>-</v>
      </c>
      <c r="R86" s="353">
        <f>+P86-Mersin!P86-Ankara!P86-Antalya!P86-Konya!P86-Trakya!P86-Kayseri!P86-Diyarbakır!P86-Erzurum!P86-Marmara2!P86-Marmara1!P86-Ege!P86-Malatya!P86-Karadeniz!P86-Şanlıurfa!P86</f>
        <v>0</v>
      </c>
      <c r="S86" s="639" t="e">
        <f t="shared" si="97"/>
        <v>#DIV/0!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  <c r="R87" s="353">
        <f>+P87-Mersin!P87-Ankara!P87-Antalya!P87-Konya!P87-Trakya!P87-Kayseri!P87-Diyarbakır!P87-Erzurum!P87-Marmara2!P87-Marmara1!P87-Ege!P87-Malatya!P87-Karadeniz!P87-Şanlıurfa!P87</f>
        <v>0</v>
      </c>
      <c r="S87" s="639"/>
    </row>
    <row r="88" spans="1:22" ht="22.5" customHeight="1" thickBot="1">
      <c r="A88" s="362" t="s">
        <v>86</v>
      </c>
      <c r="B88" s="363">
        <f t="shared" ref="B88:O88" si="124">+B42-B65</f>
        <v>0</v>
      </c>
      <c r="C88" s="364">
        <f>+C42-C65</f>
        <v>0</v>
      </c>
      <c r="D88" s="365">
        <f t="shared" si="124"/>
        <v>0</v>
      </c>
      <c r="E88" s="366">
        <f t="shared" si="124"/>
        <v>0</v>
      </c>
      <c r="F88" s="366">
        <f t="shared" si="124"/>
        <v>0</v>
      </c>
      <c r="G88" s="366">
        <f t="shared" si="124"/>
        <v>0</v>
      </c>
      <c r="H88" s="366">
        <f t="shared" si="124"/>
        <v>0</v>
      </c>
      <c r="I88" s="366">
        <f t="shared" si="124"/>
        <v>0</v>
      </c>
      <c r="J88" s="366">
        <f t="shared" si="124"/>
        <v>0</v>
      </c>
      <c r="K88" s="366">
        <f t="shared" si="124"/>
        <v>0</v>
      </c>
      <c r="L88" s="366">
        <f t="shared" si="124"/>
        <v>0</v>
      </c>
      <c r="M88" s="366">
        <f t="shared" si="124"/>
        <v>0</v>
      </c>
      <c r="N88" s="366">
        <f t="shared" si="124"/>
        <v>0</v>
      </c>
      <c r="O88" s="448">
        <f t="shared" si="124"/>
        <v>0</v>
      </c>
      <c r="P88" s="456">
        <f t="shared" si="94"/>
        <v>0</v>
      </c>
      <c r="Q88" s="1236" t="str">
        <f>IF(P88=0,"-",P88/C88-1)</f>
        <v>-</v>
      </c>
      <c r="R88" s="353">
        <f>+P88-Mersin!P88-Ankara!P88-Antalya!P88-Konya!P88-Trakya!P88-Kayseri!P88-Diyarbakır!P88-Erzurum!P88-Marmara2!P88-Marmara1!P88-Ege!P88-Malatya!P88-Karadeniz!P88-Şanlıurfa!P88</f>
        <v>0</v>
      </c>
      <c r="S88" s="639"/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94"/>
        <v>0</v>
      </c>
      <c r="Q89" s="453"/>
      <c r="R89" s="353">
        <f>+P89-Mersin!P89-Ankara!P89-Antalya!P89-Konya!P89-Trakya!P89-Kayseri!P89-Diyarbakır!P89-Erzurum!P89-Marmara2!P89-Marmara1!P89-Ege!P89-Malatya!P89-Karadeniz!P89-Şanlıurfa!P89</f>
        <v>0</v>
      </c>
      <c r="S89" s="639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:O90" si="125">+C71+C81+C84+C88</f>
        <v>0</v>
      </c>
      <c r="D90" s="365">
        <f t="shared" si="125"/>
        <v>0</v>
      </c>
      <c r="E90" s="366">
        <f t="shared" si="125"/>
        <v>0</v>
      </c>
      <c r="F90" s="366">
        <f t="shared" si="125"/>
        <v>0</v>
      </c>
      <c r="G90" s="366">
        <f t="shared" si="125"/>
        <v>0</v>
      </c>
      <c r="H90" s="366">
        <f t="shared" si="125"/>
        <v>0</v>
      </c>
      <c r="I90" s="366">
        <f t="shared" si="125"/>
        <v>0</v>
      </c>
      <c r="J90" s="366">
        <f t="shared" si="125"/>
        <v>0</v>
      </c>
      <c r="K90" s="366">
        <f t="shared" si="125"/>
        <v>0</v>
      </c>
      <c r="L90" s="366">
        <f t="shared" si="125"/>
        <v>0</v>
      </c>
      <c r="M90" s="366">
        <f t="shared" si="125"/>
        <v>0</v>
      </c>
      <c r="N90" s="366">
        <f t="shared" si="125"/>
        <v>0</v>
      </c>
      <c r="O90" s="448">
        <f t="shared" si="125"/>
        <v>0</v>
      </c>
      <c r="P90" s="456">
        <f t="shared" si="94"/>
        <v>0</v>
      </c>
      <c r="Q90" s="1236" t="str">
        <f>IF(P90=0,"-",P90/C90-1)</f>
        <v>-</v>
      </c>
      <c r="R90" s="353">
        <f>+P90-Mersin!P90-Ankara!P90-Antalya!P90-Konya!P90-Trakya!P90-Kayseri!P90-Diyarbakır!P90-Erzurum!P90-Marmara2!P90-Marmara1!P90-Ege!P90-Malatya!P90-Karadeniz!P90-Şanlıurfa!P90</f>
        <v>0</v>
      </c>
      <c r="S90" s="639" t="e">
        <f t="shared" si="97"/>
        <v>#DIV/0!</v>
      </c>
    </row>
    <row r="91" spans="1:22" ht="15" thickBot="1">
      <c r="R91" s="353">
        <f>+P91-Mersin!P91-Ankara!P91-Antalya!P91-Konya!P91-Trakya!P91-Kayseri!P91-Diyarbakır!P91-Erzurum!P91-Marmara2!P91-Marmara1!P91-Ege!P91-Malatya!P91-Karadeniz!P91-Şanlıurfa!P91</f>
        <v>0</v>
      </c>
    </row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  <c r="R92" s="353">
        <f>+P92-Mersin!P92-Ankara!P92-Antalya!P92-Konya!P92-Trakya!P92-Kayseri!P92-Diyarbakır!P92-Erzurum!P92-Marmara2!P92-Marmara1!P92-Ege!P92-Malatya!P92-Karadeniz!P92-Şanlıurfa!P92</f>
        <v>0</v>
      </c>
    </row>
    <row r="93" spans="1:22" ht="30.75" customHeight="1" thickBot="1">
      <c r="A93" s="356"/>
      <c r="B93" s="357" t="s">
        <v>704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  <c r="R93" s="353" t="e">
        <f>+P93-Mersin!P93-Ankara!P93-Antalya!P93-Konya!P93-Trakya!P93-Kayseri!P93-Diyarbakır!P93-Erzurum!P93-Marmara2!P93-Marmara1!P93-Ege!P93-Malatya!P93-Karadeniz!P93-Şanlıurfa!P93</f>
        <v>#VALUE!</v>
      </c>
    </row>
    <row r="94" spans="1:22" ht="22.5" customHeight="1" thickBot="1">
      <c r="A94" s="362" t="s">
        <v>28</v>
      </c>
      <c r="B94" s="363">
        <f t="shared" ref="B94:C94" si="126">B97+B98+B103</f>
        <v>0</v>
      </c>
      <c r="C94" s="364">
        <f t="shared" si="126"/>
        <v>0</v>
      </c>
      <c r="D94" s="365">
        <f t="shared" ref="D94:O94" si="127">D97+D98+D103</f>
        <v>0</v>
      </c>
      <c r="E94" s="366">
        <f t="shared" si="127"/>
        <v>0</v>
      </c>
      <c r="F94" s="366">
        <f t="shared" si="127"/>
        <v>0</v>
      </c>
      <c r="G94" s="366">
        <f t="shared" si="127"/>
        <v>0</v>
      </c>
      <c r="H94" s="366">
        <f t="shared" si="127"/>
        <v>0</v>
      </c>
      <c r="I94" s="366">
        <f t="shared" si="127"/>
        <v>0</v>
      </c>
      <c r="J94" s="366">
        <f t="shared" si="127"/>
        <v>0</v>
      </c>
      <c r="K94" s="366">
        <f t="shared" si="127"/>
        <v>0</v>
      </c>
      <c r="L94" s="366">
        <f t="shared" si="127"/>
        <v>0</v>
      </c>
      <c r="M94" s="366">
        <f t="shared" si="127"/>
        <v>0</v>
      </c>
      <c r="N94" s="366">
        <f t="shared" si="127"/>
        <v>0</v>
      </c>
      <c r="O94" s="364">
        <f t="shared" si="127"/>
        <v>0</v>
      </c>
      <c r="P94" s="456">
        <f t="shared" ref="P94:P103" si="128">SUM(D94:O94)</f>
        <v>0</v>
      </c>
      <c r="Q94" s="1236" t="str">
        <f t="shared" ref="Q94:Q109" si="129">IF(P94=0,"-",P94/C94-1)</f>
        <v>-</v>
      </c>
      <c r="R94" s="353">
        <f>+P94-Mersin!P94-Ankara!P94-Antalya!P94-Konya!P94-Trakya!P94-Kayseri!P94-Diyarbakır!P94-Erzurum!P94-Marmara2!P94-Marmara1!P94-Ege!P94-Malatya!P94-Karadeniz!P94-Şanlıurfa!P94</f>
        <v>0</v>
      </c>
    </row>
    <row r="95" spans="1:22" ht="16.5" customHeight="1">
      <c r="A95" s="368" t="s">
        <v>15</v>
      </c>
      <c r="B95" s="369">
        <f>Kayseri!B95+Karadeniz!B95+Malatya!B95+Şanlıurfa!B95+Ege!B95+Marmara1!B95+Marmara2!B95+Erzurum!B95+Konya!B95+Diyarbakır!B95+Trakya!B95+Antalya!B95+Ankara!B95+Mersin!B95</f>
        <v>0</v>
      </c>
      <c r="C95" s="370">
        <f>Kayseri!C95+Karadeniz!C95+Malatya!C95+Şanlıurfa!C95+Ege!C95+Marmara1!C95+Marmara2!C95+Erzurum!C95+Konya!C95+Diyarbakır!C95+Trakya!C95+Antalya!C95+Ankara!C95+Mersin!C95</f>
        <v>0</v>
      </c>
      <c r="D95" s="371">
        <f>Kayseri!D95+Karadeniz!D95+Malatya!D95+Şanlıurfa!D95+Ege!D95+Marmara1!D95+Marmara2!D95+Erzurum!D95+Konya!D95+Diyarbakır!D95+Trakya!D95+Antalya!D95+Ankara!D95+Mersin!D95</f>
        <v>0</v>
      </c>
      <c r="E95" s="372">
        <f>Kayseri!E95+Karadeniz!E95+Malatya!E95+Şanlıurfa!E95+Ege!E95+Marmara1!E95+Marmara2!E95+Erzurum!E95+Konya!E95+Diyarbakır!E95+Trakya!E95+Antalya!E95+Ankara!E95+Mersin!E95</f>
        <v>0</v>
      </c>
      <c r="F95" s="372">
        <f>Kayseri!F95+Karadeniz!F95+Malatya!F95+Şanlıurfa!F95+Ege!F95+Marmara1!F95+Marmara2!F95+Erzurum!F95+Konya!F95+Diyarbakır!F95+Trakya!F95+Antalya!F95+Ankara!F95+Mersin!F95</f>
        <v>0</v>
      </c>
      <c r="G95" s="372">
        <f>Kayseri!G95+Karadeniz!G95+Malatya!G95+Şanlıurfa!G95+Ege!G95+Marmara1!G95+Marmara2!G95+Erzurum!G95+Konya!G95+Diyarbakır!G95+Trakya!G95+Antalya!G95+Ankara!G95+Mersin!G95</f>
        <v>0</v>
      </c>
      <c r="H95" s="373">
        <f>Kayseri!H95+Karadeniz!H95+Malatya!H95+Şanlıurfa!H95+Ege!H95+Marmara1!H95+Marmara2!H95+Erzurum!H95+Konya!H95+Diyarbakır!H95+Trakya!H95+Antalya!H95+Ankara!H95+Mersin!H95</f>
        <v>0</v>
      </c>
      <c r="I95" s="373">
        <f>Kayseri!I95+Karadeniz!I95+Malatya!I95+Şanlıurfa!I95+Ege!I95+Marmara1!I95+Marmara2!I95+Erzurum!I95+Konya!I95+Diyarbakır!I95+Trakya!I95+Antalya!I95+Ankara!I95+Mersin!I95</f>
        <v>0</v>
      </c>
      <c r="J95" s="373">
        <f>Kayseri!J95+Karadeniz!J95+Malatya!J95+Şanlıurfa!J95+Ege!J95+Marmara1!J95+Marmara2!J95+Erzurum!J95+Konya!J95+Diyarbakır!J95+Trakya!J95+Antalya!J95+Ankara!J95+Mersin!J95</f>
        <v>0</v>
      </c>
      <c r="K95" s="373">
        <f>Kayseri!K95+Karadeniz!K95+Malatya!K95+Şanlıurfa!K95+Ege!K95+Marmara1!K95+Marmara2!K95+Erzurum!K95+Konya!K95+Diyarbakır!K95+Trakya!K95+Antalya!K95+Ankara!K95+Mersin!K95</f>
        <v>0</v>
      </c>
      <c r="L95" s="373">
        <f>Kayseri!L95+Karadeniz!L95+Malatya!L95+Şanlıurfa!L95+Ege!L95+Marmara1!L95+Marmara2!L95+Erzurum!L95+Konya!L95+Diyarbakır!L95+Trakya!L95+Antalya!L95+Ankara!L95+Mersin!L95</f>
        <v>0</v>
      </c>
      <c r="M95" s="373">
        <f>Kayseri!M95+Karadeniz!M95+Malatya!M95+Şanlıurfa!M95+Ege!M95+Marmara1!M95+Marmara2!M95+Erzurum!M95+Konya!M95+Diyarbakır!M95+Trakya!M95+Antalya!M95+Ankara!M95+Mersin!M95</f>
        <v>0</v>
      </c>
      <c r="N95" s="373">
        <f>Kayseri!N95+Karadeniz!N95+Malatya!N95+Şanlıurfa!N95+Ege!N95+Marmara1!N95+Marmara2!N95+Erzurum!N95+Konya!N95+Diyarbakır!N95+Trakya!N95+Antalya!N95+Ankara!N95+Mersin!N95</f>
        <v>0</v>
      </c>
      <c r="O95" s="374">
        <f>Kayseri!O95+Karadeniz!O95+Malatya!O95+Şanlıurfa!O95+Ege!O95+Marmara1!O95+Marmara2!O95+Erzurum!O95+Konya!O95+Diyarbakır!O95+Trakya!O95+Antalya!O95+Ankara!O95+Mersin!O95</f>
        <v>0</v>
      </c>
      <c r="P95" s="1230">
        <f t="shared" si="128"/>
        <v>0</v>
      </c>
      <c r="Q95" s="1237" t="str">
        <f t="shared" si="129"/>
        <v>-</v>
      </c>
      <c r="R95" s="353">
        <f>+P95-Mersin!P95-Ankara!P95-Antalya!P95-Konya!P95-Trakya!P95-Kayseri!P95-Diyarbakır!P95-Erzurum!P95-Marmara2!P95-Marmara1!P95-Ege!P95-Malatya!P95-Karadeniz!P95-Şanlıurfa!P95</f>
        <v>0</v>
      </c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Kayseri!B96+Karadeniz!B96+Malatya!B96+Şanlıurfa!B96+Ege!B96+Marmara1!B96+Marmara2!B96+Erzurum!B96+Konya!B96+Diyarbakır!B96+Trakya!B96+Antalya!B96+Ankara!B96+Mersin!B96</f>
        <v>0</v>
      </c>
      <c r="C96" s="379">
        <f>Kayseri!C96+Karadeniz!C96+Malatya!C96+Şanlıurfa!C96+Ege!C96+Marmara1!C96+Marmara2!C96+Erzurum!C96+Konya!C96+Diyarbakır!C96+Trakya!C96+Antalya!C96+Ankara!C96+Mersin!C96</f>
        <v>0</v>
      </c>
      <c r="D96" s="380">
        <f>Kayseri!D96+Karadeniz!D96+Malatya!D96+Şanlıurfa!D96+Ege!D96+Marmara1!D96+Marmara2!D96+Erzurum!D96+Konya!D96+Diyarbakır!D96+Trakya!D96+Antalya!D96+Ankara!D96+Mersin!D96</f>
        <v>0</v>
      </c>
      <c r="E96" s="381">
        <f>Kayseri!E96+Karadeniz!E96+Malatya!E96+Şanlıurfa!E96+Ege!E96+Marmara1!E96+Marmara2!E96+Erzurum!E96+Konya!E96+Diyarbakır!E96+Trakya!E96+Antalya!E96+Ankara!E96+Mersin!E96</f>
        <v>0</v>
      </c>
      <c r="F96" s="381">
        <f>Kayseri!F96+Karadeniz!F96+Malatya!F96+Şanlıurfa!F96+Ege!F96+Marmara1!F96+Marmara2!F96+Erzurum!F96+Konya!F96+Diyarbakır!F96+Trakya!F96+Antalya!F96+Ankara!F96+Mersin!F96</f>
        <v>0</v>
      </c>
      <c r="G96" s="381">
        <f>Kayseri!G96+Karadeniz!G96+Malatya!G96+Şanlıurfa!G96+Ege!G96+Marmara1!G96+Marmara2!G96+Erzurum!G96+Konya!G96+Diyarbakır!G96+Trakya!G96+Antalya!G96+Ankara!G96+Mersin!G96</f>
        <v>0</v>
      </c>
      <c r="H96" s="382">
        <f>Kayseri!H96+Karadeniz!H96+Malatya!H96+Şanlıurfa!H96+Ege!H96+Marmara1!H96+Marmara2!H96+Erzurum!H96+Konya!H96+Diyarbakır!H96+Trakya!H96+Antalya!H96+Ankara!H96+Mersin!H96</f>
        <v>0</v>
      </c>
      <c r="I96" s="382">
        <f>Kayseri!I96+Karadeniz!I96+Malatya!I96+Şanlıurfa!I96+Ege!I96+Marmara1!I96+Marmara2!I96+Erzurum!I96+Konya!I96+Diyarbakır!I96+Trakya!I96+Antalya!I96+Ankara!I96+Mersin!I96</f>
        <v>0</v>
      </c>
      <c r="J96" s="382">
        <f>Kayseri!J96+Karadeniz!J96+Malatya!J96+Şanlıurfa!J96+Ege!J96+Marmara1!J96+Marmara2!J96+Erzurum!J96+Konya!J96+Diyarbakır!J96+Trakya!J96+Antalya!J96+Ankara!J96+Mersin!J96</f>
        <v>0</v>
      </c>
      <c r="K96" s="382">
        <f>Kayseri!K96+Karadeniz!K96+Malatya!K96+Şanlıurfa!K96+Ege!K96+Marmara1!K96+Marmara2!K96+Erzurum!K96+Konya!K96+Diyarbakır!K96+Trakya!K96+Antalya!K96+Ankara!K96+Mersin!K96</f>
        <v>0</v>
      </c>
      <c r="L96" s="382">
        <f>Kayseri!L96+Karadeniz!L96+Malatya!L96+Şanlıurfa!L96+Ege!L96+Marmara1!L96+Marmara2!L96+Erzurum!L96+Konya!L96+Diyarbakır!L96+Trakya!L96+Antalya!L96+Ankara!L96+Mersin!L96</f>
        <v>0</v>
      </c>
      <c r="M96" s="382">
        <f>Kayseri!M96+Karadeniz!M96+Malatya!M96+Şanlıurfa!M96+Ege!M96+Marmara1!M96+Marmara2!M96+Erzurum!M96+Konya!M96+Diyarbakır!M96+Trakya!M96+Antalya!M96+Ankara!M96+Mersin!M96</f>
        <v>0</v>
      </c>
      <c r="N96" s="382">
        <f>Kayseri!N96+Karadeniz!N96+Malatya!N96+Şanlıurfa!N96+Ege!N96+Marmara1!N96+Marmara2!N96+Erzurum!N96+Konya!N96+Diyarbakır!N96+Trakya!N96+Antalya!N96+Ankara!N96+Mersin!N96</f>
        <v>0</v>
      </c>
      <c r="O96" s="383">
        <f>Kayseri!O96+Karadeniz!O96+Malatya!O96+Şanlıurfa!O96+Ege!O96+Marmara1!O96+Marmara2!O96+Erzurum!O96+Konya!O96+Diyarbakır!O96+Trakya!O96+Antalya!O96+Ankara!O96+Mersin!O96</f>
        <v>0</v>
      </c>
      <c r="P96" s="1231">
        <f t="shared" si="128"/>
        <v>0</v>
      </c>
      <c r="Q96" s="1238" t="str">
        <f t="shared" si="129"/>
        <v>-</v>
      </c>
      <c r="R96" s="353">
        <f>+P96-Mersin!P96-Ankara!P96-Antalya!P96-Konya!P96-Trakya!P96-Kayseri!P96-Diyarbakır!P96-Erzurum!P96-Marmara2!P96-Marmara1!P96-Ege!P96-Malatya!P96-Karadeniz!P96-Şanlıurfa!P96</f>
        <v>0</v>
      </c>
    </row>
    <row r="97" spans="1:22" ht="15" customHeight="1">
      <c r="A97" s="385" t="s">
        <v>27</v>
      </c>
      <c r="B97" s="391">
        <f t="shared" ref="B97" si="130">B95+B96</f>
        <v>0</v>
      </c>
      <c r="C97" s="390">
        <f>C95+C96</f>
        <v>0</v>
      </c>
      <c r="D97" s="388">
        <f t="shared" ref="D97:O97" si="131">D95+D96</f>
        <v>0</v>
      </c>
      <c r="E97" s="389">
        <f t="shared" si="131"/>
        <v>0</v>
      </c>
      <c r="F97" s="389">
        <f t="shared" si="131"/>
        <v>0</v>
      </c>
      <c r="G97" s="389">
        <f t="shared" si="131"/>
        <v>0</v>
      </c>
      <c r="H97" s="389">
        <f t="shared" si="131"/>
        <v>0</v>
      </c>
      <c r="I97" s="389">
        <f t="shared" si="131"/>
        <v>0</v>
      </c>
      <c r="J97" s="389">
        <f t="shared" si="131"/>
        <v>0</v>
      </c>
      <c r="K97" s="389">
        <f t="shared" si="131"/>
        <v>0</v>
      </c>
      <c r="L97" s="389">
        <f t="shared" si="131"/>
        <v>0</v>
      </c>
      <c r="M97" s="389">
        <f t="shared" si="131"/>
        <v>0</v>
      </c>
      <c r="N97" s="389">
        <f t="shared" si="131"/>
        <v>0</v>
      </c>
      <c r="O97" s="390">
        <f t="shared" si="131"/>
        <v>0</v>
      </c>
      <c r="P97" s="1158">
        <f t="shared" si="128"/>
        <v>0</v>
      </c>
      <c r="Q97" s="1239" t="str">
        <f t="shared" si="129"/>
        <v>-</v>
      </c>
      <c r="R97" s="353">
        <f>+P97-Mersin!P97-Ankara!P97-Antalya!P97-Konya!P97-Trakya!P97-Kayseri!P97-Diyarbakır!P97-Erzurum!P97-Marmara2!P97-Marmara1!P97-Ege!P97-Malatya!P97-Karadeniz!P97-Şanlıurfa!P97</f>
        <v>0</v>
      </c>
    </row>
    <row r="98" spans="1:22" ht="16.5" customHeight="1">
      <c r="A98" s="393" t="s">
        <v>17</v>
      </c>
      <c r="B98" s="394">
        <f>Kayseri!B98+Karadeniz!B98+Malatya!B98+Şanlıurfa!B98+Ege!B98+Marmara1!B98+Marmara2!B98+Erzurum!B98+Konya!B98+Diyarbakır!B98+Trakya!B98+Antalya!B98+Ankara!B98+Mersin!B98</f>
        <v>0</v>
      </c>
      <c r="C98" s="395">
        <f>Kayseri!C98+Karadeniz!C98+Malatya!C98+Şanlıurfa!C98+Ege!C98+Marmara1!C98+Marmara2!C98+Erzurum!C98+Konya!C98+Diyarbakır!C98+Trakya!C98+Antalya!C98+Ankara!C98+Mersin!C98</f>
        <v>0</v>
      </c>
      <c r="D98" s="396">
        <f>Kayseri!D98+Karadeniz!D98+Malatya!D98+Şanlıurfa!D98+Ege!D98+Marmara1!D98+Marmara2!D98+Erzurum!D98+Konya!D98+Diyarbakır!D98+Trakya!D98+Antalya!D98+Ankara!D98+Mersin!D98</f>
        <v>0</v>
      </c>
      <c r="E98" s="397">
        <f>Kayseri!E98+Karadeniz!E98+Malatya!E98+Şanlıurfa!E98+Ege!E98+Marmara1!E98+Marmara2!E98+Erzurum!E98+Konya!E98+Diyarbakır!E98+Trakya!E98+Antalya!E98+Ankara!E98+Mersin!E98</f>
        <v>0</v>
      </c>
      <c r="F98" s="397">
        <f>Kayseri!F98+Karadeniz!F98+Malatya!F98+Şanlıurfa!F98+Ege!F98+Marmara1!F98+Marmara2!F98+Erzurum!F98+Konya!F98+Diyarbakır!F98+Trakya!F98+Antalya!F98+Ankara!F98+Mersin!F98</f>
        <v>0</v>
      </c>
      <c r="G98" s="397">
        <f>Kayseri!G98+Karadeniz!G98+Malatya!G98+Şanlıurfa!G98+Ege!G98+Marmara1!G98+Marmara2!G98+Erzurum!G98+Konya!G98+Diyarbakır!G98+Trakya!G98+Antalya!G98+Ankara!G98+Mersin!G98</f>
        <v>0</v>
      </c>
      <c r="H98" s="397">
        <f>Kayseri!H98+Karadeniz!H98+Malatya!H98+Şanlıurfa!H98+Ege!H98+Marmara1!H98+Marmara2!H98+Erzurum!H98+Konya!H98+Diyarbakır!H98+Trakya!H98+Antalya!H98+Ankara!H98+Mersin!H98</f>
        <v>0</v>
      </c>
      <c r="I98" s="397">
        <f>Kayseri!I98+Karadeniz!I98+Malatya!I98+Şanlıurfa!I98+Ege!I98+Marmara1!I98+Marmara2!I98+Erzurum!I98+Konya!I98+Diyarbakır!I98+Trakya!I98+Antalya!I98+Ankara!I98+Mersin!I98</f>
        <v>0</v>
      </c>
      <c r="J98" s="397">
        <f>Kayseri!J98+Karadeniz!J98+Malatya!J98+Şanlıurfa!J98+Ege!J98+Marmara1!J98+Marmara2!J98+Erzurum!J98+Konya!J98+Diyarbakır!J98+Trakya!J98+Antalya!J98+Ankara!J98+Mersin!J98</f>
        <v>0</v>
      </c>
      <c r="K98" s="397">
        <f>Kayseri!K98+Karadeniz!K98+Malatya!K98+Şanlıurfa!K98+Ege!K98+Marmara1!K98+Marmara2!K98+Erzurum!K98+Konya!K98+Diyarbakır!K98+Trakya!K98+Antalya!K98+Ankara!K98+Mersin!K98</f>
        <v>0</v>
      </c>
      <c r="L98" s="397">
        <f>Kayseri!L98+Karadeniz!L98+Malatya!L98+Şanlıurfa!L98+Ege!L98+Marmara1!L98+Marmara2!L98+Erzurum!L98+Konya!L98+Diyarbakır!L98+Trakya!L98+Antalya!L98+Ankara!L98+Mersin!L98</f>
        <v>0</v>
      </c>
      <c r="M98" s="397">
        <f>Kayseri!M98+Karadeniz!M98+Malatya!M98+Şanlıurfa!M98+Ege!M98+Marmara1!M98+Marmara2!M98+Erzurum!M98+Konya!M98+Diyarbakır!M98+Trakya!M98+Antalya!M98+Ankara!M98+Mersin!M98</f>
        <v>0</v>
      </c>
      <c r="N98" s="397">
        <f>Kayseri!N98+Karadeniz!N98+Malatya!N98+Şanlıurfa!N98+Ege!N98+Marmara1!N98+Marmara2!N98+Erzurum!N98+Konya!N98+Diyarbakır!N98+Trakya!N98+Antalya!N98+Ankara!N98+Mersin!N98</f>
        <v>0</v>
      </c>
      <c r="O98" s="398">
        <f>Kayseri!O98+Karadeniz!O98+Malatya!O98+Şanlıurfa!O98+Ege!O98+Marmara1!O98+Marmara2!O98+Erzurum!O98+Konya!O98+Diyarbakır!O98+Trakya!O98+Antalya!O98+Ankara!O98+Mersin!O98</f>
        <v>0</v>
      </c>
      <c r="P98" s="1246">
        <f t="shared" si="128"/>
        <v>0</v>
      </c>
      <c r="Q98" s="1238" t="str">
        <f t="shared" si="129"/>
        <v>-</v>
      </c>
      <c r="R98" s="353">
        <f>+P98-Mersin!P98-Ankara!P98-Antalya!P98-Konya!P98-Trakya!P98-Kayseri!P98-Diyarbakır!P98-Erzurum!P98-Marmara2!P98-Marmara1!P98-Ege!P98-Malatya!P98-Karadeniz!P98-Şanlıurfa!P98</f>
        <v>0</v>
      </c>
    </row>
    <row r="99" spans="1:22" ht="16.5" customHeight="1">
      <c r="A99" s="400" t="s">
        <v>81</v>
      </c>
      <c r="B99" s="391">
        <f>Kayseri!B99+Karadeniz!B99+Malatya!B99+Şanlıurfa!B99+Ege!B99+Marmara1!B99+Marmara2!B99+Erzurum!B99+Konya!B99+Diyarbakır!B99+Trakya!B99+Antalya!B99+Ankara!B99+Mersin!B99</f>
        <v>0</v>
      </c>
      <c r="C99" s="450">
        <f>Kayseri!C99+Karadeniz!C99+Malatya!C99+Şanlıurfa!C99+Ege!C99+Marmara1!C99+Marmara2!C99+Erzurum!C99+Konya!C99+Diyarbakır!C99+Trakya!C99+Antalya!C99+Ankara!C99+Mersin!C99</f>
        <v>0</v>
      </c>
      <c r="D99" s="388">
        <f>Kayseri!D99+Karadeniz!D99+Malatya!D99+Şanlıurfa!D99+Ege!D99+Marmara1!D99+Marmara2!D99+Erzurum!D99+Konya!D99+Diyarbakır!D99+Trakya!D99+Antalya!D99+Ankara!D99+Mersin!D99</f>
        <v>0</v>
      </c>
      <c r="E99" s="389">
        <f>Kayseri!E99+Karadeniz!E99+Malatya!E99+Şanlıurfa!E99+Ege!E99+Marmara1!E99+Marmara2!E99+Erzurum!E99+Konya!E99+Diyarbakır!E99+Trakya!E99+Antalya!E99+Ankara!E99+Mersin!E99</f>
        <v>0</v>
      </c>
      <c r="F99" s="389">
        <f>Kayseri!F99+Karadeniz!F99+Malatya!F99+Şanlıurfa!F99+Ege!F99+Marmara1!F99+Marmara2!F99+Erzurum!F99+Konya!F99+Diyarbakır!F99+Trakya!F99+Antalya!F99+Ankara!F99+Mersin!F99</f>
        <v>0</v>
      </c>
      <c r="G99" s="389">
        <f>Kayseri!G99+Karadeniz!G99+Malatya!G99+Şanlıurfa!G99+Ege!G99+Marmara1!G99+Marmara2!G99+Erzurum!G99+Konya!G99+Diyarbakır!G99+Trakya!G99+Antalya!G99+Ankara!G99+Mersin!G99</f>
        <v>0</v>
      </c>
      <c r="H99" s="389">
        <f>Kayseri!H99+Karadeniz!H99+Malatya!H99+Şanlıurfa!H99+Ege!H99+Marmara1!H99+Marmara2!H99+Erzurum!H99+Konya!H99+Diyarbakır!H99+Trakya!H99+Antalya!H99+Ankara!H99+Mersin!H99</f>
        <v>0</v>
      </c>
      <c r="I99" s="389">
        <f>Kayseri!I99+Karadeniz!I99+Malatya!I99+Şanlıurfa!I99+Ege!I99+Marmara1!I99+Marmara2!I99+Erzurum!I99+Konya!I99+Diyarbakır!I99+Trakya!I99+Antalya!I99+Ankara!I99+Mersin!I99</f>
        <v>0</v>
      </c>
      <c r="J99" s="389">
        <f>Kayseri!J99+Karadeniz!J99+Malatya!J99+Şanlıurfa!J99+Ege!J99+Marmara1!J99+Marmara2!J99+Erzurum!J99+Konya!J99+Diyarbakır!J99+Trakya!J99+Antalya!J99+Ankara!J99+Mersin!J99</f>
        <v>0</v>
      </c>
      <c r="K99" s="389">
        <f>Kayseri!K99+Karadeniz!K99+Malatya!K99+Şanlıurfa!K99+Ege!K99+Marmara1!K99+Marmara2!K99+Erzurum!K99+Konya!K99+Diyarbakır!K99+Trakya!K99+Antalya!K99+Ankara!K99+Mersin!K99</f>
        <v>0</v>
      </c>
      <c r="L99" s="389">
        <f>Kayseri!L99+Karadeniz!L99+Malatya!L99+Şanlıurfa!L99+Ege!L99+Marmara1!L99+Marmara2!L99+Erzurum!L99+Konya!L99+Diyarbakır!L99+Trakya!L99+Antalya!L99+Ankara!L99+Mersin!L99</f>
        <v>0</v>
      </c>
      <c r="M99" s="389">
        <f>Kayseri!M99+Karadeniz!M99+Malatya!M99+Şanlıurfa!M99+Ege!M99+Marmara1!M99+Marmara2!M99+Erzurum!M99+Konya!M99+Diyarbakır!M99+Trakya!M99+Antalya!M99+Ankara!M99+Mersin!M99</f>
        <v>0</v>
      </c>
      <c r="N99" s="389">
        <f>Kayseri!N99+Karadeniz!N99+Malatya!N99+Şanlıurfa!N99+Ege!N99+Marmara1!N99+Marmara2!N99+Erzurum!N99+Konya!N99+Diyarbakır!N99+Trakya!N99+Antalya!N99+Ankara!N99+Mersin!N99</f>
        <v>0</v>
      </c>
      <c r="O99" s="390">
        <f>Kayseri!O99+Karadeniz!O99+Malatya!O99+Şanlıurfa!O99+Ege!O99+Marmara1!O99+Marmara2!O99+Erzurum!O99+Konya!O99+Diyarbakır!O99+Trakya!O99+Antalya!O99+Ankara!O99+Mersin!O99</f>
        <v>0</v>
      </c>
      <c r="P99" s="1218">
        <f t="shared" si="128"/>
        <v>0</v>
      </c>
      <c r="Q99" s="1240" t="str">
        <f t="shared" si="129"/>
        <v>-</v>
      </c>
      <c r="R99" s="353">
        <f>+P99-Mersin!P99-Ankara!P99-Antalya!P99-Konya!P99-Trakya!P99-Kayseri!P99-Diyarbakır!P99-Erzurum!P99-Marmara2!P99-Marmara1!P99-Ege!P99-Malatya!P99-Karadeniz!P99-Şanlıurfa!P99</f>
        <v>0</v>
      </c>
    </row>
    <row r="100" spans="1:22" ht="16.5" hidden="1" customHeight="1">
      <c r="A100" s="406" t="s">
        <v>82</v>
      </c>
      <c r="B100" s="394">
        <f>Kayseri!B100+Karadeniz!B100+Malatya!B100+Şanlıurfa!B100+Ege!B100+Marmara1!B100+Marmara2!B100+Erzurum!B100+Konya!B100+Diyarbakır!B100+Trakya!B100+Antalya!B100+Ankara!B100+Mersin!B100</f>
        <v>0</v>
      </c>
      <c r="C100" s="395">
        <f>Kayseri!C100+Karadeniz!C100+Malatya!C100+Şanlıurfa!C100+Ege!C100+Marmara1!C100+Marmara2!C100+Erzurum!C100+Konya!C100+Diyarbakır!C100+Trakya!C100+Antalya!C100+Ankara!C100+Mersin!C100</f>
        <v>0</v>
      </c>
      <c r="D100" s="396">
        <f>Kayseri!D100+Karadeniz!D100+Malatya!D100+Şanlıurfa!D100+Ege!D100+Marmara1!D100+Marmara2!D100+Erzurum!D100+Konya!D100+Diyarbakır!D100+Trakya!D100+Antalya!D100+Ankara!D100+Mersin!D100</f>
        <v>0</v>
      </c>
      <c r="E100" s="397">
        <f>Kayseri!E100+Karadeniz!E100+Malatya!E100+Şanlıurfa!E100+Ege!E100+Marmara1!E100+Marmara2!E100+Erzurum!E100+Konya!E100+Diyarbakır!E100+Trakya!E100+Antalya!E100+Ankara!E100+Mersin!E100</f>
        <v>0</v>
      </c>
      <c r="F100" s="397">
        <f>Kayseri!F100+Karadeniz!F100+Malatya!F100+Şanlıurfa!F100+Ege!F100+Marmara1!F100+Marmara2!F100+Erzurum!F100+Konya!F100+Diyarbakır!F100+Trakya!F100+Antalya!F100+Ankara!F100+Mersin!F100</f>
        <v>0</v>
      </c>
      <c r="G100" s="397">
        <f>Kayseri!G100+Karadeniz!G100+Malatya!G100+Şanlıurfa!G100+Ege!G100+Marmara1!G100+Marmara2!G100+Erzurum!G100+Konya!G100+Diyarbakır!G100+Trakya!G100+Antalya!G100+Ankara!G100+Mersin!G100</f>
        <v>0</v>
      </c>
      <c r="H100" s="397">
        <f>Kayseri!H100+Karadeniz!H100+Malatya!H100+Şanlıurfa!H100+Ege!H100+Marmara1!H100+Marmara2!H100+Erzurum!H100+Konya!H100+Diyarbakır!H100+Trakya!H100+Antalya!H100+Ankara!H100+Mersin!H100</f>
        <v>0</v>
      </c>
      <c r="I100" s="397">
        <f>Kayseri!I100+Karadeniz!I100+Malatya!I100+Şanlıurfa!I100+Ege!I100+Marmara1!I100+Marmara2!I100+Erzurum!I100+Konya!I100+Diyarbakır!I100+Trakya!I100+Antalya!I100+Ankara!I100+Mersin!I100</f>
        <v>0</v>
      </c>
      <c r="J100" s="397">
        <f>Kayseri!J100+Karadeniz!J100+Malatya!J100+Şanlıurfa!J100+Ege!J100+Marmara1!J100+Marmara2!J100+Erzurum!J100+Konya!J100+Diyarbakır!J100+Trakya!J100+Antalya!J100+Ankara!J100+Mersin!J100</f>
        <v>0</v>
      </c>
      <c r="K100" s="397">
        <f>Kayseri!K100+Karadeniz!K100+Malatya!K100+Şanlıurfa!K100+Ege!K100+Marmara1!K100+Marmara2!K100+Erzurum!K100+Konya!K100+Diyarbakır!K100+Trakya!K100+Antalya!K100+Ankara!K100+Mersin!K100</f>
        <v>0</v>
      </c>
      <c r="L100" s="397">
        <f>Kayseri!L100+Karadeniz!L100+Malatya!L100+Şanlıurfa!L100+Ege!L100+Marmara1!L100+Marmara2!L100+Erzurum!L100+Konya!L100+Diyarbakır!L100+Trakya!L100+Antalya!L100+Ankara!L100+Mersin!L100</f>
        <v>0</v>
      </c>
      <c r="M100" s="397">
        <f>Kayseri!M100+Karadeniz!M100+Malatya!M100+Şanlıurfa!M100+Ege!M100+Marmara1!M100+Marmara2!M100+Erzurum!M100+Konya!M100+Diyarbakır!M100+Trakya!M100+Antalya!M100+Ankara!M100+Mersin!M100</f>
        <v>0</v>
      </c>
      <c r="N100" s="397">
        <f>Kayseri!N100+Karadeniz!N100+Malatya!N100+Şanlıurfa!N100+Ege!N100+Marmara1!N100+Marmara2!N100+Erzurum!N100+Konya!N100+Diyarbakır!N100+Trakya!N100+Antalya!N100+Ankara!N100+Mersin!N100</f>
        <v>0</v>
      </c>
      <c r="O100" s="398">
        <f>Kayseri!O100+Karadeniz!O100+Malatya!O100+Şanlıurfa!O100+Ege!O100+Marmara1!O100+Marmara2!O100+Erzurum!O100+Konya!O100+Diyarbakır!O100+Trakya!O100+Antalya!O100+Ankara!O100+Mersin!O100</f>
        <v>0</v>
      </c>
      <c r="P100" s="1246">
        <f t="shared" si="128"/>
        <v>0</v>
      </c>
      <c r="Q100" s="1238" t="str">
        <f t="shared" si="129"/>
        <v>-</v>
      </c>
      <c r="R100" s="353">
        <f>+P100-Mersin!P100-Ankara!P100-Antalya!P100-Konya!P100-Trakya!P100-Kayseri!P100-Diyarbakır!P100-Erzurum!P100-Marmara2!P100-Marmara1!P100-Ege!P100-Malatya!P100-Karadeniz!P100-Şanlıurfa!P100</f>
        <v>0</v>
      </c>
    </row>
    <row r="101" spans="1:22" ht="16.5" customHeight="1">
      <c r="A101" s="400" t="s">
        <v>83</v>
      </c>
      <c r="B101" s="408">
        <f>Kayseri!B101+Karadeniz!B101+Malatya!B101+Şanlıurfa!B101+Ege!B101+Marmara1!B101+Marmara2!B101+Erzurum!B101+Konya!B101+Diyarbakır!B101+Trakya!B101+Antalya!B101+Ankara!B101+Mersin!B101</f>
        <v>0</v>
      </c>
      <c r="C101" s="409">
        <f>Kayseri!C101+Karadeniz!C101+Malatya!C101+Şanlıurfa!C101+Ege!C101+Marmara1!C101+Marmara2!C101+Erzurum!C101+Konya!C101+Diyarbakır!C101+Trakya!C101+Antalya!C101+Ankara!C101+Mersin!C101</f>
        <v>0</v>
      </c>
      <c r="D101" s="402">
        <f>Kayseri!D101+Karadeniz!D101+Malatya!D101+Şanlıurfa!D101+Ege!D101+Marmara1!D101+Marmara2!D101+Erzurum!D101+Konya!D101+Diyarbakır!D101+Trakya!D101+Antalya!D101+Ankara!D101+Mersin!D101</f>
        <v>0</v>
      </c>
      <c r="E101" s="403">
        <f>Kayseri!E101+Karadeniz!E101+Malatya!E101+Şanlıurfa!E101+Ege!E101+Marmara1!E101+Marmara2!E101+Erzurum!E101+Konya!E101+Diyarbakır!E101+Trakya!E101+Antalya!E101+Ankara!E101+Mersin!E101</f>
        <v>0</v>
      </c>
      <c r="F101" s="403">
        <f>Kayseri!F101+Karadeniz!F101+Malatya!F101+Şanlıurfa!F101+Ege!F101+Marmara1!F101+Marmara2!F101+Erzurum!F101+Konya!F101+Diyarbakır!F101+Trakya!F101+Antalya!F101+Ankara!F101+Mersin!F101</f>
        <v>0</v>
      </c>
      <c r="G101" s="403">
        <f>Kayseri!G101+Karadeniz!G101+Malatya!G101+Şanlıurfa!G101+Ege!G101+Marmara1!G101+Marmara2!G101+Erzurum!G101+Konya!G101+Diyarbakır!G101+Trakya!G101+Antalya!G101+Ankara!G101+Mersin!G101</f>
        <v>0</v>
      </c>
      <c r="H101" s="403">
        <f>Kayseri!H101+Karadeniz!H101+Malatya!H101+Şanlıurfa!H101+Ege!H101+Marmara1!H101+Marmara2!H101+Erzurum!H101+Konya!H101+Diyarbakır!H101+Trakya!H101+Antalya!H101+Ankara!H101+Mersin!H101</f>
        <v>0</v>
      </c>
      <c r="I101" s="403">
        <f>Kayseri!I101+Karadeniz!I101+Malatya!I101+Şanlıurfa!I101+Ege!I101+Marmara1!I101+Marmara2!I101+Erzurum!I101+Konya!I101+Diyarbakır!I101+Trakya!I101+Antalya!I101+Ankara!I101+Mersin!I101</f>
        <v>0</v>
      </c>
      <c r="J101" s="403">
        <f>Kayseri!J101+Karadeniz!J101+Malatya!J101+Şanlıurfa!J101+Ege!J101+Marmara1!J101+Marmara2!J101+Erzurum!J101+Konya!J101+Diyarbakır!J101+Trakya!J101+Antalya!J101+Ankara!J101+Mersin!J101</f>
        <v>0</v>
      </c>
      <c r="K101" s="403">
        <f>Kayseri!K101+Karadeniz!K101+Malatya!K101+Şanlıurfa!K101+Ege!K101+Marmara1!K101+Marmara2!K101+Erzurum!K101+Konya!K101+Diyarbakır!K101+Trakya!K101+Antalya!K101+Ankara!K101+Mersin!K101</f>
        <v>0</v>
      </c>
      <c r="L101" s="403">
        <f>Kayseri!L101+Karadeniz!L101+Malatya!L101+Şanlıurfa!L101+Ege!L101+Marmara1!L101+Marmara2!L101+Erzurum!L101+Konya!L101+Diyarbakır!L101+Trakya!L101+Antalya!L101+Ankara!L101+Mersin!L101</f>
        <v>0</v>
      </c>
      <c r="M101" s="403">
        <f>Kayseri!M101+Karadeniz!M101+Malatya!M101+Şanlıurfa!M101+Ege!M101+Marmara1!M101+Marmara2!M101+Erzurum!M101+Konya!M101+Diyarbakır!M101+Trakya!M101+Antalya!M101+Ankara!M101+Mersin!M101</f>
        <v>0</v>
      </c>
      <c r="N101" s="403">
        <f>Kayseri!N101+Karadeniz!N101+Malatya!N101+Şanlıurfa!N101+Ege!N101+Marmara1!N101+Marmara2!N101+Erzurum!N101+Konya!N101+Diyarbakır!N101+Trakya!N101+Antalya!N101+Ankara!N101+Mersin!N101</f>
        <v>0</v>
      </c>
      <c r="O101" s="404">
        <f>Kayseri!O101+Karadeniz!O101+Malatya!O101+Şanlıurfa!O101+Ege!O101+Marmara1!O101+Marmara2!O101+Erzurum!O101+Konya!O101+Diyarbakır!O101+Trakya!O101+Antalya!O101+Ankara!O101+Mersin!O101</f>
        <v>0</v>
      </c>
      <c r="P101" s="1218">
        <f t="shared" si="128"/>
        <v>0</v>
      </c>
      <c r="Q101" s="1240" t="str">
        <f t="shared" si="129"/>
        <v>-</v>
      </c>
      <c r="R101" s="353">
        <f>+P101-Mersin!P101-Ankara!P101-Antalya!P101-Konya!P101-Trakya!P101-Kayseri!P101-Diyarbakır!P101-Erzurum!P101-Marmara2!P101-Marmara1!P101-Ege!P101-Malatya!P101-Karadeniz!P101-Şanlıurfa!P101</f>
        <v>0</v>
      </c>
    </row>
    <row r="102" spans="1:22" ht="16.5" hidden="1" customHeight="1">
      <c r="A102" s="406" t="s">
        <v>84</v>
      </c>
      <c r="B102" s="378">
        <f>Kayseri!B102+Karadeniz!B102+Malatya!B102+Şanlıurfa!B102+Ege!B102+Marmara1!B102+Marmara2!B102+Erzurum!B102+Konya!B102+Diyarbakır!B102+Trakya!B102+Antalya!B102+Ankara!B102+Mersin!B102</f>
        <v>0</v>
      </c>
      <c r="C102" s="379">
        <f>Kayseri!C102+Karadeniz!C102+Malatya!C102+Şanlıurfa!C102+Ege!C102+Marmara1!C102+Marmara2!C102+Erzurum!C102+Konya!C102+Diyarbakır!C102+Trakya!C102+Antalya!C102+Ankara!C102+Mersin!C102</f>
        <v>0</v>
      </c>
      <c r="D102" s="407">
        <f>Kayseri!D102+Karadeniz!D102+Malatya!D102+Şanlıurfa!D102+Ege!D102+Marmara1!D102+Marmara2!D102+Erzurum!D102+Konya!D102+Diyarbakır!D102+Trakya!D102+Antalya!D102+Ankara!D102+Mersin!D102</f>
        <v>0</v>
      </c>
      <c r="E102" s="382">
        <f>Kayseri!E102+Karadeniz!E102+Malatya!E102+Şanlıurfa!E102+Ege!E102+Marmara1!E102+Marmara2!E102+Erzurum!E102+Konya!E102+Diyarbakır!E102+Trakya!E102+Antalya!E102+Ankara!E102+Mersin!E102</f>
        <v>0</v>
      </c>
      <c r="F102" s="382">
        <f>Kayseri!F102+Karadeniz!F102+Malatya!F102+Şanlıurfa!F102+Ege!F102+Marmara1!F102+Marmara2!F102+Erzurum!F102+Konya!F102+Diyarbakır!F102+Trakya!F102+Antalya!F102+Ankara!F102+Mersin!F102</f>
        <v>0</v>
      </c>
      <c r="G102" s="382">
        <f>Kayseri!G102+Karadeniz!G102+Malatya!G102+Şanlıurfa!G102+Ege!G102+Marmara1!G102+Marmara2!G102+Erzurum!G102+Konya!G102+Diyarbakır!G102+Trakya!G102+Antalya!G102+Ankara!G102+Mersin!G102</f>
        <v>0</v>
      </c>
      <c r="H102" s="382">
        <f>Kayseri!H102+Karadeniz!H102+Malatya!H102+Şanlıurfa!H102+Ege!H102+Marmara1!H102+Marmara2!H102+Erzurum!H102+Konya!H102+Diyarbakır!H102+Trakya!H102+Antalya!H102+Ankara!H102+Mersin!H102</f>
        <v>0</v>
      </c>
      <c r="I102" s="381">
        <f>Kayseri!I102+Karadeniz!I102+Malatya!I102+Şanlıurfa!I102+Ege!I102+Marmara1!I102+Marmara2!I102+Erzurum!I102+Konya!I102+Diyarbakır!I102+Trakya!I102+Antalya!I102+Ankara!I102+Mersin!I102</f>
        <v>0</v>
      </c>
      <c r="J102" s="381">
        <f>Kayseri!J102+Karadeniz!J102+Malatya!J102+Şanlıurfa!J102+Ege!J102+Marmara1!J102+Marmara2!J102+Erzurum!J102+Konya!J102+Diyarbakır!J102+Trakya!J102+Antalya!J102+Ankara!J102+Mersin!J102</f>
        <v>0</v>
      </c>
      <c r="K102" s="382">
        <f>Kayseri!K102+Karadeniz!K102+Malatya!K102+Şanlıurfa!K102+Ege!K102+Marmara1!K102+Marmara2!K102+Erzurum!K102+Konya!K102+Diyarbakır!K102+Trakya!K102+Antalya!K102+Ankara!K102+Mersin!K102</f>
        <v>0</v>
      </c>
      <c r="L102" s="382">
        <f>Kayseri!L102+Karadeniz!L102+Malatya!L102+Şanlıurfa!L102+Ege!L102+Marmara1!L102+Marmara2!L102+Erzurum!L102+Konya!L102+Diyarbakır!L102+Trakya!L102+Antalya!L102+Ankara!L102+Mersin!L102</f>
        <v>0</v>
      </c>
      <c r="M102" s="382">
        <f>Kayseri!M102+Karadeniz!M102+Malatya!M102+Şanlıurfa!M102+Ege!M102+Marmara1!M102+Marmara2!M102+Erzurum!M102+Konya!M102+Diyarbakır!M102+Trakya!M102+Antalya!M102+Ankara!M102+Mersin!M102</f>
        <v>0</v>
      </c>
      <c r="N102" s="382">
        <f>Kayseri!N102+Karadeniz!N102+Malatya!N102+Şanlıurfa!N102+Ege!N102+Marmara1!N102+Marmara2!N102+Erzurum!N102+Konya!N102+Diyarbakır!N102+Trakya!N102+Antalya!N102+Ankara!N102+Mersin!N102</f>
        <v>0</v>
      </c>
      <c r="O102" s="383">
        <f>Kayseri!O102+Karadeniz!O102+Malatya!O102+Şanlıurfa!O102+Ege!O102+Marmara1!O102+Marmara2!O102+Erzurum!O102+Konya!O102+Diyarbakır!O102+Trakya!O102+Antalya!O102+Ankara!O102+Mersin!O102</f>
        <v>0</v>
      </c>
      <c r="P102" s="1246">
        <f t="shared" si="128"/>
        <v>0</v>
      </c>
      <c r="Q102" s="1238" t="str">
        <f t="shared" si="129"/>
        <v>-</v>
      </c>
      <c r="R102" s="353">
        <f>+P102-Mersin!P102-Ankara!P102-Antalya!P102-Konya!P102-Trakya!P102-Kayseri!P102-Diyarbakır!P102-Erzurum!P102-Marmara2!P102-Marmara1!P102-Ege!P102-Malatya!P102-Karadeniz!P102-Şanlıurfa!P102</f>
        <v>0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 t="shared" ref="B103" si="132">SUM(B99:B102)</f>
        <v>0</v>
      </c>
      <c r="C103" s="412">
        <f>SUM(C99:C102)</f>
        <v>0</v>
      </c>
      <c r="D103" s="413">
        <f t="shared" ref="D103:O103" si="133">SUM(D99:D102)</f>
        <v>0</v>
      </c>
      <c r="E103" s="414">
        <f t="shared" si="133"/>
        <v>0</v>
      </c>
      <c r="F103" s="414">
        <f t="shared" si="133"/>
        <v>0</v>
      </c>
      <c r="G103" s="414">
        <f t="shared" si="133"/>
        <v>0</v>
      </c>
      <c r="H103" s="414">
        <f t="shared" si="133"/>
        <v>0</v>
      </c>
      <c r="I103" s="414">
        <f t="shared" si="133"/>
        <v>0</v>
      </c>
      <c r="J103" s="414">
        <f t="shared" si="133"/>
        <v>0</v>
      </c>
      <c r="K103" s="414">
        <f t="shared" si="133"/>
        <v>0</v>
      </c>
      <c r="L103" s="414">
        <f t="shared" si="133"/>
        <v>0</v>
      </c>
      <c r="M103" s="414">
        <f t="shared" si="133"/>
        <v>0</v>
      </c>
      <c r="N103" s="414">
        <f t="shared" si="133"/>
        <v>0</v>
      </c>
      <c r="O103" s="412">
        <f t="shared" si="133"/>
        <v>0</v>
      </c>
      <c r="P103" s="1159">
        <f t="shared" si="128"/>
        <v>0</v>
      </c>
      <c r="Q103" s="1241" t="str">
        <f t="shared" si="129"/>
        <v>-</v>
      </c>
      <c r="R103" s="353">
        <f>+P103-Mersin!P103-Ankara!P103-Antalya!P103-Konya!P103-Trakya!P103-Kayseri!P103-Diyarbakır!P103-Erzurum!P103-Marmara2!P103-Marmara1!P103-Ege!P103-Malatya!P103-Karadeniz!P103-Şanlıurfa!P103</f>
        <v>0</v>
      </c>
    </row>
    <row r="104" spans="1:22" ht="22.5" customHeight="1" thickBot="1">
      <c r="A104" s="1251" t="s">
        <v>29</v>
      </c>
      <c r="B104" s="420">
        <f t="shared" ref="B104" si="134">SUM(B105:B106)</f>
        <v>0</v>
      </c>
      <c r="C104" s="416">
        <f>SUM(C105:C106)</f>
        <v>0</v>
      </c>
      <c r="D104" s="417">
        <f>SUM(D105:D106)</f>
        <v>0</v>
      </c>
      <c r="E104" s="418">
        <f t="shared" ref="E104:P104" si="135">SUM(E105:E106)</f>
        <v>0</v>
      </c>
      <c r="F104" s="418">
        <f t="shared" si="135"/>
        <v>0</v>
      </c>
      <c r="G104" s="418">
        <f t="shared" si="135"/>
        <v>0</v>
      </c>
      <c r="H104" s="418">
        <f t="shared" si="135"/>
        <v>0</v>
      </c>
      <c r="I104" s="418">
        <f t="shared" si="135"/>
        <v>0</v>
      </c>
      <c r="J104" s="418">
        <f t="shared" si="135"/>
        <v>0</v>
      </c>
      <c r="K104" s="418">
        <f t="shared" si="135"/>
        <v>0</v>
      </c>
      <c r="L104" s="418">
        <f t="shared" si="135"/>
        <v>0</v>
      </c>
      <c r="M104" s="418">
        <f t="shared" si="135"/>
        <v>0</v>
      </c>
      <c r="N104" s="418">
        <f t="shared" si="135"/>
        <v>0</v>
      </c>
      <c r="O104" s="419">
        <f t="shared" si="135"/>
        <v>0</v>
      </c>
      <c r="P104" s="1232">
        <f t="shared" si="135"/>
        <v>0</v>
      </c>
      <c r="Q104" s="1242" t="str">
        <f t="shared" si="129"/>
        <v>-</v>
      </c>
      <c r="R104" s="353">
        <f>+P104-Mersin!P104-Ankara!P104-Antalya!P104-Konya!P104-Trakya!P104-Kayseri!P104-Diyarbakır!P104-Erzurum!P104-Marmara2!P104-Marmara1!P104-Ege!P104-Malatya!P104-Karadeniz!P104-Şanlıurfa!P104</f>
        <v>0</v>
      </c>
    </row>
    <row r="105" spans="1:22" ht="16.5" customHeight="1">
      <c r="A105" s="422" t="s">
        <v>19</v>
      </c>
      <c r="B105" s="423">
        <f>Kayseri!B105+Karadeniz!B105+Malatya!B105+Şanlıurfa!B105+Ege!B105+Marmara1!B105+Marmara2!B105+Erzurum!B105+Konya!B105+Diyarbakır!B105+Trakya!B105+Antalya!B105+Ankara!B105+Mersin!B105</f>
        <v>0</v>
      </c>
      <c r="C105" s="424">
        <f>Kayseri!C105+Karadeniz!C105+Malatya!C105+Şanlıurfa!C105+Ege!C105+Marmara1!C105+Marmara2!C105+Erzurum!C105+Konya!C105+Diyarbakır!C105+Trakya!C105+Antalya!C105+Ankara!C105+Mersin!C105</f>
        <v>0</v>
      </c>
      <c r="D105" s="425">
        <f>Kayseri!D105+Karadeniz!D105+Malatya!D105+Şanlıurfa!D105+Ege!D105+Marmara1!D105+Marmara2!D105+Erzurum!D105+Konya!D105+Diyarbakır!D105+Trakya!D105+Antalya!D105+Ankara!D105+Mersin!D105</f>
        <v>0</v>
      </c>
      <c r="E105" s="426">
        <f>Kayseri!E105+Karadeniz!E105+Malatya!E105+Şanlıurfa!E105+Ege!E105+Marmara1!E105+Marmara2!E105+Erzurum!E105+Konya!E105+Diyarbakır!E105+Trakya!E105+Antalya!E105+Ankara!E105+Mersin!E105</f>
        <v>0</v>
      </c>
      <c r="F105" s="426">
        <f>Kayseri!F105+Karadeniz!F105+Malatya!F105+Şanlıurfa!F105+Ege!F105+Marmara1!F105+Marmara2!F105+Erzurum!F105+Konya!F105+Diyarbakır!F105+Trakya!F105+Antalya!F105+Ankara!F105+Mersin!F105</f>
        <v>0</v>
      </c>
      <c r="G105" s="426">
        <f>Kayseri!G105+Karadeniz!G105+Malatya!G105+Şanlıurfa!G105+Ege!G105+Marmara1!G105+Marmara2!G105+Erzurum!G105+Konya!G105+Diyarbakır!G105+Trakya!G105+Antalya!G105+Ankara!G105+Mersin!G105</f>
        <v>0</v>
      </c>
      <c r="H105" s="426">
        <f>Kayseri!H105+Karadeniz!H105+Malatya!H105+Şanlıurfa!H105+Ege!H105+Marmara1!H105+Marmara2!H105+Erzurum!H105+Konya!H105+Diyarbakır!H105+Trakya!H105+Antalya!H105+Ankara!H105+Mersin!H105</f>
        <v>0</v>
      </c>
      <c r="I105" s="426">
        <f>Kayseri!I105+Karadeniz!I105+Malatya!I105+Şanlıurfa!I105+Ege!I105+Marmara1!I105+Marmara2!I105+Erzurum!I105+Konya!I105+Diyarbakır!I105+Trakya!I105+Antalya!I105+Ankara!I105+Mersin!I105</f>
        <v>0</v>
      </c>
      <c r="J105" s="426">
        <f>Kayseri!J105+Karadeniz!J105+Malatya!J105+Şanlıurfa!J105+Ege!J105+Marmara1!J105+Marmara2!J105+Erzurum!J105+Konya!J105+Diyarbakır!J105+Trakya!J105+Antalya!J105+Ankara!J105+Mersin!J105</f>
        <v>0</v>
      </c>
      <c r="K105" s="426">
        <f>Kayseri!K105+Karadeniz!K105+Malatya!K105+Şanlıurfa!K105+Ege!K105+Marmara1!K105+Marmara2!K105+Erzurum!K105+Konya!K105+Diyarbakır!K105+Trakya!K105+Antalya!K105+Ankara!K105+Mersin!K105</f>
        <v>0</v>
      </c>
      <c r="L105" s="426">
        <f>Kayseri!L105+Karadeniz!L105+Malatya!L105+Şanlıurfa!L105+Ege!L105+Marmara1!L105+Marmara2!L105+Erzurum!L105+Konya!L105+Diyarbakır!L105+Trakya!L105+Antalya!L105+Ankara!L105+Mersin!L105</f>
        <v>0</v>
      </c>
      <c r="M105" s="426">
        <f>Kayseri!M105+Karadeniz!M105+Malatya!M105+Şanlıurfa!M105+Ege!M105+Marmara1!M105+Marmara2!M105+Erzurum!M105+Konya!M105+Diyarbakır!M105+Trakya!M105+Antalya!M105+Ankara!M105+Mersin!M105</f>
        <v>0</v>
      </c>
      <c r="N105" s="426">
        <f>Kayseri!N105+Karadeniz!N105+Malatya!N105+Şanlıurfa!N105+Ege!N105+Marmara1!N105+Marmara2!N105+Erzurum!N105+Konya!N105+Diyarbakır!N105+Trakya!N105+Antalya!N105+Ankara!N105+Mersin!N105</f>
        <v>0</v>
      </c>
      <c r="O105" s="427">
        <f>Kayseri!O105+Karadeniz!O105+Malatya!O105+Şanlıurfa!O105+Ege!O105+Marmara1!O105+Marmara2!O105+Erzurum!O105+Konya!O105+Diyarbakır!O105+Trakya!O105+Antalya!O105+Ankara!O105+Mersin!O105</f>
        <v>0</v>
      </c>
      <c r="P105" s="1247">
        <f>SUM(D105:O105)</f>
        <v>0</v>
      </c>
      <c r="Q105" s="1243" t="str">
        <f t="shared" si="129"/>
        <v>-</v>
      </c>
      <c r="R105" s="353">
        <f>+P105-Mersin!P105-Ankara!P105-Antalya!P105-Konya!P105-Trakya!P105-Kayseri!P105-Diyarbakır!P105-Erzurum!P105-Marmara2!P105-Marmara1!P105-Ege!P105-Malatya!P105-Karadeniz!P105-Şanlıurfa!P105</f>
        <v>0</v>
      </c>
    </row>
    <row r="106" spans="1:22" ht="16.5" customHeight="1" thickBot="1">
      <c r="A106" s="430" t="s">
        <v>20</v>
      </c>
      <c r="B106" s="431">
        <f>Kayseri!B106+Karadeniz!B106+Malatya!B106+Şanlıurfa!B106+Ege!B106+Marmara1!B106+Marmara2!B106+Erzurum!B106+Konya!B106+Diyarbakır!B106+Trakya!B106+Antalya!B106+Ankara!B106+Mersin!B106</f>
        <v>0</v>
      </c>
      <c r="C106" s="432">
        <f>Kayseri!C106+Karadeniz!C106+Malatya!C106+Şanlıurfa!C106+Ege!C106+Marmara1!C106+Marmara2!C106+Erzurum!C106+Konya!C106+Diyarbakır!C106+Trakya!C106+Antalya!C106+Ankara!C106+Mersin!C106</f>
        <v>0</v>
      </c>
      <c r="D106" s="433">
        <f>Kayseri!D106+Karadeniz!D106+Malatya!D106+Şanlıurfa!D106+Ege!D106+Marmara1!D106+Marmara2!D106+Erzurum!D106+Konya!D106+Diyarbakır!D106+Trakya!D106+Antalya!D106+Ankara!D106+Mersin!D106</f>
        <v>0</v>
      </c>
      <c r="E106" s="434">
        <f>Kayseri!E106+Karadeniz!E106+Malatya!E106+Şanlıurfa!E106+Ege!E106+Marmara1!E106+Marmara2!E106+Erzurum!E106+Konya!E106+Diyarbakır!E106+Trakya!E106+Antalya!E106+Ankara!E106+Mersin!E106</f>
        <v>0</v>
      </c>
      <c r="F106" s="434">
        <f>Kayseri!F106+Karadeniz!F106+Malatya!F106+Şanlıurfa!F106+Ege!F106+Marmara1!F106+Marmara2!F106+Erzurum!F106+Konya!F106+Diyarbakır!F106+Trakya!F106+Antalya!F106+Ankara!F106+Mersin!F106</f>
        <v>0</v>
      </c>
      <c r="G106" s="434">
        <f>Kayseri!G106+Karadeniz!G106+Malatya!G106+Şanlıurfa!G106+Ege!G106+Marmara1!G106+Marmara2!G106+Erzurum!G106+Konya!G106+Diyarbakır!G106+Trakya!G106+Antalya!G106+Ankara!G106+Mersin!G106</f>
        <v>0</v>
      </c>
      <c r="H106" s="434">
        <f>Kayseri!H106+Karadeniz!H106+Malatya!H106+Şanlıurfa!H106+Ege!H106+Marmara1!H106+Marmara2!H106+Erzurum!H106+Konya!H106+Diyarbakır!H106+Trakya!H106+Antalya!H106+Ankara!H106+Mersin!H106</f>
        <v>0</v>
      </c>
      <c r="I106" s="434">
        <f>Kayseri!I106+Karadeniz!I106+Malatya!I106+Şanlıurfa!I106+Ege!I106+Marmara1!I106+Marmara2!I106+Erzurum!I106+Konya!I106+Diyarbakır!I106+Trakya!I106+Antalya!I106+Ankara!I106+Mersin!I106</f>
        <v>0</v>
      </c>
      <c r="J106" s="434">
        <f>Kayseri!J106+Karadeniz!J106+Malatya!J106+Şanlıurfa!J106+Ege!J106+Marmara1!J106+Marmara2!J106+Erzurum!J106+Konya!J106+Diyarbakır!J106+Trakya!J106+Antalya!J106+Ankara!J106+Mersin!J106</f>
        <v>0</v>
      </c>
      <c r="K106" s="434">
        <f>Kayseri!K106+Karadeniz!K106+Malatya!K106+Şanlıurfa!K106+Ege!K106+Marmara1!K106+Marmara2!K106+Erzurum!K106+Konya!K106+Diyarbakır!K106+Trakya!K106+Antalya!K106+Ankara!K106+Mersin!K106</f>
        <v>0</v>
      </c>
      <c r="L106" s="434">
        <f>Kayseri!L106+Karadeniz!L106+Malatya!L106+Şanlıurfa!L106+Ege!L106+Marmara1!L106+Marmara2!L106+Erzurum!L106+Konya!L106+Diyarbakır!L106+Trakya!L106+Antalya!L106+Ankara!L106+Mersin!L106</f>
        <v>0</v>
      </c>
      <c r="M106" s="434">
        <f>Kayseri!M106+Karadeniz!M106+Malatya!M106+Şanlıurfa!M106+Ege!M106+Marmara1!M106+Marmara2!M106+Erzurum!M106+Konya!M106+Diyarbakır!M106+Trakya!M106+Antalya!M106+Ankara!M106+Mersin!M106</f>
        <v>0</v>
      </c>
      <c r="N106" s="434">
        <f>Kayseri!N106+Karadeniz!N106+Malatya!N106+Şanlıurfa!N106+Ege!N106+Marmara1!N106+Marmara2!N106+Erzurum!N106+Konya!N106+Diyarbakır!N106+Trakya!N106+Antalya!N106+Ankara!N106+Mersin!N106</f>
        <v>0</v>
      </c>
      <c r="O106" s="435">
        <f>Kayseri!O106+Karadeniz!O106+Malatya!O106+Şanlıurfa!O106+Ege!O106+Marmara1!O106+Marmara2!O106+Erzurum!O106+Konya!O106+Diyarbakır!O106+Trakya!O106+Antalya!O106+Ankara!O106+Mersin!O106</f>
        <v>0</v>
      </c>
      <c r="P106" s="1220">
        <f>SUM(D106:O106)</f>
        <v>0</v>
      </c>
      <c r="Q106" s="1244" t="str">
        <f t="shared" si="129"/>
        <v>-</v>
      </c>
      <c r="R106" s="353">
        <f>+P106-Mersin!P106-Ankara!P106-Antalya!P106-Konya!P106-Trakya!P106-Kayseri!P106-Diyarbakır!P106-Erzurum!P106-Marmara2!P106-Marmara1!P106-Ege!P106-Malatya!P106-Karadeniz!P106-Şanlıurfa!P106</f>
        <v>0</v>
      </c>
    </row>
    <row r="107" spans="1:22" ht="22.5" customHeight="1" thickBot="1">
      <c r="A107" s="1251" t="s">
        <v>30</v>
      </c>
      <c r="B107" s="363">
        <f t="shared" ref="B107" si="136">SUM(B108:B109)</f>
        <v>0</v>
      </c>
      <c r="C107" s="416">
        <f>SUM(C108:C109)</f>
        <v>0</v>
      </c>
      <c r="D107" s="417">
        <f t="shared" ref="D107:P107" si="137">SUM(D108:D109)</f>
        <v>0</v>
      </c>
      <c r="E107" s="418">
        <f t="shared" si="137"/>
        <v>0</v>
      </c>
      <c r="F107" s="418">
        <f t="shared" si="137"/>
        <v>0</v>
      </c>
      <c r="G107" s="418">
        <f t="shared" si="137"/>
        <v>0</v>
      </c>
      <c r="H107" s="418">
        <f t="shared" si="137"/>
        <v>0</v>
      </c>
      <c r="I107" s="418">
        <f t="shared" si="137"/>
        <v>0</v>
      </c>
      <c r="J107" s="418">
        <f t="shared" si="137"/>
        <v>0</v>
      </c>
      <c r="K107" s="418">
        <f t="shared" si="137"/>
        <v>0</v>
      </c>
      <c r="L107" s="418">
        <f t="shared" si="137"/>
        <v>0</v>
      </c>
      <c r="M107" s="418">
        <f t="shared" si="137"/>
        <v>0</v>
      </c>
      <c r="N107" s="418">
        <f t="shared" si="137"/>
        <v>0</v>
      </c>
      <c r="O107" s="419">
        <f t="shared" si="137"/>
        <v>0</v>
      </c>
      <c r="P107" s="1232">
        <f t="shared" si="137"/>
        <v>0</v>
      </c>
      <c r="Q107" s="1242" t="str">
        <f t="shared" si="129"/>
        <v>-</v>
      </c>
      <c r="R107" s="353">
        <f>+P107-Mersin!P107-Ankara!P107-Antalya!P107-Konya!P107-Trakya!P107-Kayseri!P107-Diyarbakır!P107-Erzurum!P107-Marmara2!P107-Marmara1!P107-Ege!P107-Malatya!P107-Karadeniz!P107-Şanlıurfa!P107</f>
        <v>0</v>
      </c>
    </row>
    <row r="108" spans="1:22" ht="16.5" customHeight="1">
      <c r="A108" s="422" t="s">
        <v>106</v>
      </c>
      <c r="B108" s="423">
        <f>Kayseri!B108+Karadeniz!B108+Malatya!B108+Şanlıurfa!B108+Ege!B108+Marmara1!B108+Marmara2!B108+Erzurum!B108+Konya!B108+Diyarbakır!B108+Trakya!B108+Antalya!B108+Ankara!B108+Mersin!B108</f>
        <v>0</v>
      </c>
      <c r="C108" s="424">
        <f>Kayseri!C108+Karadeniz!C108+Malatya!C108+Şanlıurfa!C108+Ege!C108+Marmara1!C108+Marmara2!C108+Erzurum!C108+Konya!C108+Diyarbakır!C108+Trakya!C108+Antalya!C108+Ankara!C108+Mersin!C108</f>
        <v>0</v>
      </c>
      <c r="D108" s="425">
        <f>Kayseri!D108+Karadeniz!D108+Malatya!D108+Şanlıurfa!D108+Ege!D108+Marmara1!D108+Marmara2!D108+Erzurum!D108+Konya!D108+Diyarbakır!D108+Trakya!D108+Antalya!D108+Ankara!D108+Mersin!D108</f>
        <v>0</v>
      </c>
      <c r="E108" s="426">
        <f>Kayseri!E108+Karadeniz!E108+Malatya!E108+Şanlıurfa!E108+Ege!E108+Marmara1!E108+Marmara2!E108+Erzurum!E108+Konya!E108+Diyarbakır!E108+Trakya!E108+Antalya!E108+Ankara!E108+Mersin!E108</f>
        <v>0</v>
      </c>
      <c r="F108" s="426">
        <f>Kayseri!F108+Karadeniz!F108+Malatya!F108+Şanlıurfa!F108+Ege!F108+Marmara1!F108+Marmara2!F108+Erzurum!F108+Konya!F108+Diyarbakır!F108+Trakya!F108+Antalya!F108+Ankara!F108+Mersin!F108</f>
        <v>0</v>
      </c>
      <c r="G108" s="426">
        <f>Kayseri!G108+Karadeniz!G108+Malatya!G108+Şanlıurfa!G108+Ege!G108+Marmara1!G108+Marmara2!G108+Erzurum!G108+Konya!G108+Diyarbakır!G108+Trakya!G108+Antalya!G108+Ankara!G108+Mersin!G108</f>
        <v>0</v>
      </c>
      <c r="H108" s="426">
        <f>Kayseri!H108+Karadeniz!H108+Malatya!H108+Şanlıurfa!H108+Ege!H108+Marmara1!H108+Marmara2!H108+Erzurum!H108+Konya!H108+Diyarbakır!H108+Trakya!H108+Antalya!H108+Ankara!H108+Mersin!H108</f>
        <v>0</v>
      </c>
      <c r="I108" s="426">
        <f>Kayseri!I108+Karadeniz!I108+Malatya!I108+Şanlıurfa!I108+Ege!I108+Marmara1!I108+Marmara2!I108+Erzurum!I108+Konya!I108+Diyarbakır!I108+Trakya!I108+Antalya!I108+Ankara!I108+Mersin!I108</f>
        <v>0</v>
      </c>
      <c r="J108" s="426">
        <f>Kayseri!J108+Karadeniz!J108+Malatya!J108+Şanlıurfa!J108+Ege!J108+Marmara1!J108+Marmara2!J108+Erzurum!J108+Konya!J108+Diyarbakır!J108+Trakya!J108+Antalya!J108+Ankara!J108+Mersin!J108</f>
        <v>0</v>
      </c>
      <c r="K108" s="426">
        <f>Kayseri!K108+Karadeniz!K108+Malatya!K108+Şanlıurfa!K108+Ege!K108+Marmara1!K108+Marmara2!K108+Erzurum!K108+Konya!K108+Diyarbakır!K108+Trakya!K108+Antalya!K108+Ankara!K108+Mersin!K108</f>
        <v>0</v>
      </c>
      <c r="L108" s="426">
        <f>Kayseri!L108+Karadeniz!L108+Malatya!L108+Şanlıurfa!L108+Ege!L108+Marmara1!L108+Marmara2!L108+Erzurum!L108+Konya!L108+Diyarbakır!L108+Trakya!L108+Antalya!L108+Ankara!L108+Mersin!L108</f>
        <v>0</v>
      </c>
      <c r="M108" s="426">
        <f>Kayseri!M108+Karadeniz!M108+Malatya!M108+Şanlıurfa!M108+Ege!M108+Marmara1!M108+Marmara2!M108+Erzurum!M108+Konya!M108+Diyarbakır!M108+Trakya!M108+Antalya!M108+Ankara!M108+Mersin!M108</f>
        <v>0</v>
      </c>
      <c r="N108" s="426">
        <f>Kayseri!N108+Karadeniz!N108+Malatya!N108+Şanlıurfa!N108+Ege!N108+Marmara1!N108+Marmara2!N108+Erzurum!N108+Konya!N108+Diyarbakır!N108+Trakya!N108+Antalya!N108+Ankara!N108+Mersin!N108</f>
        <v>0</v>
      </c>
      <c r="O108" s="427">
        <f>Kayseri!O108+Karadeniz!O108+Malatya!O108+Şanlıurfa!O108+Ege!O108+Marmara1!O108+Marmara2!O108+Erzurum!O108+Konya!O108+Diyarbakır!O108+Trakya!O108+Antalya!O108+Ankara!O108+Mersin!O108</f>
        <v>0</v>
      </c>
      <c r="P108" s="1247">
        <f>SUM(D108:O108)</f>
        <v>0</v>
      </c>
      <c r="Q108" s="1243" t="str">
        <f t="shared" si="129"/>
        <v>-</v>
      </c>
      <c r="R108" s="353">
        <f>+P108-Mersin!P108-Ankara!P108-Antalya!P108-Konya!P108-Trakya!P108-Kayseri!P108-Diyarbakır!P108-Erzurum!P108-Marmara2!P108-Marmara1!P108-Ege!P108-Malatya!P108-Karadeniz!P108-Şanlıurfa!P108</f>
        <v>0</v>
      </c>
    </row>
    <row r="109" spans="1:22" ht="16.5" customHeight="1" thickBot="1">
      <c r="A109" s="438" t="s">
        <v>105</v>
      </c>
      <c r="B109" s="439">
        <f>Kayseri!B109+Karadeniz!B109+Malatya!B109+Şanlıurfa!B109+Ege!B109+Marmara1!B109+Marmara2!B109+Erzurum!B109+Konya!B109+Diyarbakır!B109+Trakya!B109+Antalya!B109+Ankara!B109+Mersin!B109</f>
        <v>0</v>
      </c>
      <c r="C109" s="440">
        <f>Kayseri!C109+Karadeniz!C109+Malatya!C109+Şanlıurfa!C109+Ege!C109+Marmara1!C109+Marmara2!C109+Erzurum!C109+Konya!C109+Diyarbakır!C109+Trakya!C109+Antalya!C109+Ankara!C109+Mersin!C109</f>
        <v>0</v>
      </c>
      <c r="D109" s="441">
        <f>Kayseri!D109+Karadeniz!D109+Malatya!D109+Şanlıurfa!D109+Ege!D109+Marmara1!D109+Marmara2!D109+Erzurum!D109+Konya!D109+Diyarbakır!D109+Trakya!D109+Antalya!D109+Ankara!D109+Mersin!D109</f>
        <v>0</v>
      </c>
      <c r="E109" s="442">
        <f>Kayseri!E109+Karadeniz!E109+Malatya!E109+Şanlıurfa!E109+Ege!E109+Marmara1!E109+Marmara2!E109+Erzurum!E109+Konya!E109+Diyarbakır!E109+Trakya!E109+Antalya!E109+Ankara!E109+Mersin!E109</f>
        <v>0</v>
      </c>
      <c r="F109" s="442">
        <f>Kayseri!F109+Karadeniz!F109+Malatya!F109+Şanlıurfa!F109+Ege!F109+Marmara1!F109+Marmara2!F109+Erzurum!F109+Konya!F109+Diyarbakır!F109+Trakya!F109+Antalya!F109+Ankara!F109+Mersin!F109</f>
        <v>0</v>
      </c>
      <c r="G109" s="442">
        <f>Kayseri!G109+Karadeniz!G109+Malatya!G109+Şanlıurfa!G109+Ege!G109+Marmara1!G109+Marmara2!G109+Erzurum!G109+Konya!G109+Diyarbakır!G109+Trakya!G109+Antalya!G109+Ankara!G109+Mersin!G109</f>
        <v>0</v>
      </c>
      <c r="H109" s="442">
        <f>Kayseri!H109+Karadeniz!H109+Malatya!H109+Şanlıurfa!H109+Ege!H109+Marmara1!H109+Marmara2!H109+Erzurum!H109+Konya!H109+Diyarbakır!H109+Trakya!H109+Antalya!H109+Ankara!H109+Mersin!H109</f>
        <v>0</v>
      </c>
      <c r="I109" s="442">
        <f>Kayseri!I109+Karadeniz!I109+Malatya!I109+Şanlıurfa!I109+Ege!I109+Marmara1!I109+Marmara2!I109+Erzurum!I109+Konya!I109+Diyarbakır!I109+Trakya!I109+Antalya!I109+Ankara!I109+Mersin!I109</f>
        <v>0</v>
      </c>
      <c r="J109" s="442">
        <f>Kayseri!J109+Karadeniz!J109+Malatya!J109+Şanlıurfa!J109+Ege!J109+Marmara1!J109+Marmara2!J109+Erzurum!J109+Konya!J109+Diyarbakır!J109+Trakya!J109+Antalya!J109+Ankara!J109+Mersin!J109</f>
        <v>0</v>
      </c>
      <c r="K109" s="442">
        <f>Kayseri!K109+Karadeniz!K109+Malatya!K109+Şanlıurfa!K109+Ege!K109+Marmara1!K109+Marmara2!K109+Erzurum!K109+Konya!K109+Diyarbakır!K109+Trakya!K109+Antalya!K109+Ankara!K109+Mersin!K109</f>
        <v>0</v>
      </c>
      <c r="L109" s="442">
        <f>Kayseri!L109+Karadeniz!L109+Malatya!L109+Şanlıurfa!L109+Ege!L109+Marmara1!L109+Marmara2!L109+Erzurum!L109+Konya!L109+Diyarbakır!L109+Trakya!L109+Antalya!L109+Ankara!L109+Mersin!L109</f>
        <v>0</v>
      </c>
      <c r="M109" s="442">
        <f>Kayseri!M109+Karadeniz!M109+Malatya!M109+Şanlıurfa!M109+Ege!M109+Marmara1!M109+Marmara2!M109+Erzurum!M109+Konya!M109+Diyarbakır!M109+Trakya!M109+Antalya!M109+Ankara!M109+Mersin!M109</f>
        <v>0</v>
      </c>
      <c r="N109" s="442">
        <f>Kayseri!N109+Karadeniz!N109+Malatya!N109+Şanlıurfa!N109+Ege!N109+Marmara1!N109+Marmara2!N109+Erzurum!N109+Konya!N109+Diyarbakır!N109+Trakya!N109+Antalya!N109+Ankara!N109+Mersin!N109</f>
        <v>0</v>
      </c>
      <c r="O109" s="443">
        <f>Kayseri!O109+Karadeniz!O109+Malatya!O109+Şanlıurfa!O109+Ege!O109+Marmara1!O109+Marmara2!O109+Erzurum!O109+Konya!O109+Diyarbakır!O109+Trakya!O109+Antalya!O109+Ankara!O109+Mersin!O109</f>
        <v>0</v>
      </c>
      <c r="P109" s="1248">
        <f>SUM(D109:O109)</f>
        <v>0</v>
      </c>
      <c r="Q109" s="1245" t="str">
        <f t="shared" si="129"/>
        <v>-</v>
      </c>
      <c r="R109" s="353">
        <f>+P109-Mersin!P109-Ankara!P109-Antalya!P109-Konya!P109-Trakya!P109-Kayseri!P109-Diyarbakır!P109-Erzurum!P109-Marmara2!P109-Marmara1!P109-Ege!P109-Malatya!P109-Karadeniz!P109-Şanlıurfa!P109</f>
        <v>0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  <c r="R110" s="353">
        <f>+P110-Mersin!P110-Ankara!P110-Antalya!P110-Konya!P110-Trakya!P110-Kayseri!P110-Diyarbakır!P110-Erzurum!P110-Marmara2!P110-Marmara1!P110-Ege!P110-Malatya!P110-Karadeniz!P110-Şanlıurfa!P110</f>
        <v>0</v>
      </c>
    </row>
    <row r="111" spans="1:22" ht="22.5" customHeight="1" thickBot="1">
      <c r="A111" s="362" t="s">
        <v>86</v>
      </c>
      <c r="B111" s="363">
        <f>Kayseri!B111+Karadeniz!B111+Malatya!B111+Şanlıurfa!B111+Ege!B111+Marmara1!B111+Marmara2!B111+Erzurum!B111+Konya!B111+Diyarbakır!B111+Trakya!B111+Antalya!B111+Ankara!B111+Mersin!B111</f>
        <v>0</v>
      </c>
      <c r="C111" s="364">
        <f>Kayseri!C111+Karadeniz!C111+Malatya!C111+Şanlıurfa!C111+Ege!C111+Marmara1!C111+Marmara2!C111+Erzurum!C111+Konya!C111+Diyarbakır!C111+Trakya!C111+Antalya!C111+Ankara!C111+Mersin!C111</f>
        <v>0</v>
      </c>
      <c r="D111" s="365">
        <f>Kayseri!D111+Karadeniz!D111+Malatya!D111+Şanlıurfa!D111+Ege!D111+Marmara1!D111+Marmara2!D111+Erzurum!D111+Konya!D111+Diyarbakır!D111+Trakya!D111+Antalya!D111+Ankara!D111+Mersin!D111</f>
        <v>0</v>
      </c>
      <c r="E111" s="366">
        <f>Kayseri!E111+Karadeniz!E111+Malatya!E111+Şanlıurfa!E111+Ege!E111+Marmara1!E111+Marmara2!E111+Erzurum!E111+Konya!E111+Diyarbakır!E111+Trakya!E111+Antalya!E111+Ankara!E111+Mersin!E111</f>
        <v>0</v>
      </c>
      <c r="F111" s="366">
        <f>Kayseri!F111+Karadeniz!F111+Malatya!F111+Şanlıurfa!F111+Ege!F111+Marmara1!F111+Marmara2!F111+Erzurum!F111+Konya!F111+Diyarbakır!F111+Trakya!F111+Antalya!F111+Ankara!F111+Mersin!F111</f>
        <v>0</v>
      </c>
      <c r="G111" s="366">
        <f>Kayseri!G111+Karadeniz!G111+Malatya!G111+Şanlıurfa!G111+Ege!G111+Marmara1!G111+Marmara2!G111+Erzurum!G111+Konya!G111+Diyarbakır!G111+Trakya!G111+Antalya!G111+Ankara!G111+Mersin!G111</f>
        <v>0</v>
      </c>
      <c r="H111" s="366">
        <f>Kayseri!H111+Karadeniz!H111+Malatya!H111+Şanlıurfa!H111+Ege!H111+Marmara1!H111+Marmara2!H111+Erzurum!H111+Konya!H111+Diyarbakır!H111+Trakya!H111+Antalya!H111+Ankara!H111+Mersin!H111</f>
        <v>0</v>
      </c>
      <c r="I111" s="366">
        <f>Kayseri!I111+Karadeniz!I111+Malatya!I111+Şanlıurfa!I111+Ege!I111+Marmara1!I111+Marmara2!I111+Erzurum!I111+Konya!I111+Diyarbakır!I111+Trakya!I111+Antalya!I111+Ankara!I111+Mersin!I111</f>
        <v>0</v>
      </c>
      <c r="J111" s="366">
        <f>Kayseri!J111+Karadeniz!J111+Malatya!J111+Şanlıurfa!J111+Ege!J111+Marmara1!J111+Marmara2!J111+Erzurum!J111+Konya!J111+Diyarbakır!J111+Trakya!J111+Antalya!J111+Ankara!J111+Mersin!J111</f>
        <v>0</v>
      </c>
      <c r="K111" s="366">
        <f>Kayseri!K111+Karadeniz!K111+Malatya!K111+Şanlıurfa!K111+Ege!K111+Marmara1!K111+Marmara2!K111+Erzurum!K111+Konya!K111+Diyarbakır!K111+Trakya!K111+Antalya!K111+Ankara!K111+Mersin!K111</f>
        <v>0</v>
      </c>
      <c r="L111" s="366">
        <f>Kayseri!L111+Karadeniz!L111+Malatya!L111+Şanlıurfa!L111+Ege!L111+Marmara1!L111+Marmara2!L111+Erzurum!L111+Konya!L111+Diyarbakır!L111+Trakya!L111+Antalya!L111+Ankara!L111+Mersin!L111</f>
        <v>0</v>
      </c>
      <c r="M111" s="366">
        <f>Kayseri!M111+Karadeniz!M111+Malatya!M111+Şanlıurfa!M111+Ege!M111+Marmara1!M111+Marmara2!M111+Erzurum!M111+Konya!M111+Diyarbakır!M111+Trakya!M111+Antalya!M111+Ankara!M111+Mersin!M111</f>
        <v>0</v>
      </c>
      <c r="N111" s="366">
        <f>Kayseri!N111+Karadeniz!N111+Malatya!N111+Şanlıurfa!N111+Ege!N111+Marmara1!N111+Marmara2!N111+Erzurum!N111+Konya!N111+Diyarbakır!N111+Trakya!N111+Antalya!N111+Ankara!N111+Mersin!N111</f>
        <v>0</v>
      </c>
      <c r="O111" s="448">
        <f>Kayseri!O111+Karadeniz!O111+Malatya!O111+Şanlıurfa!O111+Ege!O111+Marmara1!O111+Marmara2!O111+Erzurum!O111+Konya!O111+Diyarbakır!O111+Trakya!O111+Antalya!O111+Ankara!O111+Mersin!O111</f>
        <v>0</v>
      </c>
      <c r="P111" s="456">
        <f>SUM(D111:O111)</f>
        <v>0</v>
      </c>
      <c r="Q111" s="1236" t="str">
        <f>IF(P111=0,"-",P111/C111-1)</f>
        <v>-</v>
      </c>
      <c r="R111" s="353">
        <f>+P111-Mersin!P111-Ankara!P111-Antalya!P111-Konya!P111-Trakya!P111-Kayseri!P111-Diyarbakır!P111-Erzurum!P111-Marmara2!P111-Marmara1!P111-Ege!P111-Malatya!P111-Karadeniz!P111-Şanlıurfa!P111</f>
        <v>0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  <c r="R112" s="353">
        <f>+P112-Mersin!P112-Ankara!P112-Antalya!P112-Konya!P112-Trakya!P112-Kayseri!P112-Diyarbakır!P112-Erzurum!P112-Marmara2!P112-Marmara1!P112-Ege!P112-Malatya!P112-Karadeniz!P112-Şanlıurfa!P112</f>
        <v>0</v>
      </c>
    </row>
    <row r="113" spans="1:22" ht="22.5" customHeight="1" thickBot="1">
      <c r="A113" s="362" t="s">
        <v>35</v>
      </c>
      <c r="B113" s="363">
        <f t="shared" ref="B113" si="138">+B94+B104+B107+B111</f>
        <v>0</v>
      </c>
      <c r="C113" s="364">
        <f>+C94+C104+C107+C111</f>
        <v>0</v>
      </c>
      <c r="D113" s="365">
        <f>+D94+D104+D107+D111</f>
        <v>0</v>
      </c>
      <c r="E113" s="366">
        <f t="shared" ref="E113:P113" si="139">+E94+E104+E107+E111</f>
        <v>0</v>
      </c>
      <c r="F113" s="366">
        <f t="shared" si="139"/>
        <v>0</v>
      </c>
      <c r="G113" s="366">
        <f t="shared" si="139"/>
        <v>0</v>
      </c>
      <c r="H113" s="366">
        <f t="shared" si="139"/>
        <v>0</v>
      </c>
      <c r="I113" s="366">
        <f t="shared" si="139"/>
        <v>0</v>
      </c>
      <c r="J113" s="366">
        <f t="shared" si="139"/>
        <v>0</v>
      </c>
      <c r="K113" s="366">
        <f t="shared" si="139"/>
        <v>0</v>
      </c>
      <c r="L113" s="366">
        <f t="shared" si="139"/>
        <v>0</v>
      </c>
      <c r="M113" s="366">
        <f t="shared" si="139"/>
        <v>0</v>
      </c>
      <c r="N113" s="366">
        <f t="shared" si="139"/>
        <v>0</v>
      </c>
      <c r="O113" s="448">
        <f t="shared" si="139"/>
        <v>0</v>
      </c>
      <c r="P113" s="456">
        <f t="shared" si="139"/>
        <v>0</v>
      </c>
      <c r="Q113" s="1236" t="str">
        <f>IF(P113=0,"-",P113/C113-1)</f>
        <v>-</v>
      </c>
      <c r="R113" s="353">
        <f>+P113-Mersin!P113-Ankara!P113-Antalya!P113-Konya!P113-Trakya!P113-Kayseri!P113-Diyarbakır!P113-Erzurum!P113-Marmara2!P113-Marmara1!P113-Ege!P113-Malatya!P113-Karadeniz!P113-Şanlıurfa!P113</f>
        <v>0</v>
      </c>
    </row>
    <row r="114" spans="1:22" ht="15" thickBot="1">
      <c r="R114" s="353">
        <f>+P114-Mersin!P114-Ankara!P114-Antalya!P114-Konya!P114-Trakya!P114-Kayseri!P114-Diyarbakır!P114-Erzurum!P114-Marmara2!P114-Marmara1!P114-Ege!P114-Malatya!P114-Karadeniz!P114-Şanlıurfa!P114</f>
        <v>0</v>
      </c>
    </row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  <c r="R115" s="353">
        <f>+P115-Mersin!P115-Ankara!P115-Antalya!P115-Konya!P115-Trakya!P115-Kayseri!P115-Diyarbakır!P115-Erzurum!P115-Marmara2!P115-Marmara1!P115-Ege!P115-Malatya!P115-Karadeniz!P115-Şanlıurfa!P115</f>
        <v>0</v>
      </c>
    </row>
    <row r="116" spans="1:22" ht="30.75" customHeight="1" thickBot="1">
      <c r="A116" s="356"/>
      <c r="B116" s="357" t="s">
        <v>704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  <c r="R116" s="353" t="e">
        <f>+P116-Mersin!P116-Ankara!P116-Antalya!P116-Konya!P116-Trakya!P116-Kayseri!P116-Diyarbakır!P116-Erzurum!P116-Marmara2!P116-Marmara1!P116-Ege!P116-Malatya!P116-Karadeniz!P116-Şanlıurfa!P116</f>
        <v>#VALUE!</v>
      </c>
    </row>
    <row r="117" spans="1:22" ht="22.5" customHeight="1" thickBot="1">
      <c r="A117" s="362" t="s">
        <v>28</v>
      </c>
      <c r="B117" s="363">
        <f t="shared" ref="B117:C117" si="140">B120+B121+B126</f>
        <v>0</v>
      </c>
      <c r="C117" s="364">
        <f t="shared" si="140"/>
        <v>0</v>
      </c>
      <c r="D117" s="365">
        <f t="shared" ref="D117:P117" si="141">D120+D121+D126</f>
        <v>0</v>
      </c>
      <c r="E117" s="366">
        <f t="shared" si="141"/>
        <v>0</v>
      </c>
      <c r="F117" s="366">
        <f t="shared" si="141"/>
        <v>0</v>
      </c>
      <c r="G117" s="366">
        <f t="shared" si="141"/>
        <v>0</v>
      </c>
      <c r="H117" s="366">
        <f t="shared" si="141"/>
        <v>0</v>
      </c>
      <c r="I117" s="366">
        <f t="shared" si="141"/>
        <v>0</v>
      </c>
      <c r="J117" s="366">
        <f t="shared" si="141"/>
        <v>0</v>
      </c>
      <c r="K117" s="366">
        <f t="shared" si="141"/>
        <v>0</v>
      </c>
      <c r="L117" s="366">
        <f t="shared" si="141"/>
        <v>0</v>
      </c>
      <c r="M117" s="366">
        <f t="shared" si="141"/>
        <v>0</v>
      </c>
      <c r="N117" s="366">
        <f t="shared" si="141"/>
        <v>0</v>
      </c>
      <c r="O117" s="364">
        <f t="shared" si="141"/>
        <v>0</v>
      </c>
      <c r="P117" s="456">
        <f t="shared" si="141"/>
        <v>0</v>
      </c>
      <c r="Q117" s="1236" t="str">
        <f t="shared" ref="Q117:Q132" si="142">IF(P117=0,"-",P117/C117-1)</f>
        <v>-</v>
      </c>
      <c r="R117" s="353">
        <f>+P117-Mersin!P117-Ankara!P117-Antalya!P117-Konya!P117-Trakya!P117-Kayseri!P117-Diyarbakır!P117-Erzurum!P117-Marmara2!P117-Marmara1!P117-Ege!P117-Malatya!P117-Karadeniz!P117-Şanlıurfa!P117</f>
        <v>0</v>
      </c>
    </row>
    <row r="118" spans="1:22" ht="16.5" customHeight="1">
      <c r="A118" s="368" t="s">
        <v>15</v>
      </c>
      <c r="B118" s="369">
        <f t="shared" ref="B118:C118" si="143">+B72-B95</f>
        <v>0</v>
      </c>
      <c r="C118" s="370">
        <f t="shared" si="143"/>
        <v>0</v>
      </c>
      <c r="D118" s="371">
        <f t="shared" ref="D118:O118" si="144">+D72-D95</f>
        <v>0</v>
      </c>
      <c r="E118" s="372">
        <f t="shared" si="144"/>
        <v>0</v>
      </c>
      <c r="F118" s="372">
        <f t="shared" si="144"/>
        <v>0</v>
      </c>
      <c r="G118" s="372">
        <f t="shared" si="144"/>
        <v>0</v>
      </c>
      <c r="H118" s="373">
        <f t="shared" si="144"/>
        <v>0</v>
      </c>
      <c r="I118" s="373">
        <f t="shared" si="144"/>
        <v>0</v>
      </c>
      <c r="J118" s="373">
        <f t="shared" si="144"/>
        <v>0</v>
      </c>
      <c r="K118" s="373">
        <f t="shared" si="144"/>
        <v>0</v>
      </c>
      <c r="L118" s="373">
        <f t="shared" si="144"/>
        <v>0</v>
      </c>
      <c r="M118" s="373">
        <f t="shared" si="144"/>
        <v>0</v>
      </c>
      <c r="N118" s="373">
        <f t="shared" si="144"/>
        <v>0</v>
      </c>
      <c r="O118" s="374">
        <f t="shared" si="144"/>
        <v>0</v>
      </c>
      <c r="P118" s="1230">
        <f t="shared" ref="P118:P125" si="145">SUM(D118:O118)</f>
        <v>0</v>
      </c>
      <c r="Q118" s="1237" t="str">
        <f t="shared" si="142"/>
        <v>-</v>
      </c>
      <c r="R118" s="353">
        <f>+P118-Mersin!P118-Ankara!P118-Antalya!P118-Konya!P118-Trakya!P118-Kayseri!P118-Diyarbakır!P118-Erzurum!P118-Marmara2!P118-Marmara1!P118-Ege!P118-Malatya!P118-Karadeniz!P118-Şanlıurfa!P118</f>
        <v>0</v>
      </c>
      <c r="S118" s="376" t="e">
        <f>SUM(P118/P72)</f>
        <v>#DIV/0!</v>
      </c>
      <c r="T118" s="376"/>
      <c r="U118" s="376"/>
      <c r="V118" s="376"/>
    </row>
    <row r="119" spans="1:22" ht="16.5" hidden="1" customHeight="1">
      <c r="A119" s="377" t="s">
        <v>16</v>
      </c>
      <c r="B119" s="378">
        <f t="shared" ref="B119:C119" si="146">+B73-B96</f>
        <v>0</v>
      </c>
      <c r="C119" s="379">
        <f t="shared" si="146"/>
        <v>0</v>
      </c>
      <c r="D119" s="380">
        <f t="shared" ref="D119:O119" si="147">+D73-D96</f>
        <v>0</v>
      </c>
      <c r="E119" s="381">
        <f t="shared" si="147"/>
        <v>0</v>
      </c>
      <c r="F119" s="381">
        <f t="shared" si="147"/>
        <v>0</v>
      </c>
      <c r="G119" s="381">
        <f t="shared" si="147"/>
        <v>0</v>
      </c>
      <c r="H119" s="382">
        <f t="shared" si="147"/>
        <v>0</v>
      </c>
      <c r="I119" s="382">
        <f t="shared" si="147"/>
        <v>0</v>
      </c>
      <c r="J119" s="382">
        <f t="shared" si="147"/>
        <v>0</v>
      </c>
      <c r="K119" s="382">
        <f t="shared" si="147"/>
        <v>0</v>
      </c>
      <c r="L119" s="382">
        <f t="shared" si="147"/>
        <v>0</v>
      </c>
      <c r="M119" s="382">
        <f t="shared" si="147"/>
        <v>0</v>
      </c>
      <c r="N119" s="382">
        <f t="shared" si="147"/>
        <v>0</v>
      </c>
      <c r="O119" s="383">
        <f t="shared" si="147"/>
        <v>0</v>
      </c>
      <c r="P119" s="1231">
        <f t="shared" si="145"/>
        <v>0</v>
      </c>
      <c r="Q119" s="1238" t="str">
        <f t="shared" si="142"/>
        <v>-</v>
      </c>
      <c r="R119" s="353">
        <f>+P119-Mersin!P119-Ankara!P119-Antalya!P119-Konya!P119-Trakya!P119-Kayseri!P119-Diyarbakır!P119-Erzurum!P119-Marmara2!P119-Marmara1!P119-Ege!P119-Malatya!P119-Karadeniz!P119-Şanlıurfa!P119</f>
        <v>0</v>
      </c>
      <c r="S119" s="376" t="e">
        <f t="shared" ref="S119:S136" si="148">SUM(P119/P73)</f>
        <v>#DIV/0!</v>
      </c>
    </row>
    <row r="120" spans="1:22" ht="15" customHeight="1">
      <c r="A120" s="385" t="s">
        <v>27</v>
      </c>
      <c r="B120" s="391">
        <f t="shared" ref="B120:C120" si="149">SUM(B118:B119)</f>
        <v>0</v>
      </c>
      <c r="C120" s="390">
        <f t="shared" si="149"/>
        <v>0</v>
      </c>
      <c r="D120" s="388">
        <f t="shared" ref="D120:O120" si="150">SUM(D118:D119)</f>
        <v>0</v>
      </c>
      <c r="E120" s="389">
        <f t="shared" si="150"/>
        <v>0</v>
      </c>
      <c r="F120" s="389">
        <f t="shared" si="150"/>
        <v>0</v>
      </c>
      <c r="G120" s="389">
        <f t="shared" si="150"/>
        <v>0</v>
      </c>
      <c r="H120" s="389">
        <f t="shared" si="150"/>
        <v>0</v>
      </c>
      <c r="I120" s="389">
        <f t="shared" si="150"/>
        <v>0</v>
      </c>
      <c r="J120" s="389">
        <f t="shared" si="150"/>
        <v>0</v>
      </c>
      <c r="K120" s="389">
        <f t="shared" si="150"/>
        <v>0</v>
      </c>
      <c r="L120" s="389">
        <f t="shared" si="150"/>
        <v>0</v>
      </c>
      <c r="M120" s="389">
        <f t="shared" si="150"/>
        <v>0</v>
      </c>
      <c r="N120" s="389">
        <f t="shared" si="150"/>
        <v>0</v>
      </c>
      <c r="O120" s="390">
        <f t="shared" si="150"/>
        <v>0</v>
      </c>
      <c r="P120" s="1158">
        <f t="shared" si="145"/>
        <v>0</v>
      </c>
      <c r="Q120" s="1239" t="str">
        <f t="shared" si="142"/>
        <v>-</v>
      </c>
      <c r="R120" s="353">
        <f>+P120-Mersin!P120-Ankara!P120-Antalya!P120-Konya!P120-Trakya!P120-Kayseri!P120-Diyarbakır!P120-Erzurum!P120-Marmara2!P120-Marmara1!P120-Ege!P120-Malatya!P120-Karadeniz!P120-Şanlıurfa!P120</f>
        <v>0</v>
      </c>
      <c r="S120" s="376" t="e">
        <f t="shared" si="148"/>
        <v>#DIV/0!</v>
      </c>
    </row>
    <row r="121" spans="1:22" ht="16.5" customHeight="1">
      <c r="A121" s="393" t="s">
        <v>17</v>
      </c>
      <c r="B121" s="394">
        <f t="shared" ref="B121:C121" si="151">+B75-B98</f>
        <v>0</v>
      </c>
      <c r="C121" s="395">
        <f t="shared" si="151"/>
        <v>0</v>
      </c>
      <c r="D121" s="396">
        <f t="shared" ref="D121:O121" si="152">+D75-D98</f>
        <v>0</v>
      </c>
      <c r="E121" s="397">
        <f t="shared" si="152"/>
        <v>0</v>
      </c>
      <c r="F121" s="397">
        <f t="shared" si="152"/>
        <v>0</v>
      </c>
      <c r="G121" s="397">
        <f t="shared" si="152"/>
        <v>0</v>
      </c>
      <c r="H121" s="397">
        <f t="shared" si="152"/>
        <v>0</v>
      </c>
      <c r="I121" s="397">
        <f t="shared" si="152"/>
        <v>0</v>
      </c>
      <c r="J121" s="397">
        <f t="shared" si="152"/>
        <v>0</v>
      </c>
      <c r="K121" s="397">
        <f t="shared" si="152"/>
        <v>0</v>
      </c>
      <c r="L121" s="397">
        <f t="shared" si="152"/>
        <v>0</v>
      </c>
      <c r="M121" s="397">
        <f t="shared" si="152"/>
        <v>0</v>
      </c>
      <c r="N121" s="397">
        <f t="shared" si="152"/>
        <v>0</v>
      </c>
      <c r="O121" s="398">
        <f t="shared" si="152"/>
        <v>0</v>
      </c>
      <c r="P121" s="1246">
        <f t="shared" si="145"/>
        <v>0</v>
      </c>
      <c r="Q121" s="1238" t="str">
        <f t="shared" si="142"/>
        <v>-</v>
      </c>
      <c r="R121" s="353">
        <f>+P121-Mersin!P121-Ankara!P121-Antalya!P121-Konya!P121-Trakya!P121-Kayseri!P121-Diyarbakır!P121-Erzurum!P121-Marmara2!P121-Marmara1!P121-Ege!P121-Malatya!P121-Karadeniz!P121-Şanlıurfa!P121</f>
        <v>0</v>
      </c>
      <c r="S121" s="376" t="e">
        <f t="shared" si="148"/>
        <v>#DIV/0!</v>
      </c>
    </row>
    <row r="122" spans="1:22" ht="16.5" customHeight="1">
      <c r="A122" s="400" t="s">
        <v>81</v>
      </c>
      <c r="B122" s="386">
        <f t="shared" ref="B122" si="153">+B76-B99</f>
        <v>0</v>
      </c>
      <c r="C122" s="401">
        <f>+C76-C99</f>
        <v>0</v>
      </c>
      <c r="D122" s="402">
        <f t="shared" ref="D122:O122" si="154">+D76-D99</f>
        <v>0</v>
      </c>
      <c r="E122" s="403">
        <f t="shared" si="154"/>
        <v>0</v>
      </c>
      <c r="F122" s="403">
        <f t="shared" si="154"/>
        <v>0</v>
      </c>
      <c r="G122" s="403">
        <f t="shared" si="154"/>
        <v>0</v>
      </c>
      <c r="H122" s="403">
        <f t="shared" si="154"/>
        <v>0</v>
      </c>
      <c r="I122" s="403">
        <f t="shared" si="154"/>
        <v>0</v>
      </c>
      <c r="J122" s="403">
        <f t="shared" si="154"/>
        <v>0</v>
      </c>
      <c r="K122" s="403">
        <f t="shared" si="154"/>
        <v>0</v>
      </c>
      <c r="L122" s="403">
        <f t="shared" si="154"/>
        <v>0</v>
      </c>
      <c r="M122" s="403">
        <f t="shared" si="154"/>
        <v>0</v>
      </c>
      <c r="N122" s="403">
        <f t="shared" si="154"/>
        <v>0</v>
      </c>
      <c r="O122" s="404">
        <f t="shared" si="154"/>
        <v>0</v>
      </c>
      <c r="P122" s="1218">
        <f t="shared" si="145"/>
        <v>0</v>
      </c>
      <c r="Q122" s="1240" t="str">
        <f t="shared" si="142"/>
        <v>-</v>
      </c>
      <c r="R122" s="353">
        <f>+P122-Mersin!P122-Ankara!P122-Antalya!P122-Konya!P122-Trakya!P122-Kayseri!P122-Diyarbakır!P122-Erzurum!P122-Marmara2!P122-Marmara1!P122-Ege!P122-Malatya!P122-Karadeniz!P122-Şanlıurfa!P122</f>
        <v>0</v>
      </c>
      <c r="S122" s="376" t="e">
        <f t="shared" si="148"/>
        <v>#DIV/0!</v>
      </c>
    </row>
    <row r="123" spans="1:22" ht="16.5" hidden="1" customHeight="1">
      <c r="A123" s="406" t="s">
        <v>82</v>
      </c>
      <c r="B123" s="394">
        <f t="shared" ref="B123:C123" si="155">+B77-B100</f>
        <v>0</v>
      </c>
      <c r="C123" s="395">
        <f t="shared" si="155"/>
        <v>0</v>
      </c>
      <c r="D123" s="407">
        <f t="shared" ref="D123:O123" si="156">+D77-D100</f>
        <v>0</v>
      </c>
      <c r="E123" s="382">
        <f t="shared" si="156"/>
        <v>0</v>
      </c>
      <c r="F123" s="382">
        <f t="shared" si="156"/>
        <v>0</v>
      </c>
      <c r="G123" s="382">
        <f t="shared" si="156"/>
        <v>0</v>
      </c>
      <c r="H123" s="382">
        <f t="shared" si="156"/>
        <v>0</v>
      </c>
      <c r="I123" s="382">
        <f t="shared" si="156"/>
        <v>0</v>
      </c>
      <c r="J123" s="382">
        <f t="shared" si="156"/>
        <v>0</v>
      </c>
      <c r="K123" s="382">
        <f t="shared" si="156"/>
        <v>0</v>
      </c>
      <c r="L123" s="382">
        <f t="shared" si="156"/>
        <v>0</v>
      </c>
      <c r="M123" s="382">
        <f t="shared" si="156"/>
        <v>0</v>
      </c>
      <c r="N123" s="382">
        <f t="shared" si="156"/>
        <v>0</v>
      </c>
      <c r="O123" s="383">
        <f t="shared" si="156"/>
        <v>0</v>
      </c>
      <c r="P123" s="1246">
        <f t="shared" si="145"/>
        <v>0</v>
      </c>
      <c r="Q123" s="1238" t="str">
        <f t="shared" si="142"/>
        <v>-</v>
      </c>
      <c r="R123" s="353">
        <f>+P123-Mersin!P123-Ankara!P123-Antalya!P123-Konya!P123-Trakya!P123-Kayseri!P123-Diyarbakır!P123-Erzurum!P123-Marmara2!P123-Marmara1!P123-Ege!P123-Malatya!P123-Karadeniz!P123-Şanlıurfa!P123</f>
        <v>0</v>
      </c>
      <c r="S123" s="376" t="e">
        <f t="shared" si="148"/>
        <v>#DIV/0!</v>
      </c>
    </row>
    <row r="124" spans="1:22" ht="16.5" customHeight="1">
      <c r="A124" s="400" t="s">
        <v>83</v>
      </c>
      <c r="B124" s="408">
        <f t="shared" ref="B124:C124" si="157">+B78-B101</f>
        <v>0</v>
      </c>
      <c r="C124" s="409">
        <f t="shared" si="157"/>
        <v>0</v>
      </c>
      <c r="D124" s="402">
        <f t="shared" ref="D124:O124" si="158">+D78-D101</f>
        <v>0</v>
      </c>
      <c r="E124" s="403">
        <f t="shared" si="158"/>
        <v>0</v>
      </c>
      <c r="F124" s="403">
        <f t="shared" si="158"/>
        <v>0</v>
      </c>
      <c r="G124" s="403">
        <f t="shared" si="158"/>
        <v>0</v>
      </c>
      <c r="H124" s="403">
        <f t="shared" si="158"/>
        <v>0</v>
      </c>
      <c r="I124" s="403">
        <f t="shared" si="158"/>
        <v>0</v>
      </c>
      <c r="J124" s="403">
        <f t="shared" si="158"/>
        <v>0</v>
      </c>
      <c r="K124" s="403">
        <f t="shared" si="158"/>
        <v>0</v>
      </c>
      <c r="L124" s="403">
        <f t="shared" si="158"/>
        <v>0</v>
      </c>
      <c r="M124" s="403">
        <f t="shared" si="158"/>
        <v>0</v>
      </c>
      <c r="N124" s="403">
        <f t="shared" si="158"/>
        <v>0</v>
      </c>
      <c r="O124" s="404">
        <f t="shared" si="158"/>
        <v>0</v>
      </c>
      <c r="P124" s="1218">
        <f t="shared" si="145"/>
        <v>0</v>
      </c>
      <c r="Q124" s="1240" t="str">
        <f t="shared" si="142"/>
        <v>-</v>
      </c>
      <c r="R124" s="353">
        <f>+P124-Mersin!P124-Ankara!P124-Antalya!P124-Konya!P124-Trakya!P124-Kayseri!P124-Diyarbakır!P124-Erzurum!P124-Marmara2!P124-Marmara1!P124-Ege!P124-Malatya!P124-Karadeniz!P124-Şanlıurfa!P124</f>
        <v>0</v>
      </c>
      <c r="S124" s="376" t="e">
        <f t="shared" si="148"/>
        <v>#DIV/0!</v>
      </c>
    </row>
    <row r="125" spans="1:22" ht="16.5" hidden="1" customHeight="1">
      <c r="A125" s="406" t="s">
        <v>84</v>
      </c>
      <c r="B125" s="378">
        <f t="shared" ref="B125:C125" si="159">+B79-B102</f>
        <v>0</v>
      </c>
      <c r="C125" s="379">
        <f t="shared" si="159"/>
        <v>0</v>
      </c>
      <c r="D125" s="407">
        <f t="shared" ref="D125:O125" si="160">+D79-D102</f>
        <v>0</v>
      </c>
      <c r="E125" s="382">
        <f t="shared" si="160"/>
        <v>0</v>
      </c>
      <c r="F125" s="382">
        <f t="shared" si="160"/>
        <v>0</v>
      </c>
      <c r="G125" s="382">
        <f t="shared" si="160"/>
        <v>0</v>
      </c>
      <c r="H125" s="382">
        <f t="shared" si="160"/>
        <v>0</v>
      </c>
      <c r="I125" s="381">
        <f t="shared" si="160"/>
        <v>0</v>
      </c>
      <c r="J125" s="381">
        <f t="shared" si="160"/>
        <v>0</v>
      </c>
      <c r="K125" s="382">
        <f t="shared" si="160"/>
        <v>0</v>
      </c>
      <c r="L125" s="382">
        <f t="shared" si="160"/>
        <v>0</v>
      </c>
      <c r="M125" s="382">
        <f t="shared" si="160"/>
        <v>0</v>
      </c>
      <c r="N125" s="382">
        <f t="shared" si="160"/>
        <v>0</v>
      </c>
      <c r="O125" s="383">
        <f t="shared" si="160"/>
        <v>0</v>
      </c>
      <c r="P125" s="1246">
        <f t="shared" si="145"/>
        <v>0</v>
      </c>
      <c r="Q125" s="1238" t="str">
        <f t="shared" si="142"/>
        <v>-</v>
      </c>
      <c r="R125" s="353">
        <f>+P125-Mersin!P125-Ankara!P125-Antalya!P125-Konya!P125-Trakya!P125-Kayseri!P125-Diyarbakır!P125-Erzurum!P125-Marmara2!P125-Marmara1!P125-Ege!P125-Malatya!P125-Karadeniz!P125-Şanlıurfa!P125</f>
        <v>0</v>
      </c>
      <c r="S125" s="376" t="e">
        <f t="shared" si="148"/>
        <v>#DIV/0!</v>
      </c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61">SUM(B122:B125)</f>
        <v>0</v>
      </c>
      <c r="C126" s="412">
        <f t="shared" si="161"/>
        <v>0</v>
      </c>
      <c r="D126" s="413">
        <f t="shared" ref="D126:P126" si="162">SUM(D122:D125)</f>
        <v>0</v>
      </c>
      <c r="E126" s="414">
        <f t="shared" si="162"/>
        <v>0</v>
      </c>
      <c r="F126" s="414">
        <f t="shared" si="162"/>
        <v>0</v>
      </c>
      <c r="G126" s="414">
        <f t="shared" si="162"/>
        <v>0</v>
      </c>
      <c r="H126" s="414">
        <f t="shared" si="162"/>
        <v>0</v>
      </c>
      <c r="I126" s="414">
        <f t="shared" si="162"/>
        <v>0</v>
      </c>
      <c r="J126" s="414">
        <f t="shared" si="162"/>
        <v>0</v>
      </c>
      <c r="K126" s="414">
        <f t="shared" si="162"/>
        <v>0</v>
      </c>
      <c r="L126" s="414">
        <f t="shared" si="162"/>
        <v>0</v>
      </c>
      <c r="M126" s="414">
        <f t="shared" si="162"/>
        <v>0</v>
      </c>
      <c r="N126" s="414">
        <f t="shared" si="162"/>
        <v>0</v>
      </c>
      <c r="O126" s="412">
        <f t="shared" si="162"/>
        <v>0</v>
      </c>
      <c r="P126" s="1159">
        <f t="shared" si="162"/>
        <v>0</v>
      </c>
      <c r="Q126" s="1241" t="str">
        <f t="shared" si="142"/>
        <v>-</v>
      </c>
      <c r="R126" s="353">
        <f>+P126-Mersin!P126-Ankara!P126-Antalya!P126-Konya!P126-Trakya!P126-Kayseri!P126-Diyarbakır!P126-Erzurum!P126-Marmara2!P126-Marmara1!P126-Ege!P126-Malatya!P126-Karadeniz!P126-Şanlıurfa!P126</f>
        <v>0</v>
      </c>
      <c r="S126" s="376" t="e">
        <f t="shared" si="148"/>
        <v>#DIV/0!</v>
      </c>
    </row>
    <row r="127" spans="1:22" ht="22.5" customHeight="1" thickBot="1">
      <c r="A127" s="1251" t="s">
        <v>29</v>
      </c>
      <c r="B127" s="420">
        <f t="shared" ref="B127:C127" si="163">+B81-B104</f>
        <v>0</v>
      </c>
      <c r="C127" s="416">
        <f t="shared" si="163"/>
        <v>0</v>
      </c>
      <c r="D127" s="417">
        <f t="shared" ref="D127:O127" si="164">+D81-D104</f>
        <v>0</v>
      </c>
      <c r="E127" s="418">
        <f t="shared" si="164"/>
        <v>0</v>
      </c>
      <c r="F127" s="418">
        <f t="shared" si="164"/>
        <v>0</v>
      </c>
      <c r="G127" s="418">
        <f t="shared" si="164"/>
        <v>0</v>
      </c>
      <c r="H127" s="418">
        <f t="shared" si="164"/>
        <v>0</v>
      </c>
      <c r="I127" s="418">
        <f t="shared" si="164"/>
        <v>0</v>
      </c>
      <c r="J127" s="418">
        <f t="shared" si="164"/>
        <v>0</v>
      </c>
      <c r="K127" s="418">
        <f t="shared" si="164"/>
        <v>0</v>
      </c>
      <c r="L127" s="418">
        <f t="shared" si="164"/>
        <v>0</v>
      </c>
      <c r="M127" s="418">
        <f t="shared" si="164"/>
        <v>0</v>
      </c>
      <c r="N127" s="418">
        <f t="shared" si="164"/>
        <v>0</v>
      </c>
      <c r="O127" s="419">
        <f t="shared" si="164"/>
        <v>0</v>
      </c>
      <c r="P127" s="1232">
        <f>SUM(P128:P129)</f>
        <v>0</v>
      </c>
      <c r="Q127" s="1242" t="str">
        <f t="shared" si="142"/>
        <v>-</v>
      </c>
      <c r="R127" s="353">
        <f>+P127-Mersin!P127-Ankara!P127-Antalya!P127-Konya!P127-Trakya!P127-Kayseri!P127-Diyarbakır!P127-Erzurum!P127-Marmara2!P127-Marmara1!P127-Ege!P127-Malatya!P127-Karadeniz!P127-Şanlıurfa!P127</f>
        <v>0</v>
      </c>
      <c r="S127" s="376" t="e">
        <f t="shared" si="148"/>
        <v>#DIV/0!</v>
      </c>
    </row>
    <row r="128" spans="1:22" ht="16.5" customHeight="1">
      <c r="A128" s="422" t="s">
        <v>19</v>
      </c>
      <c r="B128" s="423">
        <f t="shared" ref="B128:C128" si="165">+B82-B105</f>
        <v>0</v>
      </c>
      <c r="C128" s="424">
        <f t="shared" si="165"/>
        <v>0</v>
      </c>
      <c r="D128" s="425">
        <f t="shared" ref="D128:O128" si="166">+D82-D105</f>
        <v>0</v>
      </c>
      <c r="E128" s="426">
        <f t="shared" si="166"/>
        <v>0</v>
      </c>
      <c r="F128" s="426">
        <f t="shared" si="166"/>
        <v>0</v>
      </c>
      <c r="G128" s="426">
        <f t="shared" si="166"/>
        <v>0</v>
      </c>
      <c r="H128" s="426">
        <f t="shared" si="166"/>
        <v>0</v>
      </c>
      <c r="I128" s="426">
        <f t="shared" si="166"/>
        <v>0</v>
      </c>
      <c r="J128" s="426">
        <f t="shared" si="166"/>
        <v>0</v>
      </c>
      <c r="K128" s="426">
        <f t="shared" si="166"/>
        <v>0</v>
      </c>
      <c r="L128" s="426">
        <f t="shared" si="166"/>
        <v>0</v>
      </c>
      <c r="M128" s="426">
        <f t="shared" si="166"/>
        <v>0</v>
      </c>
      <c r="N128" s="426">
        <f t="shared" si="166"/>
        <v>0</v>
      </c>
      <c r="O128" s="427">
        <f t="shared" si="166"/>
        <v>0</v>
      </c>
      <c r="P128" s="1247">
        <f>SUM(D128:O128)</f>
        <v>0</v>
      </c>
      <c r="Q128" s="1243" t="str">
        <f t="shared" si="142"/>
        <v>-</v>
      </c>
      <c r="R128" s="353">
        <f>+P128-Mersin!P128-Ankara!P128-Antalya!P128-Konya!P128-Trakya!P128-Kayseri!P128-Diyarbakır!P128-Erzurum!P128-Marmara2!P128-Marmara1!P128-Ege!P128-Malatya!P128-Karadeniz!P128-Şanlıurfa!P128</f>
        <v>0</v>
      </c>
      <c r="S128" s="376"/>
    </row>
    <row r="129" spans="1:19" ht="16.5" customHeight="1" thickBot="1">
      <c r="A129" s="430" t="s">
        <v>20</v>
      </c>
      <c r="B129" s="431">
        <f t="shared" ref="B129:C129" si="167">+B83-B106</f>
        <v>0</v>
      </c>
      <c r="C129" s="432">
        <f t="shared" si="167"/>
        <v>0</v>
      </c>
      <c r="D129" s="433">
        <f t="shared" ref="D129:O129" si="168">+D83-D106</f>
        <v>0</v>
      </c>
      <c r="E129" s="434">
        <f t="shared" si="168"/>
        <v>0</v>
      </c>
      <c r="F129" s="434">
        <f t="shared" si="168"/>
        <v>0</v>
      </c>
      <c r="G129" s="434">
        <f t="shared" si="168"/>
        <v>0</v>
      </c>
      <c r="H129" s="434">
        <f t="shared" si="168"/>
        <v>0</v>
      </c>
      <c r="I129" s="434">
        <f t="shared" si="168"/>
        <v>0</v>
      </c>
      <c r="J129" s="434">
        <f t="shared" si="168"/>
        <v>0</v>
      </c>
      <c r="K129" s="434">
        <f t="shared" si="168"/>
        <v>0</v>
      </c>
      <c r="L129" s="434">
        <f t="shared" si="168"/>
        <v>0</v>
      </c>
      <c r="M129" s="434">
        <f t="shared" si="168"/>
        <v>0</v>
      </c>
      <c r="N129" s="434">
        <f t="shared" si="168"/>
        <v>0</v>
      </c>
      <c r="O129" s="435">
        <f t="shared" si="168"/>
        <v>0</v>
      </c>
      <c r="P129" s="1220">
        <f>SUM(D129:O129)</f>
        <v>0</v>
      </c>
      <c r="Q129" s="1244" t="str">
        <f t="shared" si="142"/>
        <v>-</v>
      </c>
      <c r="R129" s="353">
        <f>+P129-Mersin!P129-Ankara!P129-Antalya!P129-Konya!P129-Trakya!P129-Kayseri!P129-Diyarbakır!P129-Erzurum!P129-Marmara2!P129-Marmara1!P129-Ege!P129-Malatya!P129-Karadeniz!P129-Şanlıurfa!P129</f>
        <v>0</v>
      </c>
      <c r="S129" s="376" t="e">
        <f t="shared" si="148"/>
        <v>#DIV/0!</v>
      </c>
    </row>
    <row r="130" spans="1:19" ht="22.5" customHeight="1" thickBot="1">
      <c r="A130" s="1251" t="s">
        <v>30</v>
      </c>
      <c r="B130" s="363">
        <f t="shared" ref="B130:C130" si="169">SUM(B131:B132)</f>
        <v>0</v>
      </c>
      <c r="C130" s="416">
        <f t="shared" si="169"/>
        <v>0</v>
      </c>
      <c r="D130" s="417">
        <f t="shared" ref="D130:P130" si="170">SUM(D131:D132)</f>
        <v>0</v>
      </c>
      <c r="E130" s="418">
        <f t="shared" si="170"/>
        <v>0</v>
      </c>
      <c r="F130" s="418">
        <f t="shared" si="170"/>
        <v>0</v>
      </c>
      <c r="G130" s="418">
        <f t="shared" si="170"/>
        <v>0</v>
      </c>
      <c r="H130" s="418">
        <f t="shared" si="170"/>
        <v>0</v>
      </c>
      <c r="I130" s="418">
        <f t="shared" si="170"/>
        <v>0</v>
      </c>
      <c r="J130" s="418">
        <f t="shared" si="170"/>
        <v>0</v>
      </c>
      <c r="K130" s="418">
        <f t="shared" si="170"/>
        <v>0</v>
      </c>
      <c r="L130" s="418">
        <f t="shared" si="170"/>
        <v>0</v>
      </c>
      <c r="M130" s="418">
        <f t="shared" si="170"/>
        <v>0</v>
      </c>
      <c r="N130" s="418">
        <f t="shared" si="170"/>
        <v>0</v>
      </c>
      <c r="O130" s="419">
        <f t="shared" si="170"/>
        <v>0</v>
      </c>
      <c r="P130" s="1232">
        <f t="shared" si="170"/>
        <v>0</v>
      </c>
      <c r="Q130" s="1242" t="str">
        <f t="shared" si="142"/>
        <v>-</v>
      </c>
      <c r="R130" s="353">
        <f>+P130-Mersin!P130-Ankara!P130-Antalya!P130-Konya!P130-Trakya!P130-Kayseri!P130-Diyarbakır!P130-Erzurum!P130-Marmara2!P130-Marmara1!P130-Ege!P130-Malatya!P130-Karadeniz!P130-Şanlıurfa!P130</f>
        <v>0</v>
      </c>
      <c r="S130" s="376" t="e">
        <f t="shared" si="148"/>
        <v>#DIV/0!</v>
      </c>
    </row>
    <row r="131" spans="1:19" ht="16.5" customHeight="1">
      <c r="A131" s="422" t="s">
        <v>106</v>
      </c>
      <c r="B131" s="423">
        <f t="shared" ref="B131:C131" si="171">+B85-B108</f>
        <v>0</v>
      </c>
      <c r="C131" s="424">
        <f t="shared" si="171"/>
        <v>0</v>
      </c>
      <c r="D131" s="425">
        <f t="shared" ref="D131:O131" si="172">+D85-D108</f>
        <v>0</v>
      </c>
      <c r="E131" s="426">
        <f t="shared" si="172"/>
        <v>0</v>
      </c>
      <c r="F131" s="426">
        <f t="shared" si="172"/>
        <v>0</v>
      </c>
      <c r="G131" s="426">
        <f t="shared" si="172"/>
        <v>0</v>
      </c>
      <c r="H131" s="426">
        <f t="shared" si="172"/>
        <v>0</v>
      </c>
      <c r="I131" s="426">
        <f t="shared" si="172"/>
        <v>0</v>
      </c>
      <c r="J131" s="426">
        <f t="shared" si="172"/>
        <v>0</v>
      </c>
      <c r="K131" s="426">
        <f t="shared" si="172"/>
        <v>0</v>
      </c>
      <c r="L131" s="426">
        <f t="shared" si="172"/>
        <v>0</v>
      </c>
      <c r="M131" s="426">
        <f t="shared" si="172"/>
        <v>0</v>
      </c>
      <c r="N131" s="426">
        <f t="shared" si="172"/>
        <v>0</v>
      </c>
      <c r="O131" s="427">
        <f t="shared" si="172"/>
        <v>0</v>
      </c>
      <c r="P131" s="1247">
        <f>SUM(D131:O131)</f>
        <v>0</v>
      </c>
      <c r="Q131" s="1243" t="str">
        <f t="shared" si="142"/>
        <v>-</v>
      </c>
      <c r="R131" s="353">
        <f>+P131-Mersin!P131-Ankara!P131-Antalya!P131-Konya!P131-Trakya!P131-Kayseri!P131-Diyarbakır!P131-Erzurum!P131-Marmara2!P131-Marmara1!P131-Ege!P131-Malatya!P131-Karadeniz!P131-Şanlıurfa!P131</f>
        <v>0</v>
      </c>
      <c r="S131" s="376" t="e">
        <f t="shared" si="148"/>
        <v>#DIV/0!</v>
      </c>
    </row>
    <row r="132" spans="1:19" ht="16.5" customHeight="1" thickBot="1">
      <c r="A132" s="438" t="s">
        <v>105</v>
      </c>
      <c r="B132" s="439">
        <f t="shared" ref="B132:C132" si="173">+B86-B109</f>
        <v>0</v>
      </c>
      <c r="C132" s="440">
        <f t="shared" si="173"/>
        <v>0</v>
      </c>
      <c r="D132" s="441">
        <f t="shared" ref="D132:O132" si="174">+D86-D109</f>
        <v>0</v>
      </c>
      <c r="E132" s="442">
        <f t="shared" si="174"/>
        <v>0</v>
      </c>
      <c r="F132" s="442">
        <f t="shared" si="174"/>
        <v>0</v>
      </c>
      <c r="G132" s="442">
        <f t="shared" si="174"/>
        <v>0</v>
      </c>
      <c r="H132" s="442">
        <f t="shared" si="174"/>
        <v>0</v>
      </c>
      <c r="I132" s="442">
        <f t="shared" si="174"/>
        <v>0</v>
      </c>
      <c r="J132" s="442">
        <f t="shared" si="174"/>
        <v>0</v>
      </c>
      <c r="K132" s="442">
        <f t="shared" si="174"/>
        <v>0</v>
      </c>
      <c r="L132" s="442">
        <f t="shared" si="174"/>
        <v>0</v>
      </c>
      <c r="M132" s="442">
        <f t="shared" si="174"/>
        <v>0</v>
      </c>
      <c r="N132" s="442">
        <f t="shared" si="174"/>
        <v>0</v>
      </c>
      <c r="O132" s="443">
        <f t="shared" si="174"/>
        <v>0</v>
      </c>
      <c r="P132" s="1248">
        <f>SUM(D132:O132)</f>
        <v>0</v>
      </c>
      <c r="Q132" s="1245" t="str">
        <f t="shared" si="142"/>
        <v>-</v>
      </c>
      <c r="R132" s="353">
        <f>+P132-Mersin!P132-Ankara!P132-Antalya!P132-Konya!P132-Trakya!P132-Kayseri!P132-Diyarbakır!P132-Erzurum!P132-Marmara2!P132-Marmara1!P132-Ege!P132-Malatya!P132-Karadeniz!P132-Şanlıurfa!P132</f>
        <v>0</v>
      </c>
      <c r="S132" s="376" t="e">
        <f t="shared" si="148"/>
        <v>#DIV/0!</v>
      </c>
    </row>
    <row r="133" spans="1:19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  <c r="R133" s="353">
        <f>+P133-Mersin!P133-Ankara!P133-Antalya!P133-Konya!P133-Trakya!P133-Kayseri!P133-Diyarbakır!P133-Erzurum!P133-Marmara2!P133-Marmara1!P133-Ege!P133-Malatya!P133-Karadeniz!P133-Şanlıurfa!P133</f>
        <v>0</v>
      </c>
      <c r="S133" s="376"/>
    </row>
    <row r="134" spans="1:19" ht="22.5" customHeight="1" thickBot="1">
      <c r="A134" s="362" t="s">
        <v>86</v>
      </c>
      <c r="B134" s="363">
        <f t="shared" ref="B134:C134" si="175">+B88-B111</f>
        <v>0</v>
      </c>
      <c r="C134" s="364">
        <f t="shared" si="175"/>
        <v>0</v>
      </c>
      <c r="D134" s="365">
        <f t="shared" ref="D134:O134" si="176">+D88-D111</f>
        <v>0</v>
      </c>
      <c r="E134" s="366">
        <f t="shared" si="176"/>
        <v>0</v>
      </c>
      <c r="F134" s="366">
        <f t="shared" si="176"/>
        <v>0</v>
      </c>
      <c r="G134" s="366">
        <f t="shared" si="176"/>
        <v>0</v>
      </c>
      <c r="H134" s="366">
        <f t="shared" si="176"/>
        <v>0</v>
      </c>
      <c r="I134" s="366">
        <f t="shared" si="176"/>
        <v>0</v>
      </c>
      <c r="J134" s="366">
        <f t="shared" si="176"/>
        <v>0</v>
      </c>
      <c r="K134" s="366">
        <f t="shared" si="176"/>
        <v>0</v>
      </c>
      <c r="L134" s="366">
        <f t="shared" si="176"/>
        <v>0</v>
      </c>
      <c r="M134" s="366">
        <f t="shared" si="176"/>
        <v>0</v>
      </c>
      <c r="N134" s="366">
        <f t="shared" si="176"/>
        <v>0</v>
      </c>
      <c r="O134" s="448">
        <f t="shared" si="176"/>
        <v>0</v>
      </c>
      <c r="P134" s="363">
        <f>SUM(D134:O134)</f>
        <v>0</v>
      </c>
      <c r="Q134" s="367" t="str">
        <f>IF(P134=0,"-",P134/C134-1)</f>
        <v>-</v>
      </c>
      <c r="R134" s="353">
        <f>+P134-Mersin!P134-Ankara!P134-Antalya!P134-Konya!P134-Trakya!P134-Kayseri!P134-Diyarbakır!P134-Erzurum!P134-Marmara2!P134-Marmara1!P134-Ege!P134-Malatya!P134-Karadeniz!P134-Şanlıurfa!P134</f>
        <v>0</v>
      </c>
      <c r="S134" s="376"/>
    </row>
    <row r="135" spans="1:19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  <c r="R135" s="353">
        <f>+P135-Mersin!P135-Ankara!P135-Antalya!P135-Konya!P135-Trakya!P135-Kayseri!P135-Diyarbakır!P135-Erzurum!P135-Marmara2!P135-Marmara1!P135-Ege!P135-Malatya!P135-Karadeniz!P135-Şanlıurfa!P135</f>
        <v>0</v>
      </c>
      <c r="S135" s="376"/>
    </row>
    <row r="136" spans="1:19" s="454" customFormat="1" ht="23.25" customHeight="1" thickBot="1">
      <c r="A136" s="362" t="s">
        <v>36</v>
      </c>
      <c r="B136" s="363">
        <f t="shared" ref="B136:C136" si="177">+B117+B127+B130+B134</f>
        <v>0</v>
      </c>
      <c r="C136" s="364">
        <f t="shared" si="177"/>
        <v>0</v>
      </c>
      <c r="D136" s="365">
        <f t="shared" ref="D136:P136" si="178">+D117+D127+D130+D134</f>
        <v>0</v>
      </c>
      <c r="E136" s="366">
        <f t="shared" si="178"/>
        <v>0</v>
      </c>
      <c r="F136" s="366">
        <f t="shared" si="178"/>
        <v>0</v>
      </c>
      <c r="G136" s="366">
        <f t="shared" si="178"/>
        <v>0</v>
      </c>
      <c r="H136" s="366">
        <f t="shared" si="178"/>
        <v>0</v>
      </c>
      <c r="I136" s="366">
        <f t="shared" si="178"/>
        <v>0</v>
      </c>
      <c r="J136" s="366">
        <f t="shared" si="178"/>
        <v>0</v>
      </c>
      <c r="K136" s="366">
        <f t="shared" si="178"/>
        <v>0</v>
      </c>
      <c r="L136" s="366">
        <f t="shared" si="178"/>
        <v>0</v>
      </c>
      <c r="M136" s="366">
        <f t="shared" si="178"/>
        <v>0</v>
      </c>
      <c r="N136" s="366">
        <f t="shared" si="178"/>
        <v>0</v>
      </c>
      <c r="O136" s="364">
        <f t="shared" si="178"/>
        <v>0</v>
      </c>
      <c r="P136" s="363">
        <f t="shared" si="178"/>
        <v>0</v>
      </c>
      <c r="Q136" s="367" t="str">
        <f>IF(P136=0,"-",P136/C136-1)</f>
        <v>-</v>
      </c>
      <c r="R136" s="353">
        <f>+P136-Mersin!P136-Ankara!P136-Antalya!P136-Konya!P136-Trakya!P136-Kayseri!P136-Diyarbakır!P136-Erzurum!P136-Marmara2!P136-Marmara1!P136-Ege!P136-Malatya!P136-Karadeniz!P136-Şanlıurfa!P136</f>
        <v>0</v>
      </c>
      <c r="S136" s="376" t="e">
        <f t="shared" si="148"/>
        <v>#DIV/0!</v>
      </c>
    </row>
    <row r="137" spans="1:19" ht="15" thickBot="1">
      <c r="R137" s="353">
        <f>+P137-Mersin!P137-Ankara!P137-Antalya!P137-Konya!P137-Trakya!P137-Kayseri!P137-Diyarbakır!P137-Erzurum!P137-Marmara2!P137-Marmara1!P137-Ege!P137-Malatya!P137-Karadeniz!P137-Şanlıurfa!P137</f>
        <v>0</v>
      </c>
    </row>
    <row r="138" spans="1:19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  <c r="R138" s="353">
        <f>+P138-Mersin!P138-Ankara!P138-Antalya!P138-Konya!P138-Trakya!P138-Kayseri!P138-Diyarbakır!P138-Erzurum!P138-Marmara2!P138-Marmara1!P138-Ege!P138-Malatya!P138-Karadeniz!P138-Şanlıurfa!P138</f>
        <v>0</v>
      </c>
    </row>
    <row r="139" spans="1:19" ht="30.75" customHeight="1" thickBot="1">
      <c r="A139" s="356"/>
      <c r="B139" s="357" t="s">
        <v>704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  <c r="R139" s="353" t="e">
        <f>+P139-Mersin!P139-Ankara!P139-Antalya!P139-Konya!P139-Trakya!P139-Kayseri!P139-Diyarbakır!P139-Erzurum!P139-Marmara2!P139-Marmara1!P139-Ege!P139-Malatya!P139-Karadeniz!P139-Şanlıurfa!P139</f>
        <v>#VALUE!</v>
      </c>
    </row>
    <row r="140" spans="1:19" ht="22.5" customHeight="1" thickBot="1">
      <c r="A140" s="362" t="s">
        <v>37</v>
      </c>
      <c r="B140" s="363">
        <f>SUM(B141:B173)</f>
        <v>0</v>
      </c>
      <c r="C140" s="364">
        <f t="shared" ref="C140" si="179">SUM(C141:C173)</f>
        <v>0</v>
      </c>
      <c r="D140" s="417">
        <f>SUM(D141:D173)</f>
        <v>0</v>
      </c>
      <c r="E140" s="418">
        <f t="shared" ref="E140:N140" si="180">SUM(E141:E173)</f>
        <v>0</v>
      </c>
      <c r="F140" s="418">
        <f t="shared" si="180"/>
        <v>0</v>
      </c>
      <c r="G140" s="418">
        <f t="shared" si="180"/>
        <v>0</v>
      </c>
      <c r="H140" s="418">
        <f t="shared" si="180"/>
        <v>0</v>
      </c>
      <c r="I140" s="418">
        <f t="shared" si="180"/>
        <v>0</v>
      </c>
      <c r="J140" s="418">
        <f t="shared" si="180"/>
        <v>0</v>
      </c>
      <c r="K140" s="418">
        <f t="shared" si="180"/>
        <v>0</v>
      </c>
      <c r="L140" s="418">
        <f t="shared" si="180"/>
        <v>0</v>
      </c>
      <c r="M140" s="418">
        <f t="shared" si="180"/>
        <v>0</v>
      </c>
      <c r="N140" s="418">
        <f t="shared" si="180"/>
        <v>0</v>
      </c>
      <c r="O140" s="416">
        <f>SUM(O141:O173)</f>
        <v>0</v>
      </c>
      <c r="P140" s="1232">
        <f>SUM(P141:P173)</f>
        <v>0</v>
      </c>
      <c r="Q140" s="1242"/>
      <c r="R140" s="353">
        <f>+P140-Mersin!P140-Ankara!P140-Antalya!P140-Konya!P140-Trakya!P140-Kayseri!P140-Diyarbakır!P140-Erzurum!P140-Marmara2!P140-Marmara1!P140-Ege!P140-Malatya!P140-Karadeniz!P140-Şanlıurfa!P140</f>
        <v>0</v>
      </c>
    </row>
    <row r="141" spans="1:19">
      <c r="A141" s="1233" t="s">
        <v>38</v>
      </c>
      <c r="B141" s="471">
        <f>Kayseri!B141+Karadeniz!B141+Malatya!B141+Şanlıurfa!B141+Ege!B141+Marmara1!B141+Marmara2!B141+Erzurum!B141+Konya!B141+Diyarbakır!B141+Trakya!B141+Antalya!B141+Ankara!B141+Mersin!B141</f>
        <v>0</v>
      </c>
      <c r="C141" s="471">
        <f>Kayseri!C141+Karadeniz!C141+Malatya!C141+Şanlıurfa!C141+Ege!C141+Marmara1!C141+Marmara2!C141+Erzurum!C141+Konya!C141+Diyarbakır!C141+Trakya!C141+Antalya!C141+Ankara!C141+Mersin!C141</f>
        <v>0</v>
      </c>
      <c r="D141" s="471">
        <f>Kayseri!D141+Karadeniz!D141+Malatya!D141+Şanlıurfa!D141+Ege!D141+Marmara1!D141+Marmara2!D141+Erzurum!D141+Konya!D141+Diyarbakır!D141+Trakya!D141+Antalya!D141+Ankara!D141+Mersin!D141</f>
        <v>0</v>
      </c>
      <c r="E141" s="472">
        <f>Kayseri!E141+Karadeniz!E141+Malatya!E141+Şanlıurfa!E141+Ege!E141+Marmara1!E141+Marmara2!E141+Erzurum!E141+Konya!E141+Diyarbakır!E141+Trakya!E141+Antalya!E141+Ankara!E141+Mersin!E141</f>
        <v>0</v>
      </c>
      <c r="F141" s="472">
        <f>Kayseri!F141+Karadeniz!F141+Malatya!F141+Şanlıurfa!F141+Ege!F141+Marmara1!F141+Marmara2!F141+Erzurum!F141+Konya!F141+Diyarbakır!F141+Trakya!F141+Antalya!F141+Ankara!F141+Mersin!F141</f>
        <v>0</v>
      </c>
      <c r="G141" s="472">
        <f>Kayseri!G141+Karadeniz!G141+Malatya!G141+Şanlıurfa!G141+Ege!G141+Marmara1!G141+Marmara2!G141+Erzurum!G141+Konya!G141+Diyarbakır!G141+Trakya!G141+Antalya!G141+Ankara!G141+Mersin!G141</f>
        <v>0</v>
      </c>
      <c r="H141" s="472">
        <f>Kayseri!H141+Karadeniz!H141+Malatya!H141+Şanlıurfa!H141+Ege!H141+Marmara1!H141+Marmara2!H141+Erzurum!H141+Konya!H141+Diyarbakır!H141+Trakya!H141+Antalya!H141+Ankara!H141+Mersin!H141</f>
        <v>0</v>
      </c>
      <c r="I141" s="472">
        <f>Kayseri!I141+Karadeniz!I141+Malatya!I141+Şanlıurfa!I141+Ege!I141+Marmara1!I141+Marmara2!I141+Erzurum!I141+Konya!I141+Diyarbakır!I141+Trakya!I141+Antalya!I141+Ankara!I141+Mersin!I141</f>
        <v>0</v>
      </c>
      <c r="J141" s="472">
        <f>Kayseri!J141+Karadeniz!J141+Malatya!J141+Şanlıurfa!J141+Ege!J141+Marmara1!J141+Marmara2!J141+Erzurum!J141+Konya!J141+Diyarbakır!J141+Trakya!J141+Antalya!J141+Ankara!J141+Mersin!J141</f>
        <v>0</v>
      </c>
      <c r="K141" s="472">
        <f>Kayseri!K141+Karadeniz!K141+Malatya!K141+Şanlıurfa!K141+Ege!K141+Marmara1!K141+Marmara2!K141+Erzurum!K141+Konya!K141+Diyarbakır!K141+Trakya!K141+Antalya!K141+Ankara!K141+Mersin!K141</f>
        <v>0</v>
      </c>
      <c r="L141" s="472">
        <f>Kayseri!L141+Karadeniz!L141+Malatya!L141+Şanlıurfa!L141+Ege!L141+Marmara1!L141+Marmara2!L141+Erzurum!L141+Konya!L141+Diyarbakır!L141+Trakya!L141+Antalya!L141+Ankara!L141+Mersin!L141</f>
        <v>0</v>
      </c>
      <c r="M141" s="472">
        <f>Kayseri!M141+Karadeniz!M141+Malatya!M141+Şanlıurfa!M141+Ege!M141+Marmara1!M141+Marmara2!M141+Erzurum!M141+Konya!M141+Diyarbakır!M141+Trakya!M141+Antalya!M141+Ankara!M141+Mersin!M141</f>
        <v>0</v>
      </c>
      <c r="N141" s="472">
        <f>Kayseri!N141+Karadeniz!N141+Malatya!N141+Şanlıurfa!N141+Ege!N141+Marmara1!N141+Marmara2!N141+Erzurum!N141+Konya!N141+Diyarbakır!N141+Trakya!N141+Antalya!N141+Ankara!N141+Mersin!N141</f>
        <v>0</v>
      </c>
      <c r="O141" s="473">
        <f>Kayseri!O141+Karadeniz!O141+Malatya!O141+Şanlıurfa!O141+Ege!O141+Marmara1!O141+Marmara2!O141+Erzurum!O141+Konya!O141+Diyarbakır!O141+Trakya!O141+Antalya!O141+Ankara!O141+Mersin!O141</f>
        <v>0</v>
      </c>
      <c r="P141" s="1156">
        <f>SUM(D141:O141)</f>
        <v>0</v>
      </c>
      <c r="Q141" s="1252" t="str">
        <f>IF(P141=0,"-",P141/C141-1)</f>
        <v>-</v>
      </c>
      <c r="R141" s="353">
        <f>+P141-Mersin!P141-Ankara!P141-Antalya!P141-Konya!P141-Trakya!P141-Kayseri!P141-Diyarbakır!P141-Erzurum!P141-Marmara2!P141-Marmara1!P141-Ege!P141-Malatya!P141-Karadeniz!P141-Şanlıurfa!P141</f>
        <v>0</v>
      </c>
    </row>
    <row r="142" spans="1:19">
      <c r="A142" s="476" t="s">
        <v>39</v>
      </c>
      <c r="B142" s="479">
        <f>Kayseri!B142+Karadeniz!B142+Malatya!B142+Şanlıurfa!B142+Ege!B142+Marmara1!B142+Marmara2!B142+Erzurum!B142+Konya!B142+Diyarbakır!B142+Trakya!B142+Antalya!B142+Ankara!B142+Mersin!B142</f>
        <v>0</v>
      </c>
      <c r="C142" s="479">
        <f>Kayseri!C142+Karadeniz!C142+Malatya!C142+Şanlıurfa!C142+Ege!C142+Marmara1!C142+Marmara2!C142+Erzurum!C142+Konya!C142+Diyarbakır!C142+Trakya!C142+Antalya!C142+Ankara!C142+Mersin!C142</f>
        <v>0</v>
      </c>
      <c r="D142" s="479">
        <f>Kayseri!D142+Karadeniz!D142+Malatya!D142+Şanlıurfa!D142+Ege!D142+Marmara1!D142+Marmara2!D142+Erzurum!D142+Konya!D142+Diyarbakır!D142+Trakya!D142+Antalya!D142+Ankara!D142+Mersin!D142</f>
        <v>0</v>
      </c>
      <c r="E142" s="480">
        <f>Kayseri!E142+Karadeniz!E142+Malatya!E142+Şanlıurfa!E142+Ege!E142+Marmara1!E142+Marmara2!E142+Erzurum!E142+Konya!E142+Diyarbakır!E142+Trakya!E142+Antalya!E142+Ankara!E142+Mersin!E142</f>
        <v>0</v>
      </c>
      <c r="F142" s="480">
        <f>Kayseri!F142+Karadeniz!F142+Malatya!F142+Şanlıurfa!F142+Ege!F142+Marmara1!F142+Marmara2!F142+Erzurum!F142+Konya!F142+Diyarbakır!F142+Trakya!F142+Antalya!F142+Ankara!F142+Mersin!F142</f>
        <v>0</v>
      </c>
      <c r="G142" s="480">
        <f>Kayseri!G142+Karadeniz!G142+Malatya!G142+Şanlıurfa!G142+Ege!G142+Marmara1!G142+Marmara2!G142+Erzurum!G142+Konya!G142+Diyarbakır!G142+Trakya!G142+Antalya!G142+Ankara!G142+Mersin!G142</f>
        <v>0</v>
      </c>
      <c r="H142" s="480">
        <f>Kayseri!H142+Karadeniz!H142+Malatya!H142+Şanlıurfa!H142+Ege!H142+Marmara1!H142+Marmara2!H142+Erzurum!H142+Konya!H142+Diyarbakır!H142+Trakya!H142+Antalya!H142+Ankara!H142+Mersin!H142</f>
        <v>0</v>
      </c>
      <c r="I142" s="480">
        <f>Kayseri!I142+Karadeniz!I142+Malatya!I142+Şanlıurfa!I142+Ege!I142+Marmara1!I142+Marmara2!I142+Erzurum!I142+Konya!I142+Diyarbakır!I142+Trakya!I142+Antalya!I142+Ankara!I142+Mersin!I142</f>
        <v>0</v>
      </c>
      <c r="J142" s="480">
        <f>Kayseri!J142+Karadeniz!J142+Malatya!J142+Şanlıurfa!J142+Ege!J142+Marmara1!J142+Marmara2!J142+Erzurum!J142+Konya!J142+Diyarbakır!J142+Trakya!J142+Antalya!J142+Ankara!J142+Mersin!J142</f>
        <v>0</v>
      </c>
      <c r="K142" s="480">
        <f>Kayseri!K142+Karadeniz!K142+Malatya!K142+Şanlıurfa!K142+Ege!K142+Marmara1!K142+Marmara2!K142+Erzurum!K142+Konya!K142+Diyarbakır!K142+Trakya!K142+Antalya!K142+Ankara!K142+Mersin!K142</f>
        <v>0</v>
      </c>
      <c r="L142" s="480">
        <f>Kayseri!L142+Karadeniz!L142+Malatya!L142+Şanlıurfa!L142+Ege!L142+Marmara1!L142+Marmara2!L142+Erzurum!L142+Konya!L142+Diyarbakır!L142+Trakya!L142+Antalya!L142+Ankara!L142+Mersin!L142</f>
        <v>0</v>
      </c>
      <c r="M142" s="480">
        <f>Kayseri!M142+Karadeniz!M142+Malatya!M142+Şanlıurfa!M142+Ege!M142+Marmara1!M142+Marmara2!M142+Erzurum!M142+Konya!M142+Diyarbakır!M142+Trakya!M142+Antalya!M142+Ankara!M142+Mersin!M142</f>
        <v>0</v>
      </c>
      <c r="N142" s="480">
        <f>Kayseri!N142+Karadeniz!N142+Malatya!N142+Şanlıurfa!N142+Ege!N142+Marmara1!N142+Marmara2!N142+Erzurum!N142+Konya!N142+Diyarbakır!N142+Trakya!N142+Antalya!N142+Ankara!N142+Mersin!N142</f>
        <v>0</v>
      </c>
      <c r="O142" s="481">
        <f>Kayseri!O142+Karadeniz!O142+Malatya!O142+Şanlıurfa!O142+Ege!O142+Marmara1!O142+Marmara2!O142+Erzurum!O142+Konya!O142+Diyarbakır!O142+Trakya!O142+Antalya!O142+Ankara!O142+Mersin!O142</f>
        <v>0</v>
      </c>
      <c r="P142" s="1157">
        <f>SUM(D142:O142)</f>
        <v>0</v>
      </c>
      <c r="Q142" s="1253" t="str">
        <f t="shared" ref="Q142:Q173" si="181">IF(P142=0,"-",P142/C142-1)</f>
        <v>-</v>
      </c>
      <c r="R142" s="353">
        <f>+P142-Mersin!P142-Ankara!P142-Antalya!P142-Konya!P142-Trakya!P142-Kayseri!P142-Diyarbakır!P142-Erzurum!P142-Marmara2!P142-Marmara1!P142-Ege!P142-Malatya!P142-Karadeniz!P142-Şanlıurfa!P142</f>
        <v>0</v>
      </c>
    </row>
    <row r="143" spans="1:19">
      <c r="A143" s="1234" t="s">
        <v>67</v>
      </c>
      <c r="B143" s="486">
        <f>Kayseri!B143+Karadeniz!B143+Malatya!B143+Şanlıurfa!B143+Ege!B143+Marmara1!B143+Marmara2!B143+Erzurum!B143+Konya!B143+Diyarbakır!B143+Trakya!B143+Antalya!B143+Ankara!B143+Mersin!B143</f>
        <v>0</v>
      </c>
      <c r="C143" s="486">
        <f>Kayseri!C143+Karadeniz!C143+Malatya!C143+Şanlıurfa!C143+Ege!C143+Marmara1!C143+Marmara2!C143+Erzurum!C143+Konya!C143+Diyarbakır!C143+Trakya!C143+Antalya!C143+Ankara!C143+Mersin!C143</f>
        <v>0</v>
      </c>
      <c r="D143" s="486">
        <f>Kayseri!D143+Karadeniz!D143+Malatya!D143+Şanlıurfa!D143+Ege!D143+Marmara1!D143+Marmara2!D143+Erzurum!D143+Konya!D143+Diyarbakır!D143+Trakya!D143+Antalya!D143+Ankara!D143+Mersin!D143</f>
        <v>0</v>
      </c>
      <c r="E143" s="487">
        <f>Kayseri!E143+Karadeniz!E143+Malatya!E143+Şanlıurfa!E143+Ege!E143+Marmara1!E143+Marmara2!E143+Erzurum!E143+Konya!E143+Diyarbakır!E143+Trakya!E143+Antalya!E143+Ankara!E143+Mersin!E143</f>
        <v>0</v>
      </c>
      <c r="F143" s="487">
        <f>Kayseri!F143+Karadeniz!F143+Malatya!F143+Şanlıurfa!F143+Ege!F143+Marmara1!F143+Marmara2!F143+Erzurum!F143+Konya!F143+Diyarbakır!F143+Trakya!F143+Antalya!F143+Ankara!F143+Mersin!F143</f>
        <v>0</v>
      </c>
      <c r="G143" s="487">
        <f>Kayseri!G143+Karadeniz!G143+Malatya!G143+Şanlıurfa!G143+Ege!G143+Marmara1!G143+Marmara2!G143+Erzurum!G143+Konya!G143+Diyarbakır!G143+Trakya!G143+Antalya!G143+Ankara!G143+Mersin!G143</f>
        <v>0</v>
      </c>
      <c r="H143" s="487">
        <f>Kayseri!H143+Karadeniz!H143+Malatya!H143+Şanlıurfa!H143+Ege!H143+Marmara1!H143+Marmara2!H143+Erzurum!H143+Konya!H143+Diyarbakır!H143+Trakya!H143+Antalya!H143+Ankara!H143+Mersin!H143</f>
        <v>0</v>
      </c>
      <c r="I143" s="487">
        <f>Kayseri!I143+Karadeniz!I143+Malatya!I143+Şanlıurfa!I143+Ege!I143+Marmara1!I143+Marmara2!I143+Erzurum!I143+Konya!I143+Diyarbakır!I143+Trakya!I143+Antalya!I143+Ankara!I143+Mersin!I143</f>
        <v>0</v>
      </c>
      <c r="J143" s="487">
        <f>Kayseri!J143+Karadeniz!J143+Malatya!J143+Şanlıurfa!J143+Ege!J143+Marmara1!J143+Marmara2!J143+Erzurum!J143+Konya!J143+Diyarbakır!J143+Trakya!J143+Antalya!J143+Ankara!J143+Mersin!J143</f>
        <v>0</v>
      </c>
      <c r="K143" s="487">
        <f>Kayseri!K143+Karadeniz!K143+Malatya!K143+Şanlıurfa!K143+Ege!K143+Marmara1!K143+Marmara2!K143+Erzurum!K143+Konya!K143+Diyarbakır!K143+Trakya!K143+Antalya!K143+Ankara!K143+Mersin!K143</f>
        <v>0</v>
      </c>
      <c r="L143" s="487">
        <f>Kayseri!L143+Karadeniz!L143+Malatya!L143+Şanlıurfa!L143+Ege!L143+Marmara1!L143+Marmara2!L143+Erzurum!L143+Konya!L143+Diyarbakır!L143+Trakya!L143+Antalya!L143+Ankara!L143+Mersin!L143</f>
        <v>0</v>
      </c>
      <c r="M143" s="487">
        <f>Kayseri!M143+Karadeniz!M143+Malatya!M143+Şanlıurfa!M143+Ege!M143+Marmara1!M143+Marmara2!M143+Erzurum!M143+Konya!M143+Diyarbakır!M143+Trakya!M143+Antalya!M143+Ankara!M143+Mersin!M143</f>
        <v>0</v>
      </c>
      <c r="N143" s="487">
        <f>Kayseri!N143+Karadeniz!N143+Malatya!N143+Şanlıurfa!N143+Ege!N143+Marmara1!N143+Marmara2!N143+Erzurum!N143+Konya!N143+Diyarbakır!N143+Trakya!N143+Antalya!N143+Ankara!N143+Mersin!N143</f>
        <v>0</v>
      </c>
      <c r="O143" s="488">
        <f>Kayseri!O143+Karadeniz!O143+Malatya!O143+Şanlıurfa!O143+Ege!O143+Marmara1!O143+Marmara2!O143+Erzurum!O143+Konya!O143+Diyarbakır!O143+Trakya!O143+Antalya!O143+Ankara!O143+Mersin!O143</f>
        <v>0</v>
      </c>
      <c r="P143" s="1158">
        <f>SUM(D143:O143)</f>
        <v>0</v>
      </c>
      <c r="Q143" s="1254" t="str">
        <f t="shared" si="181"/>
        <v>-</v>
      </c>
      <c r="R143" s="353">
        <f>+P143-Mersin!P143-Ankara!P143-Antalya!P143-Konya!P143-Trakya!P143-Kayseri!P143-Diyarbakır!P143-Erzurum!P143-Marmara2!P143-Marmara1!P143-Ege!P143-Malatya!P143-Karadeniz!P143-Şanlıurfa!P143</f>
        <v>0</v>
      </c>
    </row>
    <row r="144" spans="1:19">
      <c r="A144" s="476" t="s">
        <v>40</v>
      </c>
      <c r="B144" s="479">
        <f>Kayseri!B144+Karadeniz!B144+Malatya!B144+Şanlıurfa!B144+Ege!B144+Marmara1!B144+Marmara2!B144+Erzurum!B144+Konya!B144+Diyarbakır!B144+Trakya!B144+Antalya!B144+Ankara!B144+Mersin!B144</f>
        <v>0</v>
      </c>
      <c r="C144" s="479">
        <f>Kayseri!C144+Karadeniz!C144+Malatya!C144+Şanlıurfa!C144+Ege!C144+Marmara1!C144+Marmara2!C144+Erzurum!C144+Konya!C144+Diyarbakır!C144+Trakya!C144+Antalya!C144+Ankara!C144+Mersin!C144</f>
        <v>0</v>
      </c>
      <c r="D144" s="479">
        <f>Kayseri!D144+Karadeniz!D144+Malatya!D144+Şanlıurfa!D144+Ege!D144+Marmara1!D144+Marmara2!D144+Erzurum!D144+Konya!D144+Diyarbakır!D144+Trakya!D144+Antalya!D144+Ankara!D144+Mersin!D144</f>
        <v>0</v>
      </c>
      <c r="E144" s="480">
        <f>Kayseri!E144+Karadeniz!E144+Malatya!E144+Şanlıurfa!E144+Ege!E144+Marmara1!E144+Marmara2!E144+Erzurum!E144+Konya!E144+Diyarbakır!E144+Trakya!E144+Antalya!E144+Ankara!E144+Mersin!E144</f>
        <v>0</v>
      </c>
      <c r="F144" s="480">
        <f>Kayseri!F144+Karadeniz!F144+Malatya!F144+Şanlıurfa!F144+Ege!F144+Marmara1!F144+Marmara2!F144+Erzurum!F144+Konya!F144+Diyarbakır!F144+Trakya!F144+Antalya!F144+Ankara!F144+Mersin!F144</f>
        <v>0</v>
      </c>
      <c r="G144" s="480">
        <f>Kayseri!G144+Karadeniz!G144+Malatya!G144+Şanlıurfa!G144+Ege!G144+Marmara1!G144+Marmara2!G144+Erzurum!G144+Konya!G144+Diyarbakır!G144+Trakya!G144+Antalya!G144+Ankara!G144+Mersin!G144</f>
        <v>0</v>
      </c>
      <c r="H144" s="480">
        <f>Kayseri!H144+Karadeniz!H144+Malatya!H144+Şanlıurfa!H144+Ege!H144+Marmara1!H144+Marmara2!H144+Erzurum!H144+Konya!H144+Diyarbakır!H144+Trakya!H144+Antalya!H144+Ankara!H144+Mersin!H144</f>
        <v>0</v>
      </c>
      <c r="I144" s="480">
        <f>Kayseri!I144+Karadeniz!I144+Malatya!I144+Şanlıurfa!I144+Ege!I144+Marmara1!I144+Marmara2!I144+Erzurum!I144+Konya!I144+Diyarbakır!I144+Trakya!I144+Antalya!I144+Ankara!I144+Mersin!I144</f>
        <v>0</v>
      </c>
      <c r="J144" s="480">
        <f>Kayseri!J144+Karadeniz!J144+Malatya!J144+Şanlıurfa!J144+Ege!J144+Marmara1!J144+Marmara2!J144+Erzurum!J144+Konya!J144+Diyarbakır!J144+Trakya!J144+Antalya!J144+Ankara!J144+Mersin!J144</f>
        <v>0</v>
      </c>
      <c r="K144" s="480">
        <f>Kayseri!K144+Karadeniz!K144+Malatya!K144+Şanlıurfa!K144+Ege!K144+Marmara1!K144+Marmara2!K144+Erzurum!K144+Konya!K144+Diyarbakır!K144+Trakya!K144+Antalya!K144+Ankara!K144+Mersin!K144</f>
        <v>0</v>
      </c>
      <c r="L144" s="480">
        <f>Kayseri!L144+Karadeniz!L144+Malatya!L144+Şanlıurfa!L144+Ege!L144+Marmara1!L144+Marmara2!L144+Erzurum!L144+Konya!L144+Diyarbakır!L144+Trakya!L144+Antalya!L144+Ankara!L144+Mersin!L144</f>
        <v>0</v>
      </c>
      <c r="M144" s="480">
        <f>Kayseri!M144+Karadeniz!M144+Malatya!M144+Şanlıurfa!M144+Ege!M144+Marmara1!M144+Marmara2!M144+Erzurum!M144+Konya!M144+Diyarbakır!M144+Trakya!M144+Antalya!M144+Ankara!M144+Mersin!M144</f>
        <v>0</v>
      </c>
      <c r="N144" s="480">
        <f>Kayseri!N144+Karadeniz!N144+Malatya!N144+Şanlıurfa!N144+Ege!N144+Marmara1!N144+Marmara2!N144+Erzurum!N144+Konya!N144+Diyarbakır!N144+Trakya!N144+Antalya!N144+Ankara!N144+Mersin!N144</f>
        <v>0</v>
      </c>
      <c r="O144" s="481">
        <f>Kayseri!O144+Karadeniz!O144+Malatya!O144+Şanlıurfa!O144+Ege!O144+Marmara1!O144+Marmara2!O144+Erzurum!O144+Konya!O144+Diyarbakır!O144+Trakya!O144+Antalya!O144+Ankara!O144+Mersin!O144</f>
        <v>0</v>
      </c>
      <c r="P144" s="1157">
        <f t="shared" ref="P144:P173" si="182">SUM(D144:O144)</f>
        <v>0</v>
      </c>
      <c r="Q144" s="1253" t="str">
        <f t="shared" si="181"/>
        <v>-</v>
      </c>
      <c r="R144" s="353">
        <f>+P144-Mersin!P144-Ankara!P144-Antalya!P144-Konya!P144-Trakya!P144-Kayseri!P144-Diyarbakır!P144-Erzurum!P144-Marmara2!P144-Marmara1!P144-Ege!P144-Malatya!P144-Karadeniz!P144-Şanlıurfa!P144</f>
        <v>0</v>
      </c>
    </row>
    <row r="145" spans="1:18">
      <c r="A145" s="1234" t="s">
        <v>41</v>
      </c>
      <c r="B145" s="486">
        <f>Kayseri!B145+Karadeniz!B145+Malatya!B145+Şanlıurfa!B145+Ege!B145+Marmara1!B145+Marmara2!B145+Erzurum!B145+Konya!B145+Diyarbakır!B145+Trakya!B145+Antalya!B145+Ankara!B145+Mersin!B145</f>
        <v>0</v>
      </c>
      <c r="C145" s="486">
        <f>Kayseri!C145+Karadeniz!C145+Malatya!C145+Şanlıurfa!C145+Ege!C145+Marmara1!C145+Marmara2!C145+Erzurum!C145+Konya!C145+Diyarbakır!C145+Trakya!C145+Antalya!C145+Ankara!C145+Mersin!C145</f>
        <v>0</v>
      </c>
      <c r="D145" s="486">
        <f>Kayseri!D145+Karadeniz!D145+Malatya!D145+Şanlıurfa!D145+Ege!D145+Marmara1!D145+Marmara2!D145+Erzurum!D145+Konya!D145+Diyarbakır!D145+Trakya!D145+Antalya!D145+Ankara!D145+Mersin!D145</f>
        <v>0</v>
      </c>
      <c r="E145" s="487">
        <f>Kayseri!E145+Karadeniz!E145+Malatya!E145+Şanlıurfa!E145+Ege!E145+Marmara1!E145+Marmara2!E145+Erzurum!E145+Konya!E145+Diyarbakır!E145+Trakya!E145+Antalya!E145+Ankara!E145+Mersin!E145</f>
        <v>0</v>
      </c>
      <c r="F145" s="487">
        <f>Kayseri!F145+Karadeniz!F145+Malatya!F145+Şanlıurfa!F145+Ege!F145+Marmara1!F145+Marmara2!F145+Erzurum!F145+Konya!F145+Diyarbakır!F145+Trakya!F145+Antalya!F145+Ankara!F145+Mersin!F145</f>
        <v>0</v>
      </c>
      <c r="G145" s="487">
        <f>Kayseri!G145+Karadeniz!G145+Malatya!G145+Şanlıurfa!G145+Ege!G145+Marmara1!G145+Marmara2!G145+Erzurum!G145+Konya!G145+Diyarbakır!G145+Trakya!G145+Antalya!G145+Ankara!G145+Mersin!G145</f>
        <v>0</v>
      </c>
      <c r="H145" s="487">
        <f>Kayseri!H145+Karadeniz!H145+Malatya!H145+Şanlıurfa!H145+Ege!H145+Marmara1!H145+Marmara2!H145+Erzurum!H145+Konya!H145+Diyarbakır!H145+Trakya!H145+Antalya!H145+Ankara!H145+Mersin!H145</f>
        <v>0</v>
      </c>
      <c r="I145" s="487">
        <f>Kayseri!I145+Karadeniz!I145+Malatya!I145+Şanlıurfa!I145+Ege!I145+Marmara1!I145+Marmara2!I145+Erzurum!I145+Konya!I145+Diyarbakır!I145+Trakya!I145+Antalya!I145+Ankara!I145+Mersin!I145</f>
        <v>0</v>
      </c>
      <c r="J145" s="487">
        <f>Kayseri!J145+Karadeniz!J145+Malatya!J145+Şanlıurfa!J145+Ege!J145+Marmara1!J145+Marmara2!J145+Erzurum!J145+Konya!J145+Diyarbakır!J145+Trakya!J145+Antalya!J145+Ankara!J145+Mersin!J145</f>
        <v>0</v>
      </c>
      <c r="K145" s="487">
        <f>Kayseri!K145+Karadeniz!K145+Malatya!K145+Şanlıurfa!K145+Ege!K145+Marmara1!K145+Marmara2!K145+Erzurum!K145+Konya!K145+Diyarbakır!K145+Trakya!K145+Antalya!K145+Ankara!K145+Mersin!K145</f>
        <v>0</v>
      </c>
      <c r="L145" s="487">
        <f>Kayseri!L145+Karadeniz!L145+Malatya!L145+Şanlıurfa!L145+Ege!L145+Marmara1!L145+Marmara2!L145+Erzurum!L145+Konya!L145+Diyarbakır!L145+Trakya!L145+Antalya!L145+Ankara!L145+Mersin!L145</f>
        <v>0</v>
      </c>
      <c r="M145" s="487">
        <f>Kayseri!M145+Karadeniz!M145+Malatya!M145+Şanlıurfa!M145+Ege!M145+Marmara1!M145+Marmara2!M145+Erzurum!M145+Konya!M145+Diyarbakır!M145+Trakya!M145+Antalya!M145+Ankara!M145+Mersin!M145</f>
        <v>0</v>
      </c>
      <c r="N145" s="487">
        <f>Kayseri!N145+Karadeniz!N145+Malatya!N145+Şanlıurfa!N145+Ege!N145+Marmara1!N145+Marmara2!N145+Erzurum!N145+Konya!N145+Diyarbakır!N145+Trakya!N145+Antalya!N145+Ankara!N145+Mersin!N145</f>
        <v>0</v>
      </c>
      <c r="O145" s="488">
        <f>Kayseri!O145+Karadeniz!O145+Malatya!O145+Şanlıurfa!O145+Ege!O145+Marmara1!O145+Marmara2!O145+Erzurum!O145+Konya!O145+Diyarbakır!O145+Trakya!O145+Antalya!O145+Ankara!O145+Mersin!O145</f>
        <v>0</v>
      </c>
      <c r="P145" s="1158">
        <f t="shared" si="182"/>
        <v>0</v>
      </c>
      <c r="Q145" s="1254" t="str">
        <f t="shared" si="181"/>
        <v>-</v>
      </c>
      <c r="R145" s="353">
        <f>+P145-Mersin!P145-Ankara!P145-Antalya!P145-Konya!P145-Trakya!P145-Kayseri!P145-Diyarbakır!P145-Erzurum!P145-Marmara2!P145-Marmara1!P145-Ege!P145-Malatya!P145-Karadeniz!P145-Şanlıurfa!P145</f>
        <v>0</v>
      </c>
    </row>
    <row r="146" spans="1:18">
      <c r="A146" s="476" t="s">
        <v>42</v>
      </c>
      <c r="B146" s="479">
        <f>Kayseri!B146+Karadeniz!B146+Malatya!B146+Şanlıurfa!B146+Ege!B146+Marmara1!B146+Marmara2!B146+Erzurum!B146+Konya!B146+Diyarbakır!B146+Trakya!B146+Antalya!B146+Ankara!B146+Mersin!B146</f>
        <v>0</v>
      </c>
      <c r="C146" s="479">
        <f>Kayseri!C146+Karadeniz!C146+Malatya!C146+Şanlıurfa!C146+Ege!C146+Marmara1!C146+Marmara2!C146+Erzurum!C146+Konya!C146+Diyarbakır!C146+Trakya!C146+Antalya!C146+Ankara!C146+Mersin!C146</f>
        <v>0</v>
      </c>
      <c r="D146" s="479">
        <f>Kayseri!D146+Karadeniz!D146+Malatya!D146+Şanlıurfa!D146+Ege!D146+Marmara1!D146+Marmara2!D146+Erzurum!D146+Konya!D146+Diyarbakır!D146+Trakya!D146+Antalya!D146+Ankara!D146+Mersin!D146</f>
        <v>0</v>
      </c>
      <c r="E146" s="480">
        <f>Kayseri!E146+Karadeniz!E146+Malatya!E146+Şanlıurfa!E146+Ege!E146+Marmara1!E146+Marmara2!E146+Erzurum!E146+Konya!E146+Diyarbakır!E146+Trakya!E146+Antalya!E146+Ankara!E146+Mersin!E146</f>
        <v>0</v>
      </c>
      <c r="F146" s="480">
        <f>Kayseri!F146+Karadeniz!F146+Malatya!F146+Şanlıurfa!F146+Ege!F146+Marmara1!F146+Marmara2!F146+Erzurum!F146+Konya!F146+Diyarbakır!F146+Trakya!F146+Antalya!F146+Ankara!F146+Mersin!F146</f>
        <v>0</v>
      </c>
      <c r="G146" s="480">
        <f>Kayseri!G146+Karadeniz!G146+Malatya!G146+Şanlıurfa!G146+Ege!G146+Marmara1!G146+Marmara2!G146+Erzurum!G146+Konya!G146+Diyarbakır!G146+Trakya!G146+Antalya!G146+Ankara!G146+Mersin!G146</f>
        <v>0</v>
      </c>
      <c r="H146" s="480">
        <f>Kayseri!H146+Karadeniz!H146+Malatya!H146+Şanlıurfa!H146+Ege!H146+Marmara1!H146+Marmara2!H146+Erzurum!H146+Konya!H146+Diyarbakır!H146+Trakya!H146+Antalya!H146+Ankara!H146+Mersin!H146</f>
        <v>0</v>
      </c>
      <c r="I146" s="480">
        <f>Kayseri!I146+Karadeniz!I146+Malatya!I146+Şanlıurfa!I146+Ege!I146+Marmara1!I146+Marmara2!I146+Erzurum!I146+Konya!I146+Diyarbakır!I146+Trakya!I146+Antalya!I146+Ankara!I146+Mersin!I146</f>
        <v>0</v>
      </c>
      <c r="J146" s="480">
        <f>Kayseri!J146+Karadeniz!J146+Malatya!J146+Şanlıurfa!J146+Ege!J146+Marmara1!J146+Marmara2!J146+Erzurum!J146+Konya!J146+Diyarbakır!J146+Trakya!J146+Antalya!J146+Ankara!J146+Mersin!J146</f>
        <v>0</v>
      </c>
      <c r="K146" s="480">
        <f>Kayseri!K146+Karadeniz!K146+Malatya!K146+Şanlıurfa!K146+Ege!K146+Marmara1!K146+Marmara2!K146+Erzurum!K146+Konya!K146+Diyarbakır!K146+Trakya!K146+Antalya!K146+Ankara!K146+Mersin!K146</f>
        <v>0</v>
      </c>
      <c r="L146" s="480">
        <f>Kayseri!L146+Karadeniz!L146+Malatya!L146+Şanlıurfa!L146+Ege!L146+Marmara1!L146+Marmara2!L146+Erzurum!L146+Konya!L146+Diyarbakır!L146+Trakya!L146+Antalya!L146+Ankara!L146+Mersin!L146</f>
        <v>0</v>
      </c>
      <c r="M146" s="480">
        <f>Kayseri!M146+Karadeniz!M146+Malatya!M146+Şanlıurfa!M146+Ege!M146+Marmara1!M146+Marmara2!M146+Erzurum!M146+Konya!M146+Diyarbakır!M146+Trakya!M146+Antalya!M146+Ankara!M146+Mersin!M146</f>
        <v>0</v>
      </c>
      <c r="N146" s="480">
        <f>Kayseri!N146+Karadeniz!N146+Malatya!N146+Şanlıurfa!N146+Ege!N146+Marmara1!N146+Marmara2!N146+Erzurum!N146+Konya!N146+Diyarbakır!N146+Trakya!N146+Antalya!N146+Ankara!N146+Mersin!N146</f>
        <v>0</v>
      </c>
      <c r="O146" s="481">
        <f>Kayseri!O146+Karadeniz!O146+Malatya!O146+Şanlıurfa!O146+Ege!O146+Marmara1!O146+Marmara2!O146+Erzurum!O146+Konya!O146+Diyarbakır!O146+Trakya!O146+Antalya!O146+Ankara!O146+Mersin!O146</f>
        <v>0</v>
      </c>
      <c r="P146" s="1157">
        <f t="shared" si="182"/>
        <v>0</v>
      </c>
      <c r="Q146" s="1253" t="str">
        <f t="shared" si="181"/>
        <v>-</v>
      </c>
      <c r="R146" s="353">
        <f>+P146-Mersin!P146-Ankara!P146-Antalya!P146-Konya!P146-Trakya!P146-Kayseri!P146-Diyarbakır!P146-Erzurum!P146-Marmara2!P146-Marmara1!P146-Ege!P146-Malatya!P146-Karadeniz!P146-Şanlıurfa!P146</f>
        <v>0</v>
      </c>
    </row>
    <row r="147" spans="1:18">
      <c r="A147" s="1234" t="s">
        <v>43</v>
      </c>
      <c r="B147" s="486">
        <f>Kayseri!B147+Karadeniz!B147+Malatya!B147+Şanlıurfa!B147+Ege!B147+Marmara1!B147+Marmara2!B147+Erzurum!B147+Konya!B147+Diyarbakır!B147+Trakya!B147+Antalya!B147+Ankara!B147+Mersin!B147</f>
        <v>0</v>
      </c>
      <c r="C147" s="486">
        <f>Kayseri!C147+Karadeniz!C147+Malatya!C147+Şanlıurfa!C147+Ege!C147+Marmara1!C147+Marmara2!C147+Erzurum!C147+Konya!C147+Diyarbakır!C147+Trakya!C147+Antalya!C147+Ankara!C147+Mersin!C147</f>
        <v>0</v>
      </c>
      <c r="D147" s="486">
        <f>Kayseri!D147+Karadeniz!D147+Malatya!D147+Şanlıurfa!D147+Ege!D147+Marmara1!D147+Marmara2!D147+Erzurum!D147+Konya!D147+Diyarbakır!D147+Trakya!D147+Antalya!D147+Ankara!D147+Mersin!D147</f>
        <v>0</v>
      </c>
      <c r="E147" s="487">
        <f>Kayseri!E147+Karadeniz!E147+Malatya!E147+Şanlıurfa!E147+Ege!E147+Marmara1!E147+Marmara2!E147+Erzurum!E147+Konya!E147+Diyarbakır!E147+Trakya!E147+Antalya!E147+Ankara!E147+Mersin!E147</f>
        <v>0</v>
      </c>
      <c r="F147" s="487">
        <f>Kayseri!F147+Karadeniz!F147+Malatya!F147+Şanlıurfa!F147+Ege!F147+Marmara1!F147+Marmara2!F147+Erzurum!F147+Konya!F147+Diyarbakır!F147+Trakya!F147+Antalya!F147+Ankara!F147+Mersin!F147</f>
        <v>0</v>
      </c>
      <c r="G147" s="487">
        <f>Kayseri!G147+Karadeniz!G147+Malatya!G147+Şanlıurfa!G147+Ege!G147+Marmara1!G147+Marmara2!G147+Erzurum!G147+Konya!G147+Diyarbakır!G147+Trakya!G147+Antalya!G147+Ankara!G147+Mersin!G147</f>
        <v>0</v>
      </c>
      <c r="H147" s="487">
        <f>Kayseri!H147+Karadeniz!H147+Malatya!H147+Şanlıurfa!H147+Ege!H147+Marmara1!H147+Marmara2!H147+Erzurum!H147+Konya!H147+Diyarbakır!H147+Trakya!H147+Antalya!H147+Ankara!H147+Mersin!H147</f>
        <v>0</v>
      </c>
      <c r="I147" s="487">
        <f>Kayseri!I147+Karadeniz!I147+Malatya!I147+Şanlıurfa!I147+Ege!I147+Marmara1!I147+Marmara2!I147+Erzurum!I147+Konya!I147+Diyarbakır!I147+Trakya!I147+Antalya!I147+Ankara!I147+Mersin!I147</f>
        <v>0</v>
      </c>
      <c r="J147" s="487">
        <f>Kayseri!J147+Karadeniz!J147+Malatya!J147+Şanlıurfa!J147+Ege!J147+Marmara1!J147+Marmara2!J147+Erzurum!J147+Konya!J147+Diyarbakır!J147+Trakya!J147+Antalya!J147+Ankara!J147+Mersin!J147</f>
        <v>0</v>
      </c>
      <c r="K147" s="487">
        <f>Kayseri!K147+Karadeniz!K147+Malatya!K147+Şanlıurfa!K147+Ege!K147+Marmara1!K147+Marmara2!K147+Erzurum!K147+Konya!K147+Diyarbakır!K147+Trakya!K147+Antalya!K147+Ankara!K147+Mersin!K147</f>
        <v>0</v>
      </c>
      <c r="L147" s="487">
        <f>Kayseri!L147+Karadeniz!L147+Malatya!L147+Şanlıurfa!L147+Ege!L147+Marmara1!L147+Marmara2!L147+Erzurum!L147+Konya!L147+Diyarbakır!L147+Trakya!L147+Antalya!L147+Ankara!L147+Mersin!L147</f>
        <v>0</v>
      </c>
      <c r="M147" s="487">
        <f>Kayseri!M147+Karadeniz!M147+Malatya!M147+Şanlıurfa!M147+Ege!M147+Marmara1!M147+Marmara2!M147+Erzurum!M147+Konya!M147+Diyarbakır!M147+Trakya!M147+Antalya!M147+Ankara!M147+Mersin!M147</f>
        <v>0</v>
      </c>
      <c r="N147" s="487">
        <f>Kayseri!N147+Karadeniz!N147+Malatya!N147+Şanlıurfa!N147+Ege!N147+Marmara1!N147+Marmara2!N147+Erzurum!N147+Konya!N147+Diyarbakır!N147+Trakya!N147+Antalya!N147+Ankara!N147+Mersin!N147</f>
        <v>0</v>
      </c>
      <c r="O147" s="488">
        <f>Kayseri!O147+Karadeniz!O147+Malatya!O147+Şanlıurfa!O147+Ege!O147+Marmara1!O147+Marmara2!O147+Erzurum!O147+Konya!O147+Diyarbakır!O147+Trakya!O147+Antalya!O147+Ankara!O147+Mersin!O147</f>
        <v>0</v>
      </c>
      <c r="P147" s="1158">
        <f t="shared" si="182"/>
        <v>0</v>
      </c>
      <c r="Q147" s="1254" t="str">
        <f t="shared" si="181"/>
        <v>-</v>
      </c>
      <c r="R147" s="353">
        <f>+P147-Mersin!P147-Ankara!P147-Antalya!P147-Konya!P147-Trakya!P147-Kayseri!P147-Diyarbakır!P147-Erzurum!P147-Marmara2!P147-Marmara1!P147-Ege!P147-Malatya!P147-Karadeniz!P147-Şanlıurfa!P147</f>
        <v>0</v>
      </c>
    </row>
    <row r="148" spans="1:18">
      <c r="A148" s="476" t="s">
        <v>44</v>
      </c>
      <c r="B148" s="479">
        <f>Kayseri!B148+Karadeniz!B148+Malatya!B148+Şanlıurfa!B148+Ege!B148+Marmara1!B148+Marmara2!B148+Erzurum!B148+Konya!B148+Diyarbakır!B148+Trakya!B148+Antalya!B148+Ankara!B148+Mersin!B148</f>
        <v>0</v>
      </c>
      <c r="C148" s="479">
        <f>Kayseri!C148+Karadeniz!C148+Malatya!C148+Şanlıurfa!C148+Ege!C148+Marmara1!C148+Marmara2!C148+Erzurum!C148+Konya!C148+Diyarbakır!C148+Trakya!C148+Antalya!C148+Ankara!C148+Mersin!C148</f>
        <v>0</v>
      </c>
      <c r="D148" s="479">
        <f>Kayseri!D148+Karadeniz!D148+Malatya!D148+Şanlıurfa!D148+Ege!D148+Marmara1!D148+Marmara2!D148+Erzurum!D148+Konya!D148+Diyarbakır!D148+Trakya!D148+Antalya!D148+Ankara!D148+Mersin!D148</f>
        <v>0</v>
      </c>
      <c r="E148" s="480">
        <f>Kayseri!E148+Karadeniz!E148+Malatya!E148+Şanlıurfa!E148+Ege!E148+Marmara1!E148+Marmara2!E148+Erzurum!E148+Konya!E148+Diyarbakır!E148+Trakya!E148+Antalya!E148+Ankara!E148+Mersin!E148</f>
        <v>0</v>
      </c>
      <c r="F148" s="480">
        <f>Kayseri!F148+Karadeniz!F148+Malatya!F148+Şanlıurfa!F148+Ege!F148+Marmara1!F148+Marmara2!F148+Erzurum!F148+Konya!F148+Diyarbakır!F148+Trakya!F148+Antalya!F148+Ankara!F148+Mersin!F148</f>
        <v>0</v>
      </c>
      <c r="G148" s="480">
        <f>Kayseri!G148+Karadeniz!G148+Malatya!G148+Şanlıurfa!G148+Ege!G148+Marmara1!G148+Marmara2!G148+Erzurum!G148+Konya!G148+Diyarbakır!G148+Trakya!G148+Antalya!G148+Ankara!G148+Mersin!G148</f>
        <v>0</v>
      </c>
      <c r="H148" s="480">
        <f>Kayseri!H148+Karadeniz!H148+Malatya!H148+Şanlıurfa!H148+Ege!H148+Marmara1!H148+Marmara2!H148+Erzurum!H148+Konya!H148+Diyarbakır!H148+Trakya!H148+Antalya!H148+Ankara!H148+Mersin!H148</f>
        <v>0</v>
      </c>
      <c r="I148" s="480">
        <f>Kayseri!I148+Karadeniz!I148+Malatya!I148+Şanlıurfa!I148+Ege!I148+Marmara1!I148+Marmara2!I148+Erzurum!I148+Konya!I148+Diyarbakır!I148+Trakya!I148+Antalya!I148+Ankara!I148+Mersin!I148</f>
        <v>0</v>
      </c>
      <c r="J148" s="480">
        <f>Kayseri!J148+Karadeniz!J148+Malatya!J148+Şanlıurfa!J148+Ege!J148+Marmara1!J148+Marmara2!J148+Erzurum!J148+Konya!J148+Diyarbakır!J148+Trakya!J148+Antalya!J148+Ankara!J148+Mersin!J148</f>
        <v>0</v>
      </c>
      <c r="K148" s="480">
        <f>Kayseri!K148+Karadeniz!K148+Malatya!K148+Şanlıurfa!K148+Ege!K148+Marmara1!K148+Marmara2!K148+Erzurum!K148+Konya!K148+Diyarbakır!K148+Trakya!K148+Antalya!K148+Ankara!K148+Mersin!K148</f>
        <v>0</v>
      </c>
      <c r="L148" s="480">
        <f>Kayseri!L148+Karadeniz!L148+Malatya!L148+Şanlıurfa!L148+Ege!L148+Marmara1!L148+Marmara2!L148+Erzurum!L148+Konya!L148+Diyarbakır!L148+Trakya!L148+Antalya!L148+Ankara!L148+Mersin!L148</f>
        <v>0</v>
      </c>
      <c r="M148" s="480">
        <f>Kayseri!M148+Karadeniz!M148+Malatya!M148+Şanlıurfa!M148+Ege!M148+Marmara1!M148+Marmara2!M148+Erzurum!M148+Konya!M148+Diyarbakır!M148+Trakya!M148+Antalya!M148+Ankara!M148+Mersin!M148</f>
        <v>0</v>
      </c>
      <c r="N148" s="480">
        <f>Kayseri!N148+Karadeniz!N148+Malatya!N148+Şanlıurfa!N148+Ege!N148+Marmara1!N148+Marmara2!N148+Erzurum!N148+Konya!N148+Diyarbakır!N148+Trakya!N148+Antalya!N148+Ankara!N148+Mersin!N148</f>
        <v>0</v>
      </c>
      <c r="O148" s="481">
        <f>Kayseri!O148+Karadeniz!O148+Malatya!O148+Şanlıurfa!O148+Ege!O148+Marmara1!O148+Marmara2!O148+Erzurum!O148+Konya!O148+Diyarbakır!O148+Trakya!O148+Antalya!O148+Ankara!O148+Mersin!O148</f>
        <v>0</v>
      </c>
      <c r="P148" s="1157">
        <f t="shared" si="182"/>
        <v>0</v>
      </c>
      <c r="Q148" s="1253" t="str">
        <f t="shared" si="181"/>
        <v>-</v>
      </c>
      <c r="R148" s="353">
        <f>+P148-Mersin!P148-Ankara!P148-Antalya!P148-Konya!P148-Trakya!P148-Kayseri!P148-Diyarbakır!P148-Erzurum!P148-Marmara2!P148-Marmara1!P148-Ege!P148-Malatya!P148-Karadeniz!P148-Şanlıurfa!P148</f>
        <v>0</v>
      </c>
    </row>
    <row r="149" spans="1:18">
      <c r="A149" s="1234" t="s">
        <v>45</v>
      </c>
      <c r="B149" s="486">
        <f>Kayseri!B149+Karadeniz!B149+Malatya!B149+Şanlıurfa!B149+Ege!B149+Marmara1!B149+Marmara2!B149+Erzurum!B149+Konya!B149+Diyarbakır!B149+Trakya!B149+Antalya!B149+Ankara!B149+Mersin!B149</f>
        <v>0</v>
      </c>
      <c r="C149" s="486">
        <f>Kayseri!C149+Karadeniz!C149+Malatya!C149+Şanlıurfa!C149+Ege!C149+Marmara1!C149+Marmara2!C149+Erzurum!C149+Konya!C149+Diyarbakır!C149+Trakya!C149+Antalya!C149+Ankara!C149+Mersin!C149</f>
        <v>0</v>
      </c>
      <c r="D149" s="486">
        <f>Kayseri!D149+Karadeniz!D149+Malatya!D149+Şanlıurfa!D149+Ege!D149+Marmara1!D149+Marmara2!D149+Erzurum!D149+Konya!D149+Diyarbakır!D149+Trakya!D149+Antalya!D149+Ankara!D149+Mersin!D149</f>
        <v>0</v>
      </c>
      <c r="E149" s="487">
        <f>Kayseri!E149+Karadeniz!E149+Malatya!E149+Şanlıurfa!E149+Ege!E149+Marmara1!E149+Marmara2!E149+Erzurum!E149+Konya!E149+Diyarbakır!E149+Trakya!E149+Antalya!E149+Ankara!E149+Mersin!E149</f>
        <v>0</v>
      </c>
      <c r="F149" s="487">
        <f>Kayseri!F149+Karadeniz!F149+Malatya!F149+Şanlıurfa!F149+Ege!F149+Marmara1!F149+Marmara2!F149+Erzurum!F149+Konya!F149+Diyarbakır!F149+Trakya!F149+Antalya!F149+Ankara!F149+Mersin!F149</f>
        <v>0</v>
      </c>
      <c r="G149" s="487">
        <f>Kayseri!G149+Karadeniz!G149+Malatya!G149+Şanlıurfa!G149+Ege!G149+Marmara1!G149+Marmara2!G149+Erzurum!G149+Konya!G149+Diyarbakır!G149+Trakya!G149+Antalya!G149+Ankara!G149+Mersin!G149</f>
        <v>0</v>
      </c>
      <c r="H149" s="487">
        <f>Kayseri!H149+Karadeniz!H149+Malatya!H149+Şanlıurfa!H149+Ege!H149+Marmara1!H149+Marmara2!H149+Erzurum!H149+Konya!H149+Diyarbakır!H149+Trakya!H149+Antalya!H149+Ankara!H149+Mersin!H149</f>
        <v>0</v>
      </c>
      <c r="I149" s="487">
        <f>Kayseri!I149+Karadeniz!I149+Malatya!I149+Şanlıurfa!I149+Ege!I149+Marmara1!I149+Marmara2!I149+Erzurum!I149+Konya!I149+Diyarbakır!I149+Trakya!I149+Antalya!I149+Ankara!I149+Mersin!I149</f>
        <v>0</v>
      </c>
      <c r="J149" s="487">
        <f>Kayseri!J149+Karadeniz!J149+Malatya!J149+Şanlıurfa!J149+Ege!J149+Marmara1!J149+Marmara2!J149+Erzurum!J149+Konya!J149+Diyarbakır!J149+Trakya!J149+Antalya!J149+Ankara!J149+Mersin!J149</f>
        <v>0</v>
      </c>
      <c r="K149" s="487">
        <f>Kayseri!K149+Karadeniz!K149+Malatya!K149+Şanlıurfa!K149+Ege!K149+Marmara1!K149+Marmara2!K149+Erzurum!K149+Konya!K149+Diyarbakır!K149+Trakya!K149+Antalya!K149+Ankara!K149+Mersin!K149</f>
        <v>0</v>
      </c>
      <c r="L149" s="487">
        <f>Kayseri!L149+Karadeniz!L149+Malatya!L149+Şanlıurfa!L149+Ege!L149+Marmara1!L149+Marmara2!L149+Erzurum!L149+Konya!L149+Diyarbakır!L149+Trakya!L149+Antalya!L149+Ankara!L149+Mersin!L149</f>
        <v>0</v>
      </c>
      <c r="M149" s="487">
        <f>Kayseri!M149+Karadeniz!M149+Malatya!M149+Şanlıurfa!M149+Ege!M149+Marmara1!M149+Marmara2!M149+Erzurum!M149+Konya!M149+Diyarbakır!M149+Trakya!M149+Antalya!M149+Ankara!M149+Mersin!M149</f>
        <v>0</v>
      </c>
      <c r="N149" s="487">
        <f>Kayseri!N149+Karadeniz!N149+Malatya!N149+Şanlıurfa!N149+Ege!N149+Marmara1!N149+Marmara2!N149+Erzurum!N149+Konya!N149+Diyarbakır!N149+Trakya!N149+Antalya!N149+Ankara!N149+Mersin!N149</f>
        <v>0</v>
      </c>
      <c r="O149" s="488">
        <f>Kayseri!O149+Karadeniz!O149+Malatya!O149+Şanlıurfa!O149+Ege!O149+Marmara1!O149+Marmara2!O149+Erzurum!O149+Konya!O149+Diyarbakır!O149+Trakya!O149+Antalya!O149+Ankara!O149+Mersin!O149</f>
        <v>0</v>
      </c>
      <c r="P149" s="1158">
        <f t="shared" si="182"/>
        <v>0</v>
      </c>
      <c r="Q149" s="1254" t="str">
        <f t="shared" si="181"/>
        <v>-</v>
      </c>
      <c r="R149" s="353">
        <f>+P149-Mersin!P149-Ankara!P149-Antalya!P149-Konya!P149-Trakya!P149-Kayseri!P149-Diyarbakır!P149-Erzurum!P149-Marmara2!P149-Marmara1!P149-Ege!P149-Malatya!P149-Karadeniz!P149-Şanlıurfa!P149</f>
        <v>0</v>
      </c>
    </row>
    <row r="150" spans="1:18">
      <c r="A150" s="476" t="s">
        <v>46</v>
      </c>
      <c r="B150" s="479">
        <f>Kayseri!B150+Karadeniz!B150+Malatya!B150+Şanlıurfa!B150+Ege!B150+Marmara1!B150+Marmara2!B150+Erzurum!B150+Konya!B150+Diyarbakır!B150+Trakya!B150+Antalya!B150+Ankara!B150+Mersin!B150</f>
        <v>0</v>
      </c>
      <c r="C150" s="479">
        <f>Kayseri!C150+Karadeniz!C150+Malatya!C150+Şanlıurfa!C150+Ege!C150+Marmara1!C150+Marmara2!C150+Erzurum!C150+Konya!C150+Diyarbakır!C150+Trakya!C150+Antalya!C150+Ankara!C150+Mersin!C150</f>
        <v>0</v>
      </c>
      <c r="D150" s="479">
        <f>Kayseri!D150+Karadeniz!D150+Malatya!D150+Şanlıurfa!D150+Ege!D150+Marmara1!D150+Marmara2!D150+Erzurum!D150+Konya!D150+Diyarbakır!D150+Trakya!D150+Antalya!D150+Ankara!D150+Mersin!D150</f>
        <v>0</v>
      </c>
      <c r="E150" s="480">
        <f>Kayseri!E150+Karadeniz!E150+Malatya!E150+Şanlıurfa!E150+Ege!E150+Marmara1!E150+Marmara2!E150+Erzurum!E150+Konya!E150+Diyarbakır!E150+Trakya!E150+Antalya!E150+Ankara!E150+Mersin!E150</f>
        <v>0</v>
      </c>
      <c r="F150" s="480">
        <f>Kayseri!F150+Karadeniz!F150+Malatya!F150+Şanlıurfa!F150+Ege!F150+Marmara1!F150+Marmara2!F150+Erzurum!F150+Konya!F150+Diyarbakır!F150+Trakya!F150+Antalya!F150+Ankara!F150+Mersin!F150</f>
        <v>0</v>
      </c>
      <c r="G150" s="480">
        <f>Kayseri!G150+Karadeniz!G150+Malatya!G150+Şanlıurfa!G150+Ege!G150+Marmara1!G150+Marmara2!G150+Erzurum!G150+Konya!G150+Diyarbakır!G150+Trakya!G150+Antalya!G150+Ankara!G150+Mersin!G150</f>
        <v>0</v>
      </c>
      <c r="H150" s="480">
        <f>Kayseri!H150+Karadeniz!H150+Malatya!H150+Şanlıurfa!H150+Ege!H150+Marmara1!H150+Marmara2!H150+Erzurum!H150+Konya!H150+Diyarbakır!H150+Trakya!H150+Antalya!H150+Ankara!H150+Mersin!H150</f>
        <v>0</v>
      </c>
      <c r="I150" s="480">
        <f>Kayseri!I150+Karadeniz!I150+Malatya!I150+Şanlıurfa!I150+Ege!I150+Marmara1!I150+Marmara2!I150+Erzurum!I150+Konya!I150+Diyarbakır!I150+Trakya!I150+Antalya!I150+Ankara!I150+Mersin!I150</f>
        <v>0</v>
      </c>
      <c r="J150" s="480">
        <f>Kayseri!J150+Karadeniz!J150+Malatya!J150+Şanlıurfa!J150+Ege!J150+Marmara1!J150+Marmara2!J150+Erzurum!J150+Konya!J150+Diyarbakır!J150+Trakya!J150+Antalya!J150+Ankara!J150+Mersin!J150</f>
        <v>0</v>
      </c>
      <c r="K150" s="480">
        <f>Kayseri!K150+Karadeniz!K150+Malatya!K150+Şanlıurfa!K150+Ege!K150+Marmara1!K150+Marmara2!K150+Erzurum!K150+Konya!K150+Diyarbakır!K150+Trakya!K150+Antalya!K150+Ankara!K150+Mersin!K150</f>
        <v>0</v>
      </c>
      <c r="L150" s="480">
        <f>Kayseri!L150+Karadeniz!L150+Malatya!L150+Şanlıurfa!L150+Ege!L150+Marmara1!L150+Marmara2!L150+Erzurum!L150+Konya!L150+Diyarbakır!L150+Trakya!L150+Antalya!L150+Ankara!L150+Mersin!L150</f>
        <v>0</v>
      </c>
      <c r="M150" s="480">
        <f>Kayseri!M150+Karadeniz!M150+Malatya!M150+Şanlıurfa!M150+Ege!M150+Marmara1!M150+Marmara2!M150+Erzurum!M150+Konya!M150+Diyarbakır!M150+Trakya!M150+Antalya!M150+Ankara!M150+Mersin!M150</f>
        <v>0</v>
      </c>
      <c r="N150" s="480">
        <f>Kayseri!N150+Karadeniz!N150+Malatya!N150+Şanlıurfa!N150+Ege!N150+Marmara1!N150+Marmara2!N150+Erzurum!N150+Konya!N150+Diyarbakır!N150+Trakya!N150+Antalya!N150+Ankara!N150+Mersin!N150</f>
        <v>0</v>
      </c>
      <c r="O150" s="481">
        <f>Kayseri!O150+Karadeniz!O150+Malatya!O150+Şanlıurfa!O150+Ege!O150+Marmara1!O150+Marmara2!O150+Erzurum!O150+Konya!O150+Diyarbakır!O150+Trakya!O150+Antalya!O150+Ankara!O150+Mersin!O150</f>
        <v>0</v>
      </c>
      <c r="P150" s="1157">
        <f t="shared" si="182"/>
        <v>0</v>
      </c>
      <c r="Q150" s="1253" t="str">
        <f t="shared" si="181"/>
        <v>-</v>
      </c>
      <c r="R150" s="353">
        <f>+P150-Mersin!P150-Ankara!P150-Antalya!P150-Konya!P150-Trakya!P150-Kayseri!P150-Diyarbakır!P150-Erzurum!P150-Marmara2!P150-Marmara1!P150-Ege!P150-Malatya!P150-Karadeniz!P150-Şanlıurfa!P150</f>
        <v>0</v>
      </c>
    </row>
    <row r="151" spans="1:18" ht="14.25" customHeight="1">
      <c r="A151" s="1234" t="s">
        <v>65</v>
      </c>
      <c r="B151" s="486">
        <f>Kayseri!B151+Karadeniz!B151+Malatya!B151+Şanlıurfa!B151+Ege!B151+Marmara1!B151+Marmara2!B151+Erzurum!B151+Konya!B151+Diyarbakır!B151+Trakya!B151+Antalya!B151+Ankara!B151+Mersin!B151</f>
        <v>0</v>
      </c>
      <c r="C151" s="486">
        <f>Kayseri!C151+Karadeniz!C151+Malatya!C151+Şanlıurfa!C151+Ege!C151+Marmara1!C151+Marmara2!C151+Erzurum!C151+Konya!C151+Diyarbakır!C151+Trakya!C151+Antalya!C151+Ankara!C151+Mersin!C151</f>
        <v>0</v>
      </c>
      <c r="D151" s="486">
        <f>Kayseri!D151+Karadeniz!D151+Malatya!D151+Şanlıurfa!D151+Ege!D151+Marmara1!D151+Marmara2!D151+Erzurum!D151+Konya!D151+Diyarbakır!D151+Trakya!D151+Antalya!D151+Ankara!D151+Mersin!D151</f>
        <v>0</v>
      </c>
      <c r="E151" s="487">
        <f>Kayseri!E151+Karadeniz!E151+Malatya!E151+Şanlıurfa!E151+Ege!E151+Marmara1!E151+Marmara2!E151+Erzurum!E151+Konya!E151+Diyarbakır!E151+Trakya!E151+Antalya!E151+Ankara!E151+Mersin!E151</f>
        <v>0</v>
      </c>
      <c r="F151" s="487">
        <f>Kayseri!F151+Karadeniz!F151+Malatya!F151+Şanlıurfa!F151+Ege!F151+Marmara1!F151+Marmara2!F151+Erzurum!F151+Konya!F151+Diyarbakır!F151+Trakya!F151+Antalya!F151+Ankara!F151+Mersin!F151</f>
        <v>0</v>
      </c>
      <c r="G151" s="487">
        <f>Kayseri!G151+Karadeniz!G151+Malatya!G151+Şanlıurfa!G151+Ege!G151+Marmara1!G151+Marmara2!G151+Erzurum!G151+Konya!G151+Diyarbakır!G151+Trakya!G151+Antalya!G151+Ankara!G151+Mersin!G151</f>
        <v>0</v>
      </c>
      <c r="H151" s="487">
        <f>Kayseri!H151+Karadeniz!H151+Malatya!H151+Şanlıurfa!H151+Ege!H151+Marmara1!H151+Marmara2!H151+Erzurum!H151+Konya!H151+Diyarbakır!H151+Trakya!H151+Antalya!H151+Ankara!H151+Mersin!H151</f>
        <v>0</v>
      </c>
      <c r="I151" s="487">
        <f>Kayseri!I151+Karadeniz!I151+Malatya!I151+Şanlıurfa!I151+Ege!I151+Marmara1!I151+Marmara2!I151+Erzurum!I151+Konya!I151+Diyarbakır!I151+Trakya!I151+Antalya!I151+Ankara!I151+Mersin!I151</f>
        <v>0</v>
      </c>
      <c r="J151" s="487">
        <f>Kayseri!J151+Karadeniz!J151+Malatya!J151+Şanlıurfa!J151+Ege!J151+Marmara1!J151+Marmara2!J151+Erzurum!J151+Konya!J151+Diyarbakır!J151+Trakya!J151+Antalya!J151+Ankara!J151+Mersin!J151</f>
        <v>0</v>
      </c>
      <c r="K151" s="487">
        <f>Kayseri!K151+Karadeniz!K151+Malatya!K151+Şanlıurfa!K151+Ege!K151+Marmara1!K151+Marmara2!K151+Erzurum!K151+Konya!K151+Diyarbakır!K151+Trakya!K151+Antalya!K151+Ankara!K151+Mersin!K151</f>
        <v>0</v>
      </c>
      <c r="L151" s="487">
        <f>Kayseri!L151+Karadeniz!L151+Malatya!L151+Şanlıurfa!L151+Ege!L151+Marmara1!L151+Marmara2!L151+Erzurum!L151+Konya!L151+Diyarbakır!L151+Trakya!L151+Antalya!L151+Ankara!L151+Mersin!L151</f>
        <v>0</v>
      </c>
      <c r="M151" s="487">
        <f>Kayseri!M151+Karadeniz!M151+Malatya!M151+Şanlıurfa!M151+Ege!M151+Marmara1!M151+Marmara2!M151+Erzurum!M151+Konya!M151+Diyarbakır!M151+Trakya!M151+Antalya!M151+Ankara!M151+Mersin!M151</f>
        <v>0</v>
      </c>
      <c r="N151" s="487">
        <f>Kayseri!N151+Karadeniz!N151+Malatya!N151+Şanlıurfa!N151+Ege!N151+Marmara1!N151+Marmara2!N151+Erzurum!N151+Konya!N151+Diyarbakır!N151+Trakya!N151+Antalya!N151+Ankara!N151+Mersin!N151</f>
        <v>0</v>
      </c>
      <c r="O151" s="488">
        <f>Kayseri!O151+Karadeniz!O151+Malatya!O151+Şanlıurfa!O151+Ege!O151+Marmara1!O151+Marmara2!O151+Erzurum!O151+Konya!O151+Diyarbakır!O151+Trakya!O151+Antalya!O151+Ankara!O151+Mersin!O151</f>
        <v>0</v>
      </c>
      <c r="P151" s="1158">
        <f t="shared" si="182"/>
        <v>0</v>
      </c>
      <c r="Q151" s="1254" t="str">
        <f t="shared" si="181"/>
        <v>-</v>
      </c>
      <c r="R151" s="353">
        <f>+P151-Mersin!P151-Ankara!P151-Antalya!P151-Konya!P151-Trakya!P151-Kayseri!P151-Diyarbakır!P151-Erzurum!P151-Marmara2!P151-Marmara1!P151-Ege!P151-Malatya!P151-Karadeniz!P151-Şanlıurfa!P151</f>
        <v>0</v>
      </c>
    </row>
    <row r="152" spans="1:18">
      <c r="A152" s="476" t="s">
        <v>78</v>
      </c>
      <c r="B152" s="479">
        <f>Kayseri!B152+Karadeniz!B152+Malatya!B152+Şanlıurfa!B152+Ege!B152+Marmara1!B152+Marmara2!B152+Erzurum!B152+Konya!B152+Diyarbakır!B152+Trakya!B152+Antalya!B152+Ankara!B152+Mersin!B152</f>
        <v>0</v>
      </c>
      <c r="C152" s="479">
        <f>Kayseri!C152+Karadeniz!C152+Malatya!C152+Şanlıurfa!C152+Ege!C152+Marmara1!C152+Marmara2!C152+Erzurum!C152+Konya!C152+Diyarbakır!C152+Trakya!C152+Antalya!C152+Ankara!C152+Mersin!C152</f>
        <v>0</v>
      </c>
      <c r="D152" s="479">
        <f>Kayseri!D152+Karadeniz!D152+Malatya!D152+Şanlıurfa!D152+Ege!D152+Marmara1!D152+Marmara2!D152+Erzurum!D152+Konya!D152+Diyarbakır!D152+Trakya!D152+Antalya!D152+Ankara!D152+Mersin!D152</f>
        <v>0</v>
      </c>
      <c r="E152" s="480">
        <f>Kayseri!E152+Karadeniz!E152+Malatya!E152+Şanlıurfa!E152+Ege!E152+Marmara1!E152+Marmara2!E152+Erzurum!E152+Konya!E152+Diyarbakır!E152+Trakya!E152+Antalya!E152+Ankara!E152+Mersin!E152</f>
        <v>0</v>
      </c>
      <c r="F152" s="480">
        <f>Kayseri!F152+Karadeniz!F152+Malatya!F152+Şanlıurfa!F152+Ege!F152+Marmara1!F152+Marmara2!F152+Erzurum!F152+Konya!F152+Diyarbakır!F152+Trakya!F152+Antalya!F152+Ankara!F152+Mersin!F152</f>
        <v>0</v>
      </c>
      <c r="G152" s="480">
        <f>Kayseri!G152+Karadeniz!G152+Malatya!G152+Şanlıurfa!G152+Ege!G152+Marmara1!G152+Marmara2!G152+Erzurum!G152+Konya!G152+Diyarbakır!G152+Trakya!G152+Antalya!G152+Ankara!G152+Mersin!G152</f>
        <v>0</v>
      </c>
      <c r="H152" s="480">
        <f>Kayseri!H152+Karadeniz!H152+Malatya!H152+Şanlıurfa!H152+Ege!H152+Marmara1!H152+Marmara2!H152+Erzurum!H152+Konya!H152+Diyarbakır!H152+Trakya!H152+Antalya!H152+Ankara!H152+Mersin!H152</f>
        <v>0</v>
      </c>
      <c r="I152" s="480">
        <f>Kayseri!I152+Karadeniz!I152+Malatya!I152+Şanlıurfa!I152+Ege!I152+Marmara1!I152+Marmara2!I152+Erzurum!I152+Konya!I152+Diyarbakır!I152+Trakya!I152+Antalya!I152+Ankara!I152+Mersin!I152</f>
        <v>0</v>
      </c>
      <c r="J152" s="480">
        <f>Kayseri!J152+Karadeniz!J152+Malatya!J152+Şanlıurfa!J152+Ege!J152+Marmara1!J152+Marmara2!J152+Erzurum!J152+Konya!J152+Diyarbakır!J152+Trakya!J152+Antalya!J152+Ankara!J152+Mersin!J152</f>
        <v>0</v>
      </c>
      <c r="K152" s="480">
        <f>Kayseri!K152+Karadeniz!K152+Malatya!K152+Şanlıurfa!K152+Ege!K152+Marmara1!K152+Marmara2!K152+Erzurum!K152+Konya!K152+Diyarbakır!K152+Trakya!K152+Antalya!K152+Ankara!K152+Mersin!K152</f>
        <v>0</v>
      </c>
      <c r="L152" s="480">
        <f>Kayseri!L152+Karadeniz!L152+Malatya!L152+Şanlıurfa!L152+Ege!L152+Marmara1!L152+Marmara2!L152+Erzurum!L152+Konya!L152+Diyarbakır!L152+Trakya!L152+Antalya!L152+Ankara!L152+Mersin!L152</f>
        <v>0</v>
      </c>
      <c r="M152" s="480">
        <f>Kayseri!M152+Karadeniz!M152+Malatya!M152+Şanlıurfa!M152+Ege!M152+Marmara1!M152+Marmara2!M152+Erzurum!M152+Konya!M152+Diyarbakır!M152+Trakya!M152+Antalya!M152+Ankara!M152+Mersin!M152</f>
        <v>0</v>
      </c>
      <c r="N152" s="480">
        <f>Kayseri!N152+Karadeniz!N152+Malatya!N152+Şanlıurfa!N152+Ege!N152+Marmara1!N152+Marmara2!N152+Erzurum!N152+Konya!N152+Diyarbakır!N152+Trakya!N152+Antalya!N152+Ankara!N152+Mersin!N152</f>
        <v>0</v>
      </c>
      <c r="O152" s="481">
        <f>Kayseri!O152+Karadeniz!O152+Malatya!O152+Şanlıurfa!O152+Ege!O152+Marmara1!O152+Marmara2!O152+Erzurum!O152+Konya!O152+Diyarbakır!O152+Trakya!O152+Antalya!O152+Ankara!O152+Mersin!O152</f>
        <v>0</v>
      </c>
      <c r="P152" s="1157">
        <f t="shared" si="182"/>
        <v>0</v>
      </c>
      <c r="Q152" s="1253" t="str">
        <f t="shared" si="181"/>
        <v>-</v>
      </c>
      <c r="R152" s="353">
        <f>+P152-Mersin!P152-Ankara!P152-Antalya!P152-Konya!P152-Trakya!P152-Kayseri!P152-Diyarbakır!P152-Erzurum!P152-Marmara2!P152-Marmara1!P152-Ege!P152-Malatya!P152-Karadeniz!P152-Şanlıurfa!P152</f>
        <v>0</v>
      </c>
    </row>
    <row r="153" spans="1:18">
      <c r="A153" s="1234" t="s">
        <v>47</v>
      </c>
      <c r="B153" s="486">
        <f>Kayseri!B153+Karadeniz!B153+Malatya!B153+Şanlıurfa!B153+Ege!B153+Marmara1!B153+Marmara2!B153+Erzurum!B153+Konya!B153+Diyarbakır!B153+Trakya!B153+Antalya!B153+Ankara!B153+Mersin!B153</f>
        <v>0</v>
      </c>
      <c r="C153" s="486">
        <f>Kayseri!C153+Karadeniz!C153+Malatya!C153+Şanlıurfa!C153+Ege!C153+Marmara1!C153+Marmara2!C153+Erzurum!C153+Konya!C153+Diyarbakır!C153+Trakya!C153+Antalya!C153+Ankara!C153+Mersin!C153</f>
        <v>0</v>
      </c>
      <c r="D153" s="486">
        <f>Kayseri!D153+Karadeniz!D153+Malatya!D153+Şanlıurfa!D153+Ege!D153+Marmara1!D153+Marmara2!D153+Erzurum!D153+Konya!D153+Diyarbakır!D153+Trakya!D153+Antalya!D153+Ankara!D153+Mersin!D153</f>
        <v>0</v>
      </c>
      <c r="E153" s="487">
        <f>Kayseri!E153+Karadeniz!E153+Malatya!E153+Şanlıurfa!E153+Ege!E153+Marmara1!E153+Marmara2!E153+Erzurum!E153+Konya!E153+Diyarbakır!E153+Trakya!E153+Antalya!E153+Ankara!E153+Mersin!E153</f>
        <v>0</v>
      </c>
      <c r="F153" s="487">
        <f>Kayseri!F153+Karadeniz!F153+Malatya!F153+Şanlıurfa!F153+Ege!F153+Marmara1!F153+Marmara2!F153+Erzurum!F153+Konya!F153+Diyarbakır!F153+Trakya!F153+Antalya!F153+Ankara!F153+Mersin!F153</f>
        <v>0</v>
      </c>
      <c r="G153" s="487">
        <f>Kayseri!G153+Karadeniz!G153+Malatya!G153+Şanlıurfa!G153+Ege!G153+Marmara1!G153+Marmara2!G153+Erzurum!G153+Konya!G153+Diyarbakır!G153+Trakya!G153+Antalya!G153+Ankara!G153+Mersin!G153</f>
        <v>0</v>
      </c>
      <c r="H153" s="487">
        <f>Kayseri!H153+Karadeniz!H153+Malatya!H153+Şanlıurfa!H153+Ege!H153+Marmara1!H153+Marmara2!H153+Erzurum!H153+Konya!H153+Diyarbakır!H153+Trakya!H153+Antalya!H153+Ankara!H153+Mersin!H153</f>
        <v>0</v>
      </c>
      <c r="I153" s="487">
        <f>Kayseri!I153+Karadeniz!I153+Malatya!I153+Şanlıurfa!I153+Ege!I153+Marmara1!I153+Marmara2!I153+Erzurum!I153+Konya!I153+Diyarbakır!I153+Trakya!I153+Antalya!I153+Ankara!I153+Mersin!I153</f>
        <v>0</v>
      </c>
      <c r="J153" s="487">
        <f>Kayseri!J153+Karadeniz!J153+Malatya!J153+Şanlıurfa!J153+Ege!J153+Marmara1!J153+Marmara2!J153+Erzurum!J153+Konya!J153+Diyarbakır!J153+Trakya!J153+Antalya!J153+Ankara!J153+Mersin!J153</f>
        <v>0</v>
      </c>
      <c r="K153" s="487">
        <f>Kayseri!K153+Karadeniz!K153+Malatya!K153+Şanlıurfa!K153+Ege!K153+Marmara1!K153+Marmara2!K153+Erzurum!K153+Konya!K153+Diyarbakır!K153+Trakya!K153+Antalya!K153+Ankara!K153+Mersin!K153</f>
        <v>0</v>
      </c>
      <c r="L153" s="487">
        <f>Kayseri!L153+Karadeniz!L153+Malatya!L153+Şanlıurfa!L153+Ege!L153+Marmara1!L153+Marmara2!L153+Erzurum!L153+Konya!L153+Diyarbakır!L153+Trakya!L153+Antalya!L153+Ankara!L153+Mersin!L153</f>
        <v>0</v>
      </c>
      <c r="M153" s="487">
        <f>Kayseri!M153+Karadeniz!M153+Malatya!M153+Şanlıurfa!M153+Ege!M153+Marmara1!M153+Marmara2!M153+Erzurum!M153+Konya!M153+Diyarbakır!M153+Trakya!M153+Antalya!M153+Ankara!M153+Mersin!M153</f>
        <v>0</v>
      </c>
      <c r="N153" s="487">
        <f>Kayseri!N153+Karadeniz!N153+Malatya!N153+Şanlıurfa!N153+Ege!N153+Marmara1!N153+Marmara2!N153+Erzurum!N153+Konya!N153+Diyarbakır!N153+Trakya!N153+Antalya!N153+Ankara!N153+Mersin!N153</f>
        <v>0</v>
      </c>
      <c r="O153" s="488">
        <f>Kayseri!O153+Karadeniz!O153+Malatya!O153+Şanlıurfa!O153+Ege!O153+Marmara1!O153+Marmara2!O153+Erzurum!O153+Konya!O153+Diyarbakır!O153+Trakya!O153+Antalya!O153+Ankara!O153+Mersin!O153</f>
        <v>0</v>
      </c>
      <c r="P153" s="1158">
        <f t="shared" si="182"/>
        <v>0</v>
      </c>
      <c r="Q153" s="1254" t="str">
        <f t="shared" si="181"/>
        <v>-</v>
      </c>
      <c r="R153" s="353">
        <f>+P153-Mersin!P153-Ankara!P153-Antalya!P153-Konya!P153-Trakya!P153-Kayseri!P153-Diyarbakır!P153-Erzurum!P153-Marmara2!P153-Marmara1!P153-Ege!P153-Malatya!P153-Karadeniz!P153-Şanlıurfa!P153</f>
        <v>0</v>
      </c>
    </row>
    <row r="154" spans="1:18">
      <c r="A154" s="476" t="s">
        <v>48</v>
      </c>
      <c r="B154" s="479">
        <f>Kayseri!B154+Karadeniz!B154+Malatya!B154+Şanlıurfa!B154+Ege!B154+Marmara1!B154+Marmara2!B154+Erzurum!B154+Konya!B154+Diyarbakır!B154+Trakya!B154+Antalya!B154+Ankara!B154+Mersin!B154</f>
        <v>0</v>
      </c>
      <c r="C154" s="479">
        <f>Kayseri!C154+Karadeniz!C154+Malatya!C154+Şanlıurfa!C154+Ege!C154+Marmara1!C154+Marmara2!C154+Erzurum!C154+Konya!C154+Diyarbakır!C154+Trakya!C154+Antalya!C154+Ankara!C154+Mersin!C154</f>
        <v>0</v>
      </c>
      <c r="D154" s="479">
        <f>Kayseri!D154+Karadeniz!D154+Malatya!D154+Şanlıurfa!D154+Ege!D154+Marmara1!D154+Marmara2!D154+Erzurum!D154+Konya!D154+Diyarbakır!D154+Trakya!D154+Antalya!D154+Ankara!D154+Mersin!D154</f>
        <v>0</v>
      </c>
      <c r="E154" s="480">
        <f>Kayseri!E154+Karadeniz!E154+Malatya!E154+Şanlıurfa!E154+Ege!E154+Marmara1!E154+Marmara2!E154+Erzurum!E154+Konya!E154+Diyarbakır!E154+Trakya!E154+Antalya!E154+Ankara!E154+Mersin!E154</f>
        <v>0</v>
      </c>
      <c r="F154" s="480">
        <f>Kayseri!F154+Karadeniz!F154+Malatya!F154+Şanlıurfa!F154+Ege!F154+Marmara1!F154+Marmara2!F154+Erzurum!F154+Konya!F154+Diyarbakır!F154+Trakya!F154+Antalya!F154+Ankara!F154+Mersin!F154</f>
        <v>0</v>
      </c>
      <c r="G154" s="480">
        <f>Kayseri!G154+Karadeniz!G154+Malatya!G154+Şanlıurfa!G154+Ege!G154+Marmara1!G154+Marmara2!G154+Erzurum!G154+Konya!G154+Diyarbakır!G154+Trakya!G154+Antalya!G154+Ankara!G154+Mersin!G154</f>
        <v>0</v>
      </c>
      <c r="H154" s="480">
        <f>Kayseri!H154+Karadeniz!H154+Malatya!H154+Şanlıurfa!H154+Ege!H154+Marmara1!H154+Marmara2!H154+Erzurum!H154+Konya!H154+Diyarbakır!H154+Trakya!H154+Antalya!H154+Ankara!H154+Mersin!H154</f>
        <v>0</v>
      </c>
      <c r="I154" s="480">
        <f>Kayseri!I154+Karadeniz!I154+Malatya!I154+Şanlıurfa!I154+Ege!I154+Marmara1!I154+Marmara2!I154+Erzurum!I154+Konya!I154+Diyarbakır!I154+Trakya!I154+Antalya!I154+Ankara!I154+Mersin!I154</f>
        <v>0</v>
      </c>
      <c r="J154" s="480">
        <f>Kayseri!J154+Karadeniz!J154+Malatya!J154+Şanlıurfa!J154+Ege!J154+Marmara1!J154+Marmara2!J154+Erzurum!J154+Konya!J154+Diyarbakır!J154+Trakya!J154+Antalya!J154+Ankara!J154+Mersin!J154</f>
        <v>0</v>
      </c>
      <c r="K154" s="480">
        <f>Kayseri!K154+Karadeniz!K154+Malatya!K154+Şanlıurfa!K154+Ege!K154+Marmara1!K154+Marmara2!K154+Erzurum!K154+Konya!K154+Diyarbakır!K154+Trakya!K154+Antalya!K154+Ankara!K154+Mersin!K154</f>
        <v>0</v>
      </c>
      <c r="L154" s="480">
        <f>Kayseri!L154+Karadeniz!L154+Malatya!L154+Şanlıurfa!L154+Ege!L154+Marmara1!L154+Marmara2!L154+Erzurum!L154+Konya!L154+Diyarbakır!L154+Trakya!L154+Antalya!L154+Ankara!L154+Mersin!L154</f>
        <v>0</v>
      </c>
      <c r="M154" s="480">
        <f>Kayseri!M154+Karadeniz!M154+Malatya!M154+Şanlıurfa!M154+Ege!M154+Marmara1!M154+Marmara2!M154+Erzurum!M154+Konya!M154+Diyarbakır!M154+Trakya!M154+Antalya!M154+Ankara!M154+Mersin!M154</f>
        <v>0</v>
      </c>
      <c r="N154" s="480">
        <f>Kayseri!N154+Karadeniz!N154+Malatya!N154+Şanlıurfa!N154+Ege!N154+Marmara1!N154+Marmara2!N154+Erzurum!N154+Konya!N154+Diyarbakır!N154+Trakya!N154+Antalya!N154+Ankara!N154+Mersin!N154</f>
        <v>0</v>
      </c>
      <c r="O154" s="481">
        <f>Kayseri!O154+Karadeniz!O154+Malatya!O154+Şanlıurfa!O154+Ege!O154+Marmara1!O154+Marmara2!O154+Erzurum!O154+Konya!O154+Diyarbakır!O154+Trakya!O154+Antalya!O154+Ankara!O154+Mersin!O154</f>
        <v>0</v>
      </c>
      <c r="P154" s="1157">
        <f t="shared" si="182"/>
        <v>0</v>
      </c>
      <c r="Q154" s="1253" t="str">
        <f t="shared" si="181"/>
        <v>-</v>
      </c>
      <c r="R154" s="353">
        <f>+P154-Mersin!P154-Ankara!P154-Antalya!P154-Konya!P154-Trakya!P154-Kayseri!P154-Diyarbakır!P154-Erzurum!P154-Marmara2!P154-Marmara1!P154-Ege!P154-Malatya!P154-Karadeniz!P154-Şanlıurfa!P154</f>
        <v>0</v>
      </c>
    </row>
    <row r="155" spans="1:18">
      <c r="A155" s="1234" t="s">
        <v>77</v>
      </c>
      <c r="B155" s="486">
        <f>Kayseri!B155+Karadeniz!B155+Malatya!B155+Şanlıurfa!B155+Ege!B155+Marmara1!B155+Marmara2!B155+Erzurum!B155+Konya!B155+Diyarbakır!B155+Trakya!B155+Antalya!B155+Ankara!B155+Mersin!B155</f>
        <v>0</v>
      </c>
      <c r="C155" s="486">
        <f>Kayseri!C155+Karadeniz!C155+Malatya!C155+Şanlıurfa!C155+Ege!C155+Marmara1!C155+Marmara2!C155+Erzurum!C155+Konya!C155+Diyarbakır!C155+Trakya!C155+Antalya!C155+Ankara!C155+Mersin!C155</f>
        <v>0</v>
      </c>
      <c r="D155" s="486">
        <f>Kayseri!D155+Karadeniz!D155+Malatya!D155+Şanlıurfa!D155+Ege!D155+Marmara1!D155+Marmara2!D155+Erzurum!D155+Konya!D155+Diyarbakır!D155+Trakya!D155+Antalya!D155+Ankara!D155+Mersin!D155</f>
        <v>0</v>
      </c>
      <c r="E155" s="487">
        <f>Kayseri!E155+Karadeniz!E155+Malatya!E155+Şanlıurfa!E155+Ege!E155+Marmara1!E155+Marmara2!E155+Erzurum!E155+Konya!E155+Diyarbakır!E155+Trakya!E155+Antalya!E155+Ankara!E155+Mersin!E155</f>
        <v>0</v>
      </c>
      <c r="F155" s="487">
        <f>Kayseri!F155+Karadeniz!F155+Malatya!F155+Şanlıurfa!F155+Ege!F155+Marmara1!F155+Marmara2!F155+Erzurum!F155+Konya!F155+Diyarbakır!F155+Trakya!F155+Antalya!F155+Ankara!F155+Mersin!F155</f>
        <v>0</v>
      </c>
      <c r="G155" s="487">
        <f>Kayseri!G155+Karadeniz!G155+Malatya!G155+Şanlıurfa!G155+Ege!G155+Marmara1!G155+Marmara2!G155+Erzurum!G155+Konya!G155+Diyarbakır!G155+Trakya!G155+Antalya!G155+Ankara!G155+Mersin!G155</f>
        <v>0</v>
      </c>
      <c r="H155" s="487">
        <f>Kayseri!H155+Karadeniz!H155+Malatya!H155+Şanlıurfa!H155+Ege!H155+Marmara1!H155+Marmara2!H155+Erzurum!H155+Konya!H155+Diyarbakır!H155+Trakya!H155+Antalya!H155+Ankara!H155+Mersin!H155</f>
        <v>0</v>
      </c>
      <c r="I155" s="487">
        <f>Kayseri!I155+Karadeniz!I155+Malatya!I155+Şanlıurfa!I155+Ege!I155+Marmara1!I155+Marmara2!I155+Erzurum!I155+Konya!I155+Diyarbakır!I155+Trakya!I155+Antalya!I155+Ankara!I155+Mersin!I155</f>
        <v>0</v>
      </c>
      <c r="J155" s="487">
        <f>Kayseri!J155+Karadeniz!J155+Malatya!J155+Şanlıurfa!J155+Ege!J155+Marmara1!J155+Marmara2!J155+Erzurum!J155+Konya!J155+Diyarbakır!J155+Trakya!J155+Antalya!J155+Ankara!J155+Mersin!J155</f>
        <v>0</v>
      </c>
      <c r="K155" s="487">
        <f>Kayseri!K155+Karadeniz!K155+Malatya!K155+Şanlıurfa!K155+Ege!K155+Marmara1!K155+Marmara2!K155+Erzurum!K155+Konya!K155+Diyarbakır!K155+Trakya!K155+Antalya!K155+Ankara!K155+Mersin!K155</f>
        <v>0</v>
      </c>
      <c r="L155" s="487">
        <f>Kayseri!L155+Karadeniz!L155+Malatya!L155+Şanlıurfa!L155+Ege!L155+Marmara1!L155+Marmara2!L155+Erzurum!L155+Konya!L155+Diyarbakır!L155+Trakya!L155+Antalya!L155+Ankara!L155+Mersin!L155</f>
        <v>0</v>
      </c>
      <c r="M155" s="487">
        <f>Kayseri!M155+Karadeniz!M155+Malatya!M155+Şanlıurfa!M155+Ege!M155+Marmara1!M155+Marmara2!M155+Erzurum!M155+Konya!M155+Diyarbakır!M155+Trakya!M155+Antalya!M155+Ankara!M155+Mersin!M155</f>
        <v>0</v>
      </c>
      <c r="N155" s="487">
        <f>Kayseri!N155+Karadeniz!N155+Malatya!N155+Şanlıurfa!N155+Ege!N155+Marmara1!N155+Marmara2!N155+Erzurum!N155+Konya!N155+Diyarbakır!N155+Trakya!N155+Antalya!N155+Ankara!N155+Mersin!N155</f>
        <v>0</v>
      </c>
      <c r="O155" s="488">
        <f>Kayseri!O155+Karadeniz!O155+Malatya!O155+Şanlıurfa!O155+Ege!O155+Marmara1!O155+Marmara2!O155+Erzurum!O155+Konya!O155+Diyarbakır!O155+Trakya!O155+Antalya!O155+Ankara!O155+Mersin!O155</f>
        <v>0</v>
      </c>
      <c r="P155" s="1158">
        <f t="shared" si="182"/>
        <v>0</v>
      </c>
      <c r="Q155" s="1254" t="str">
        <f t="shared" si="181"/>
        <v>-</v>
      </c>
      <c r="R155" s="353">
        <f>+P155-Mersin!P155-Ankara!P155-Antalya!P155-Konya!P155-Trakya!P155-Kayseri!P155-Diyarbakır!P155-Erzurum!P155-Marmara2!P155-Marmara1!P155-Ege!P155-Malatya!P155-Karadeniz!P155-Şanlıurfa!P155</f>
        <v>0</v>
      </c>
    </row>
    <row r="156" spans="1:18">
      <c r="A156" s="476" t="s">
        <v>49</v>
      </c>
      <c r="B156" s="479">
        <f>Kayseri!B156+Karadeniz!B156+Malatya!B156+Şanlıurfa!B156+Ege!B156+Marmara1!B156+Marmara2!B156+Erzurum!B156+Konya!B156+Diyarbakır!B156+Trakya!B156+Antalya!B156+Ankara!B156+Mersin!B156</f>
        <v>0</v>
      </c>
      <c r="C156" s="479">
        <f>Kayseri!C156+Karadeniz!C156+Malatya!C156+Şanlıurfa!C156+Ege!C156+Marmara1!C156+Marmara2!C156+Erzurum!C156+Konya!C156+Diyarbakır!C156+Trakya!C156+Antalya!C156+Ankara!C156+Mersin!C156</f>
        <v>0</v>
      </c>
      <c r="D156" s="479">
        <f>Kayseri!D156+Karadeniz!D156+Malatya!D156+Şanlıurfa!D156+Ege!D156+Marmara1!D156+Marmara2!D156+Erzurum!D156+Konya!D156+Diyarbakır!D156+Trakya!D156+Antalya!D156+Ankara!D156+Mersin!D156</f>
        <v>0</v>
      </c>
      <c r="E156" s="480">
        <f>Kayseri!E156+Karadeniz!E156+Malatya!E156+Şanlıurfa!E156+Ege!E156+Marmara1!E156+Marmara2!E156+Erzurum!E156+Konya!E156+Diyarbakır!E156+Trakya!E156+Antalya!E156+Ankara!E156+Mersin!E156</f>
        <v>0</v>
      </c>
      <c r="F156" s="480">
        <f>Kayseri!F156+Karadeniz!F156+Malatya!F156+Şanlıurfa!F156+Ege!F156+Marmara1!F156+Marmara2!F156+Erzurum!F156+Konya!F156+Diyarbakır!F156+Trakya!F156+Antalya!F156+Ankara!F156+Mersin!F156</f>
        <v>0</v>
      </c>
      <c r="G156" s="480">
        <f>Kayseri!G156+Karadeniz!G156+Malatya!G156+Şanlıurfa!G156+Ege!G156+Marmara1!G156+Marmara2!G156+Erzurum!G156+Konya!G156+Diyarbakır!G156+Trakya!G156+Antalya!G156+Ankara!G156+Mersin!G156</f>
        <v>0</v>
      </c>
      <c r="H156" s="480">
        <f>Kayseri!H156+Karadeniz!H156+Malatya!H156+Şanlıurfa!H156+Ege!H156+Marmara1!H156+Marmara2!H156+Erzurum!H156+Konya!H156+Diyarbakır!H156+Trakya!H156+Antalya!H156+Ankara!H156+Mersin!H156</f>
        <v>0</v>
      </c>
      <c r="I156" s="480">
        <f>Kayseri!I156+Karadeniz!I156+Malatya!I156+Şanlıurfa!I156+Ege!I156+Marmara1!I156+Marmara2!I156+Erzurum!I156+Konya!I156+Diyarbakır!I156+Trakya!I156+Antalya!I156+Ankara!I156+Mersin!I156</f>
        <v>0</v>
      </c>
      <c r="J156" s="480">
        <f>Kayseri!J156+Karadeniz!J156+Malatya!J156+Şanlıurfa!J156+Ege!J156+Marmara1!J156+Marmara2!J156+Erzurum!J156+Konya!J156+Diyarbakır!J156+Trakya!J156+Antalya!J156+Ankara!J156+Mersin!J156</f>
        <v>0</v>
      </c>
      <c r="K156" s="480">
        <f>Kayseri!K156+Karadeniz!K156+Malatya!K156+Şanlıurfa!K156+Ege!K156+Marmara1!K156+Marmara2!K156+Erzurum!K156+Konya!K156+Diyarbakır!K156+Trakya!K156+Antalya!K156+Ankara!K156+Mersin!K156</f>
        <v>0</v>
      </c>
      <c r="L156" s="480">
        <f>Kayseri!L156+Karadeniz!L156+Malatya!L156+Şanlıurfa!L156+Ege!L156+Marmara1!L156+Marmara2!L156+Erzurum!L156+Konya!L156+Diyarbakır!L156+Trakya!L156+Antalya!L156+Ankara!L156+Mersin!L156</f>
        <v>0</v>
      </c>
      <c r="M156" s="480">
        <f>Kayseri!M156+Karadeniz!M156+Malatya!M156+Şanlıurfa!M156+Ege!M156+Marmara1!M156+Marmara2!M156+Erzurum!M156+Konya!M156+Diyarbakır!M156+Trakya!M156+Antalya!M156+Ankara!M156+Mersin!M156</f>
        <v>0</v>
      </c>
      <c r="N156" s="480">
        <f>Kayseri!N156+Karadeniz!N156+Malatya!N156+Şanlıurfa!N156+Ege!N156+Marmara1!N156+Marmara2!N156+Erzurum!N156+Konya!N156+Diyarbakır!N156+Trakya!N156+Antalya!N156+Ankara!N156+Mersin!N156</f>
        <v>0</v>
      </c>
      <c r="O156" s="481">
        <f>Kayseri!O156+Karadeniz!O156+Malatya!O156+Şanlıurfa!O156+Ege!O156+Marmara1!O156+Marmara2!O156+Erzurum!O156+Konya!O156+Diyarbakır!O156+Trakya!O156+Antalya!O156+Ankara!O156+Mersin!O156</f>
        <v>0</v>
      </c>
      <c r="P156" s="1157">
        <f t="shared" si="182"/>
        <v>0</v>
      </c>
      <c r="Q156" s="1253" t="str">
        <f t="shared" si="181"/>
        <v>-</v>
      </c>
      <c r="R156" s="353">
        <f>+P156-Mersin!P156-Ankara!P156-Antalya!P156-Konya!P156-Trakya!P156-Kayseri!P156-Diyarbakır!P156-Erzurum!P156-Marmara2!P156-Marmara1!P156-Ege!P156-Malatya!P156-Karadeniz!P156-Şanlıurfa!P156</f>
        <v>0</v>
      </c>
    </row>
    <row r="157" spans="1:18">
      <c r="A157" s="1234" t="s">
        <v>50</v>
      </c>
      <c r="B157" s="486">
        <f>Kayseri!B157+Karadeniz!B157+Malatya!B157+Şanlıurfa!B157+Ege!B157+Marmara1!B157+Marmara2!B157+Erzurum!B157+Konya!B157+Diyarbakır!B157+Trakya!B157+Antalya!B157+Ankara!B157+Mersin!B157</f>
        <v>0</v>
      </c>
      <c r="C157" s="486">
        <f>Kayseri!C157+Karadeniz!C157+Malatya!C157+Şanlıurfa!C157+Ege!C157+Marmara1!C157+Marmara2!C157+Erzurum!C157+Konya!C157+Diyarbakır!C157+Trakya!C157+Antalya!C157+Ankara!C157+Mersin!C157</f>
        <v>0</v>
      </c>
      <c r="D157" s="486">
        <f>Kayseri!D157+Karadeniz!D157+Malatya!D157+Şanlıurfa!D157+Ege!D157+Marmara1!D157+Marmara2!D157+Erzurum!D157+Konya!D157+Diyarbakır!D157+Trakya!D157+Antalya!D157+Ankara!D157+Mersin!D157</f>
        <v>0</v>
      </c>
      <c r="E157" s="487">
        <f>Kayseri!E157+Karadeniz!E157+Malatya!E157+Şanlıurfa!E157+Ege!E157+Marmara1!E157+Marmara2!E157+Erzurum!E157+Konya!E157+Diyarbakır!E157+Trakya!E157+Antalya!E157+Ankara!E157+Mersin!E157</f>
        <v>0</v>
      </c>
      <c r="F157" s="487">
        <f>Kayseri!F157+Karadeniz!F157+Malatya!F157+Şanlıurfa!F157+Ege!F157+Marmara1!F157+Marmara2!F157+Erzurum!F157+Konya!F157+Diyarbakır!F157+Trakya!F157+Antalya!F157+Ankara!F157+Mersin!F157</f>
        <v>0</v>
      </c>
      <c r="G157" s="487">
        <f>Kayseri!G157+Karadeniz!G157+Malatya!G157+Şanlıurfa!G157+Ege!G157+Marmara1!G157+Marmara2!G157+Erzurum!G157+Konya!G157+Diyarbakır!G157+Trakya!G157+Antalya!G157+Ankara!G157+Mersin!G157</f>
        <v>0</v>
      </c>
      <c r="H157" s="487">
        <f>Kayseri!H157+Karadeniz!H157+Malatya!H157+Şanlıurfa!H157+Ege!H157+Marmara1!H157+Marmara2!H157+Erzurum!H157+Konya!H157+Diyarbakır!H157+Trakya!H157+Antalya!H157+Ankara!H157+Mersin!H157</f>
        <v>0</v>
      </c>
      <c r="I157" s="487">
        <f>Kayseri!I157+Karadeniz!I157+Malatya!I157+Şanlıurfa!I157+Ege!I157+Marmara1!I157+Marmara2!I157+Erzurum!I157+Konya!I157+Diyarbakır!I157+Trakya!I157+Antalya!I157+Ankara!I157+Mersin!I157</f>
        <v>0</v>
      </c>
      <c r="J157" s="487">
        <f>Kayseri!J157+Karadeniz!J157+Malatya!J157+Şanlıurfa!J157+Ege!J157+Marmara1!J157+Marmara2!J157+Erzurum!J157+Konya!J157+Diyarbakır!J157+Trakya!J157+Antalya!J157+Ankara!J157+Mersin!J157</f>
        <v>0</v>
      </c>
      <c r="K157" s="487">
        <f>Kayseri!K157+Karadeniz!K157+Malatya!K157+Şanlıurfa!K157+Ege!K157+Marmara1!K157+Marmara2!K157+Erzurum!K157+Konya!K157+Diyarbakır!K157+Trakya!K157+Antalya!K157+Ankara!K157+Mersin!K157</f>
        <v>0</v>
      </c>
      <c r="L157" s="487">
        <f>Kayseri!L157+Karadeniz!L157+Malatya!L157+Şanlıurfa!L157+Ege!L157+Marmara1!L157+Marmara2!L157+Erzurum!L157+Konya!L157+Diyarbakır!L157+Trakya!L157+Antalya!L157+Ankara!L157+Mersin!L157</f>
        <v>0</v>
      </c>
      <c r="M157" s="487">
        <f>Kayseri!M157+Karadeniz!M157+Malatya!M157+Şanlıurfa!M157+Ege!M157+Marmara1!M157+Marmara2!M157+Erzurum!M157+Konya!M157+Diyarbakır!M157+Trakya!M157+Antalya!M157+Ankara!M157+Mersin!M157</f>
        <v>0</v>
      </c>
      <c r="N157" s="487">
        <f>Kayseri!N157+Karadeniz!N157+Malatya!N157+Şanlıurfa!N157+Ege!N157+Marmara1!N157+Marmara2!N157+Erzurum!N157+Konya!N157+Diyarbakır!N157+Trakya!N157+Antalya!N157+Ankara!N157+Mersin!N157</f>
        <v>0</v>
      </c>
      <c r="O157" s="488">
        <f>Kayseri!O157+Karadeniz!O157+Malatya!O157+Şanlıurfa!O157+Ege!O157+Marmara1!O157+Marmara2!O157+Erzurum!O157+Konya!O157+Diyarbakır!O157+Trakya!O157+Antalya!O157+Ankara!O157+Mersin!O157</f>
        <v>0</v>
      </c>
      <c r="P157" s="1158">
        <f t="shared" si="182"/>
        <v>0</v>
      </c>
      <c r="Q157" s="1254" t="str">
        <f t="shared" si="181"/>
        <v>-</v>
      </c>
      <c r="R157" s="353">
        <f>+P157-Mersin!P157-Ankara!P157-Antalya!P157-Konya!P157-Trakya!P157-Kayseri!P157-Diyarbakır!P157-Erzurum!P157-Marmara2!P157-Marmara1!P157-Ege!P157-Malatya!P157-Karadeniz!P157-Şanlıurfa!P157</f>
        <v>0</v>
      </c>
    </row>
    <row r="158" spans="1:18" ht="15" customHeight="1">
      <c r="A158" s="476" t="s">
        <v>76</v>
      </c>
      <c r="B158" s="479">
        <f>Kayseri!B158+Karadeniz!B158+Malatya!B158+Şanlıurfa!B158+Ege!B158+Marmara1!B158+Marmara2!B158+Erzurum!B158+Konya!B158+Diyarbakır!B158+Trakya!B158+Antalya!B158+Ankara!B158+Mersin!B158</f>
        <v>0</v>
      </c>
      <c r="C158" s="479">
        <f>Kayseri!C158+Karadeniz!C158+Malatya!C158+Şanlıurfa!C158+Ege!C158+Marmara1!C158+Marmara2!C158+Erzurum!C158+Konya!C158+Diyarbakır!C158+Trakya!C158+Antalya!C158+Ankara!C158+Mersin!C158</f>
        <v>0</v>
      </c>
      <c r="D158" s="479">
        <f>Kayseri!D158+Karadeniz!D158+Malatya!D158+Şanlıurfa!D158+Ege!D158+Marmara1!D158+Marmara2!D158+Erzurum!D158+Konya!D158+Diyarbakır!D158+Trakya!D158+Antalya!D158+Ankara!D158+Mersin!D158</f>
        <v>0</v>
      </c>
      <c r="E158" s="480">
        <f>Kayseri!E158+Karadeniz!E158+Malatya!E158+Şanlıurfa!E158+Ege!E158+Marmara1!E158+Marmara2!E158+Erzurum!E158+Konya!E158+Diyarbakır!E158+Trakya!E158+Antalya!E158+Ankara!E158+Mersin!E158</f>
        <v>0</v>
      </c>
      <c r="F158" s="480">
        <f>Kayseri!F158+Karadeniz!F158+Malatya!F158+Şanlıurfa!F158+Ege!F158+Marmara1!F158+Marmara2!F158+Erzurum!F158+Konya!F158+Diyarbakır!F158+Trakya!F158+Antalya!F158+Ankara!F158+Mersin!F158</f>
        <v>0</v>
      </c>
      <c r="G158" s="480">
        <f>Kayseri!G158+Karadeniz!G158+Malatya!G158+Şanlıurfa!G158+Ege!G158+Marmara1!G158+Marmara2!G158+Erzurum!G158+Konya!G158+Diyarbakır!G158+Trakya!G158+Antalya!G158+Ankara!G158+Mersin!G158</f>
        <v>0</v>
      </c>
      <c r="H158" s="480">
        <f>Kayseri!H158+Karadeniz!H158+Malatya!H158+Şanlıurfa!H158+Ege!H158+Marmara1!H158+Marmara2!H158+Erzurum!H158+Konya!H158+Diyarbakır!H158+Trakya!H158+Antalya!H158+Ankara!H158+Mersin!H158</f>
        <v>0</v>
      </c>
      <c r="I158" s="480">
        <f>Kayseri!I158+Karadeniz!I158+Malatya!I158+Şanlıurfa!I158+Ege!I158+Marmara1!I158+Marmara2!I158+Erzurum!I158+Konya!I158+Diyarbakır!I158+Trakya!I158+Antalya!I158+Ankara!I158+Mersin!I158</f>
        <v>0</v>
      </c>
      <c r="J158" s="480">
        <f>Kayseri!J158+Karadeniz!J158+Malatya!J158+Şanlıurfa!J158+Ege!J158+Marmara1!J158+Marmara2!J158+Erzurum!J158+Konya!J158+Diyarbakır!J158+Trakya!J158+Antalya!J158+Ankara!J158+Mersin!J158</f>
        <v>0</v>
      </c>
      <c r="K158" s="480">
        <f>Kayseri!K158+Karadeniz!K158+Malatya!K158+Şanlıurfa!K158+Ege!K158+Marmara1!K158+Marmara2!K158+Erzurum!K158+Konya!K158+Diyarbakır!K158+Trakya!K158+Antalya!K158+Ankara!K158+Mersin!K158</f>
        <v>0</v>
      </c>
      <c r="L158" s="480">
        <f>Kayseri!L158+Karadeniz!L158+Malatya!L158+Şanlıurfa!L158+Ege!L158+Marmara1!L158+Marmara2!L158+Erzurum!L158+Konya!L158+Diyarbakır!L158+Trakya!L158+Antalya!L158+Ankara!L158+Mersin!L158</f>
        <v>0</v>
      </c>
      <c r="M158" s="480">
        <f>Kayseri!M158+Karadeniz!M158+Malatya!M158+Şanlıurfa!M158+Ege!M158+Marmara1!M158+Marmara2!M158+Erzurum!M158+Konya!M158+Diyarbakır!M158+Trakya!M158+Antalya!M158+Ankara!M158+Mersin!M158</f>
        <v>0</v>
      </c>
      <c r="N158" s="480">
        <f>Kayseri!N158+Karadeniz!N158+Malatya!N158+Şanlıurfa!N158+Ege!N158+Marmara1!N158+Marmara2!N158+Erzurum!N158+Konya!N158+Diyarbakır!N158+Trakya!N158+Antalya!N158+Ankara!N158+Mersin!N158</f>
        <v>0</v>
      </c>
      <c r="O158" s="481">
        <f>Kayseri!O158+Karadeniz!O158+Malatya!O158+Şanlıurfa!O158+Ege!O158+Marmara1!O158+Marmara2!O158+Erzurum!O158+Konya!O158+Diyarbakır!O158+Trakya!O158+Antalya!O158+Ankara!O158+Mersin!O158</f>
        <v>0</v>
      </c>
      <c r="P158" s="1157">
        <f t="shared" si="182"/>
        <v>0</v>
      </c>
      <c r="Q158" s="1253" t="str">
        <f t="shared" si="181"/>
        <v>-</v>
      </c>
      <c r="R158" s="353">
        <f>+P158-Mersin!P158-Ankara!P158-Antalya!P158-Konya!P158-Trakya!P158-Kayseri!P158-Diyarbakır!P158-Erzurum!P158-Marmara2!P158-Marmara1!P158-Ege!P158-Malatya!P158-Karadeniz!P158-Şanlıurfa!P158</f>
        <v>0</v>
      </c>
    </row>
    <row r="159" spans="1:18">
      <c r="A159" s="1234" t="s">
        <v>51</v>
      </c>
      <c r="B159" s="486">
        <f>Kayseri!B159+Karadeniz!B159+Malatya!B159+Şanlıurfa!B159+Ege!B159+Marmara1!B159+Marmara2!B159+Erzurum!B159+Konya!B159+Diyarbakır!B159+Trakya!B159+Antalya!B159+Ankara!B159+Mersin!B159</f>
        <v>0</v>
      </c>
      <c r="C159" s="486">
        <f>Kayseri!C159+Karadeniz!C159+Malatya!C159+Şanlıurfa!C159+Ege!C159+Marmara1!C159+Marmara2!C159+Erzurum!C159+Konya!C159+Diyarbakır!C159+Trakya!C159+Antalya!C159+Ankara!C159+Mersin!C159</f>
        <v>0</v>
      </c>
      <c r="D159" s="486">
        <f>Kayseri!D159+Karadeniz!D159+Malatya!D159+Şanlıurfa!D159+Ege!D159+Marmara1!D159+Marmara2!D159+Erzurum!D159+Konya!D159+Diyarbakır!D159+Trakya!D159+Antalya!D159+Ankara!D159+Mersin!D159</f>
        <v>0</v>
      </c>
      <c r="E159" s="487">
        <f>Kayseri!E159+Karadeniz!E159+Malatya!E159+Şanlıurfa!E159+Ege!E159+Marmara1!E159+Marmara2!E159+Erzurum!E159+Konya!E159+Diyarbakır!E159+Trakya!E159+Antalya!E159+Ankara!E159+Mersin!E159</f>
        <v>0</v>
      </c>
      <c r="F159" s="487">
        <f>Kayseri!F159+Karadeniz!F159+Malatya!F159+Şanlıurfa!F159+Ege!F159+Marmara1!F159+Marmara2!F159+Erzurum!F159+Konya!F159+Diyarbakır!F159+Trakya!F159+Antalya!F159+Ankara!F159+Mersin!F159</f>
        <v>0</v>
      </c>
      <c r="G159" s="487">
        <f>Kayseri!G159+Karadeniz!G159+Malatya!G159+Şanlıurfa!G159+Ege!G159+Marmara1!G159+Marmara2!G159+Erzurum!G159+Konya!G159+Diyarbakır!G159+Trakya!G159+Antalya!G159+Ankara!G159+Mersin!G159</f>
        <v>0</v>
      </c>
      <c r="H159" s="487">
        <f>Kayseri!H159+Karadeniz!H159+Malatya!H159+Şanlıurfa!H159+Ege!H159+Marmara1!H159+Marmara2!H159+Erzurum!H159+Konya!H159+Diyarbakır!H159+Trakya!H159+Antalya!H159+Ankara!H159+Mersin!H159</f>
        <v>0</v>
      </c>
      <c r="I159" s="487">
        <f>Kayseri!I159+Karadeniz!I159+Malatya!I159+Şanlıurfa!I159+Ege!I159+Marmara1!I159+Marmara2!I159+Erzurum!I159+Konya!I159+Diyarbakır!I159+Trakya!I159+Antalya!I159+Ankara!I159+Mersin!I159</f>
        <v>0</v>
      </c>
      <c r="J159" s="487">
        <f>Kayseri!J159+Karadeniz!J159+Malatya!J159+Şanlıurfa!J159+Ege!J159+Marmara1!J159+Marmara2!J159+Erzurum!J159+Konya!J159+Diyarbakır!J159+Trakya!J159+Antalya!J159+Ankara!J159+Mersin!J159</f>
        <v>0</v>
      </c>
      <c r="K159" s="487">
        <f>Kayseri!K159+Karadeniz!K159+Malatya!K159+Şanlıurfa!K159+Ege!K159+Marmara1!K159+Marmara2!K159+Erzurum!K159+Konya!K159+Diyarbakır!K159+Trakya!K159+Antalya!K159+Ankara!K159+Mersin!K159</f>
        <v>0</v>
      </c>
      <c r="L159" s="487">
        <f>Kayseri!L159+Karadeniz!L159+Malatya!L159+Şanlıurfa!L159+Ege!L159+Marmara1!L159+Marmara2!L159+Erzurum!L159+Konya!L159+Diyarbakır!L159+Trakya!L159+Antalya!L159+Ankara!L159+Mersin!L159</f>
        <v>0</v>
      </c>
      <c r="M159" s="487">
        <f>Kayseri!M159+Karadeniz!M159+Malatya!M159+Şanlıurfa!M159+Ege!M159+Marmara1!M159+Marmara2!M159+Erzurum!M159+Konya!M159+Diyarbakır!M159+Trakya!M159+Antalya!M159+Ankara!M159+Mersin!M159</f>
        <v>0</v>
      </c>
      <c r="N159" s="487">
        <f>Kayseri!N159+Karadeniz!N159+Malatya!N159+Şanlıurfa!N159+Ege!N159+Marmara1!N159+Marmara2!N159+Erzurum!N159+Konya!N159+Diyarbakır!N159+Trakya!N159+Antalya!N159+Ankara!N159+Mersin!N159</f>
        <v>0</v>
      </c>
      <c r="O159" s="488">
        <f>Kayseri!O159+Karadeniz!O159+Malatya!O159+Şanlıurfa!O159+Ege!O159+Marmara1!O159+Marmara2!O159+Erzurum!O159+Konya!O159+Diyarbakır!O159+Trakya!O159+Antalya!O159+Ankara!O159+Mersin!O159</f>
        <v>0</v>
      </c>
      <c r="P159" s="1158">
        <f t="shared" si="182"/>
        <v>0</v>
      </c>
      <c r="Q159" s="1254" t="str">
        <f t="shared" si="181"/>
        <v>-</v>
      </c>
      <c r="R159" s="353">
        <f>+P159-Mersin!P159-Ankara!P159-Antalya!P159-Konya!P159-Trakya!P159-Kayseri!P159-Diyarbakır!P159-Erzurum!P159-Marmara2!P159-Marmara1!P159-Ege!P159-Malatya!P159-Karadeniz!P159-Şanlıurfa!P159</f>
        <v>0</v>
      </c>
    </row>
    <row r="160" spans="1:18">
      <c r="A160" s="476" t="s">
        <v>52</v>
      </c>
      <c r="B160" s="479">
        <f>Kayseri!B160+Karadeniz!B160+Malatya!B160+Şanlıurfa!B160+Ege!B160+Marmara1!B160+Marmara2!B160+Erzurum!B160+Konya!B160+Diyarbakır!B160+Trakya!B160+Antalya!B160+Ankara!B160+Mersin!B160</f>
        <v>0</v>
      </c>
      <c r="C160" s="479">
        <f>Kayseri!C160+Karadeniz!C160+Malatya!C160+Şanlıurfa!C160+Ege!C160+Marmara1!C160+Marmara2!C160+Erzurum!C160+Konya!C160+Diyarbakır!C160+Trakya!C160+Antalya!C160+Ankara!C160+Mersin!C160</f>
        <v>0</v>
      </c>
      <c r="D160" s="479">
        <f>Kayseri!D160+Karadeniz!D160+Malatya!D160+Şanlıurfa!D160+Ege!D160+Marmara1!D160+Marmara2!D160+Erzurum!D160+Konya!D160+Diyarbakır!D160+Trakya!D160+Antalya!D160+Ankara!D160+Mersin!D160</f>
        <v>0</v>
      </c>
      <c r="E160" s="480">
        <f>Kayseri!E160+Karadeniz!E160+Malatya!E160+Şanlıurfa!E160+Ege!E160+Marmara1!E160+Marmara2!E160+Erzurum!E160+Konya!E160+Diyarbakır!E160+Trakya!E160+Antalya!E160+Ankara!E160+Mersin!E160</f>
        <v>0</v>
      </c>
      <c r="F160" s="480">
        <f>Kayseri!F160+Karadeniz!F160+Malatya!F160+Şanlıurfa!F160+Ege!F160+Marmara1!F160+Marmara2!F160+Erzurum!F160+Konya!F160+Diyarbakır!F160+Trakya!F160+Antalya!F160+Ankara!F160+Mersin!F160</f>
        <v>0</v>
      </c>
      <c r="G160" s="480">
        <f>Kayseri!G160+Karadeniz!G160+Malatya!G160+Şanlıurfa!G160+Ege!G160+Marmara1!G160+Marmara2!G160+Erzurum!G160+Konya!G160+Diyarbakır!G160+Trakya!G160+Antalya!G160+Ankara!G160+Mersin!G160</f>
        <v>0</v>
      </c>
      <c r="H160" s="480">
        <f>Kayseri!H160+Karadeniz!H160+Malatya!H160+Şanlıurfa!H160+Ege!H160+Marmara1!H160+Marmara2!H160+Erzurum!H160+Konya!H160+Diyarbakır!H160+Trakya!H160+Antalya!H160+Ankara!H160+Mersin!H160</f>
        <v>0</v>
      </c>
      <c r="I160" s="480">
        <f>Kayseri!I160+Karadeniz!I160+Malatya!I160+Şanlıurfa!I160+Ege!I160+Marmara1!I160+Marmara2!I160+Erzurum!I160+Konya!I160+Diyarbakır!I160+Trakya!I160+Antalya!I160+Ankara!I160+Mersin!I160</f>
        <v>0</v>
      </c>
      <c r="J160" s="480">
        <f>Kayseri!J160+Karadeniz!J160+Malatya!J160+Şanlıurfa!J160+Ege!J160+Marmara1!J160+Marmara2!J160+Erzurum!J160+Konya!J160+Diyarbakır!J160+Trakya!J160+Antalya!J160+Ankara!J160+Mersin!J160</f>
        <v>0</v>
      </c>
      <c r="K160" s="480">
        <f>Kayseri!K160+Karadeniz!K160+Malatya!K160+Şanlıurfa!K160+Ege!K160+Marmara1!K160+Marmara2!K160+Erzurum!K160+Konya!K160+Diyarbakır!K160+Trakya!K160+Antalya!K160+Ankara!K160+Mersin!K160</f>
        <v>0</v>
      </c>
      <c r="L160" s="480">
        <f>Kayseri!L160+Karadeniz!L160+Malatya!L160+Şanlıurfa!L160+Ege!L160+Marmara1!L160+Marmara2!L160+Erzurum!L160+Konya!L160+Diyarbakır!L160+Trakya!L160+Antalya!L160+Ankara!L160+Mersin!L160</f>
        <v>0</v>
      </c>
      <c r="M160" s="480">
        <f>Kayseri!M160+Karadeniz!M160+Malatya!M160+Şanlıurfa!M160+Ege!M160+Marmara1!M160+Marmara2!M160+Erzurum!M160+Konya!M160+Diyarbakır!M160+Trakya!M160+Antalya!M160+Ankara!M160+Mersin!M160</f>
        <v>0</v>
      </c>
      <c r="N160" s="480">
        <f>Kayseri!N160+Karadeniz!N160+Malatya!N160+Şanlıurfa!N160+Ege!N160+Marmara1!N160+Marmara2!N160+Erzurum!N160+Konya!N160+Diyarbakır!N160+Trakya!N160+Antalya!N160+Ankara!N160+Mersin!N160</f>
        <v>0</v>
      </c>
      <c r="O160" s="481">
        <f>Kayseri!O160+Karadeniz!O160+Malatya!O160+Şanlıurfa!O160+Ege!O160+Marmara1!O160+Marmara2!O160+Erzurum!O160+Konya!O160+Diyarbakır!O160+Trakya!O160+Antalya!O160+Ankara!O160+Mersin!O160</f>
        <v>0</v>
      </c>
      <c r="P160" s="1157">
        <f t="shared" si="182"/>
        <v>0</v>
      </c>
      <c r="Q160" s="1253" t="str">
        <f t="shared" si="181"/>
        <v>-</v>
      </c>
      <c r="R160" s="353">
        <f>+P160-Mersin!P160-Ankara!P160-Antalya!P160-Konya!P160-Trakya!P160-Kayseri!P160-Diyarbakır!P160-Erzurum!P160-Marmara2!P160-Marmara1!P160-Ege!P160-Malatya!P160-Karadeniz!P160-Şanlıurfa!P160</f>
        <v>0</v>
      </c>
    </row>
    <row r="161" spans="1:18">
      <c r="A161" s="1234" t="s">
        <v>53</v>
      </c>
      <c r="B161" s="486">
        <f>Kayseri!B161+Karadeniz!B161+Malatya!B161+Şanlıurfa!B161+Ege!B161+Marmara1!B161+Marmara2!B161+Erzurum!B161+Konya!B161+Diyarbakır!B161+Trakya!B161+Antalya!B161+Ankara!B161+Mersin!B161</f>
        <v>0</v>
      </c>
      <c r="C161" s="486">
        <f>Kayseri!C161+Karadeniz!C161+Malatya!C161+Şanlıurfa!C161+Ege!C161+Marmara1!C161+Marmara2!C161+Erzurum!C161+Konya!C161+Diyarbakır!C161+Trakya!C161+Antalya!C161+Ankara!C161+Mersin!C161</f>
        <v>0</v>
      </c>
      <c r="D161" s="486">
        <f>Kayseri!D161+Karadeniz!D161+Malatya!D161+Şanlıurfa!D161+Ege!D161+Marmara1!D161+Marmara2!D161+Erzurum!D161+Konya!D161+Diyarbakır!D161+Trakya!D161+Antalya!D161+Ankara!D161+Mersin!D161</f>
        <v>0</v>
      </c>
      <c r="E161" s="487">
        <f>Kayseri!E161+Karadeniz!E161+Malatya!E161+Şanlıurfa!E161+Ege!E161+Marmara1!E161+Marmara2!E161+Erzurum!E161+Konya!E161+Diyarbakır!E161+Trakya!E161+Antalya!E161+Ankara!E161+Mersin!E161</f>
        <v>0</v>
      </c>
      <c r="F161" s="487">
        <f>Kayseri!F161+Karadeniz!F161+Malatya!F161+Şanlıurfa!F161+Ege!F161+Marmara1!F161+Marmara2!F161+Erzurum!F161+Konya!F161+Diyarbakır!F161+Trakya!F161+Antalya!F161+Ankara!F161+Mersin!F161</f>
        <v>0</v>
      </c>
      <c r="G161" s="487">
        <f>Kayseri!G161+Karadeniz!G161+Malatya!G161+Şanlıurfa!G161+Ege!G161+Marmara1!G161+Marmara2!G161+Erzurum!G161+Konya!G161+Diyarbakır!G161+Trakya!G161+Antalya!G161+Ankara!G161+Mersin!G161</f>
        <v>0</v>
      </c>
      <c r="H161" s="487">
        <f>Kayseri!H161+Karadeniz!H161+Malatya!H161+Şanlıurfa!H161+Ege!H161+Marmara1!H161+Marmara2!H161+Erzurum!H161+Konya!H161+Diyarbakır!H161+Trakya!H161+Antalya!H161+Ankara!H161+Mersin!H161</f>
        <v>0</v>
      </c>
      <c r="I161" s="487">
        <f>Kayseri!I161+Karadeniz!I161+Malatya!I161+Şanlıurfa!I161+Ege!I161+Marmara1!I161+Marmara2!I161+Erzurum!I161+Konya!I161+Diyarbakır!I161+Trakya!I161+Antalya!I161+Ankara!I161+Mersin!I161</f>
        <v>0</v>
      </c>
      <c r="J161" s="487">
        <f>Kayseri!J161+Karadeniz!J161+Malatya!J161+Şanlıurfa!J161+Ege!J161+Marmara1!J161+Marmara2!J161+Erzurum!J161+Konya!J161+Diyarbakır!J161+Trakya!J161+Antalya!J161+Ankara!J161+Mersin!J161</f>
        <v>0</v>
      </c>
      <c r="K161" s="487">
        <f>Kayseri!K161+Karadeniz!K161+Malatya!K161+Şanlıurfa!K161+Ege!K161+Marmara1!K161+Marmara2!K161+Erzurum!K161+Konya!K161+Diyarbakır!K161+Trakya!K161+Antalya!K161+Ankara!K161+Mersin!K161</f>
        <v>0</v>
      </c>
      <c r="L161" s="487">
        <f>Kayseri!L161+Karadeniz!L161+Malatya!L161+Şanlıurfa!L161+Ege!L161+Marmara1!L161+Marmara2!L161+Erzurum!L161+Konya!L161+Diyarbakır!L161+Trakya!L161+Antalya!L161+Ankara!L161+Mersin!L161</f>
        <v>0</v>
      </c>
      <c r="M161" s="487">
        <f>Kayseri!M161+Karadeniz!M161+Malatya!M161+Şanlıurfa!M161+Ege!M161+Marmara1!M161+Marmara2!M161+Erzurum!M161+Konya!M161+Diyarbakır!M161+Trakya!M161+Antalya!M161+Ankara!M161+Mersin!M161</f>
        <v>0</v>
      </c>
      <c r="N161" s="487">
        <f>Kayseri!N161+Karadeniz!N161+Malatya!N161+Şanlıurfa!N161+Ege!N161+Marmara1!N161+Marmara2!N161+Erzurum!N161+Konya!N161+Diyarbakır!N161+Trakya!N161+Antalya!N161+Ankara!N161+Mersin!N161</f>
        <v>0</v>
      </c>
      <c r="O161" s="488">
        <f>Kayseri!O161+Karadeniz!O161+Malatya!O161+Şanlıurfa!O161+Ege!O161+Marmara1!O161+Marmara2!O161+Erzurum!O161+Konya!O161+Diyarbakır!O161+Trakya!O161+Antalya!O161+Ankara!O161+Mersin!O161</f>
        <v>0</v>
      </c>
      <c r="P161" s="1158">
        <f t="shared" si="182"/>
        <v>0</v>
      </c>
      <c r="Q161" s="1254" t="str">
        <f t="shared" si="181"/>
        <v>-</v>
      </c>
      <c r="R161" s="353">
        <f>+P161-Mersin!P161-Ankara!P161-Antalya!P161-Konya!P161-Trakya!P161-Kayseri!P161-Diyarbakır!P161-Erzurum!P161-Marmara2!P161-Marmara1!P161-Ege!P161-Malatya!P161-Karadeniz!P161-Şanlıurfa!P161</f>
        <v>0</v>
      </c>
    </row>
    <row r="162" spans="1:18">
      <c r="A162" s="476" t="s">
        <v>54</v>
      </c>
      <c r="B162" s="479">
        <f>Kayseri!B162+Karadeniz!B162+Malatya!B162+Şanlıurfa!B162+Ege!B162+Marmara1!B162+Marmara2!B162+Erzurum!B162+Konya!B162+Diyarbakır!B162+Trakya!B162+Antalya!B162+Ankara!B162+Mersin!B162</f>
        <v>0</v>
      </c>
      <c r="C162" s="479">
        <f>Kayseri!C162+Karadeniz!C162+Malatya!C162+Şanlıurfa!C162+Ege!C162+Marmara1!C162+Marmara2!C162+Erzurum!C162+Konya!C162+Diyarbakır!C162+Trakya!C162+Antalya!C162+Ankara!C162+Mersin!C162</f>
        <v>0</v>
      </c>
      <c r="D162" s="479">
        <f>Kayseri!D162+Karadeniz!D162+Malatya!D162+Şanlıurfa!D162+Ege!D162+Marmara1!D162+Marmara2!D162+Erzurum!D162+Konya!D162+Diyarbakır!D162+Trakya!D162+Antalya!D162+Ankara!D162+Mersin!D162</f>
        <v>0</v>
      </c>
      <c r="E162" s="480">
        <f>Kayseri!E162+Karadeniz!E162+Malatya!E162+Şanlıurfa!E162+Ege!E162+Marmara1!E162+Marmara2!E162+Erzurum!E162+Konya!E162+Diyarbakır!E162+Trakya!E162+Antalya!E162+Ankara!E162+Mersin!E162</f>
        <v>0</v>
      </c>
      <c r="F162" s="480">
        <f>Kayseri!F162+Karadeniz!F162+Malatya!F162+Şanlıurfa!F162+Ege!F162+Marmara1!F162+Marmara2!F162+Erzurum!F162+Konya!F162+Diyarbakır!F162+Trakya!F162+Antalya!F162+Ankara!F162+Mersin!F162</f>
        <v>0</v>
      </c>
      <c r="G162" s="480">
        <f>Kayseri!G162+Karadeniz!G162+Malatya!G162+Şanlıurfa!G162+Ege!G162+Marmara1!G162+Marmara2!G162+Erzurum!G162+Konya!G162+Diyarbakır!G162+Trakya!G162+Antalya!G162+Ankara!G162+Mersin!G162</f>
        <v>0</v>
      </c>
      <c r="H162" s="480">
        <f>Kayseri!H162+Karadeniz!H162+Malatya!H162+Şanlıurfa!H162+Ege!H162+Marmara1!H162+Marmara2!H162+Erzurum!H162+Konya!H162+Diyarbakır!H162+Trakya!H162+Antalya!H162+Ankara!H162+Mersin!H162</f>
        <v>0</v>
      </c>
      <c r="I162" s="480">
        <f>Kayseri!I162+Karadeniz!I162+Malatya!I162+Şanlıurfa!I162+Ege!I162+Marmara1!I162+Marmara2!I162+Erzurum!I162+Konya!I162+Diyarbakır!I162+Trakya!I162+Antalya!I162+Ankara!I162+Mersin!I162</f>
        <v>0</v>
      </c>
      <c r="J162" s="480">
        <f>Kayseri!J162+Karadeniz!J162+Malatya!J162+Şanlıurfa!J162+Ege!J162+Marmara1!J162+Marmara2!J162+Erzurum!J162+Konya!J162+Diyarbakır!J162+Trakya!J162+Antalya!J162+Ankara!J162+Mersin!J162</f>
        <v>0</v>
      </c>
      <c r="K162" s="480">
        <f>Kayseri!K162+Karadeniz!K162+Malatya!K162+Şanlıurfa!K162+Ege!K162+Marmara1!K162+Marmara2!K162+Erzurum!K162+Konya!K162+Diyarbakır!K162+Trakya!K162+Antalya!K162+Ankara!K162+Mersin!K162</f>
        <v>0</v>
      </c>
      <c r="L162" s="480">
        <f>Kayseri!L162+Karadeniz!L162+Malatya!L162+Şanlıurfa!L162+Ege!L162+Marmara1!L162+Marmara2!L162+Erzurum!L162+Konya!L162+Diyarbakır!L162+Trakya!L162+Antalya!L162+Ankara!L162+Mersin!L162</f>
        <v>0</v>
      </c>
      <c r="M162" s="480">
        <f>Kayseri!M162+Karadeniz!M162+Malatya!M162+Şanlıurfa!M162+Ege!M162+Marmara1!M162+Marmara2!M162+Erzurum!M162+Konya!M162+Diyarbakır!M162+Trakya!M162+Antalya!M162+Ankara!M162+Mersin!M162</f>
        <v>0</v>
      </c>
      <c r="N162" s="480">
        <f>Kayseri!N162+Karadeniz!N162+Malatya!N162+Şanlıurfa!N162+Ege!N162+Marmara1!N162+Marmara2!N162+Erzurum!N162+Konya!N162+Diyarbakır!N162+Trakya!N162+Antalya!N162+Ankara!N162+Mersin!N162</f>
        <v>0</v>
      </c>
      <c r="O162" s="481">
        <f>Kayseri!O162+Karadeniz!O162+Malatya!O162+Şanlıurfa!O162+Ege!O162+Marmara1!O162+Marmara2!O162+Erzurum!O162+Konya!O162+Diyarbakır!O162+Trakya!O162+Antalya!O162+Ankara!O162+Mersin!O162</f>
        <v>0</v>
      </c>
      <c r="P162" s="1157">
        <f t="shared" si="182"/>
        <v>0</v>
      </c>
      <c r="Q162" s="1253" t="str">
        <f t="shared" si="181"/>
        <v>-</v>
      </c>
      <c r="R162" s="353">
        <f>+P162-Mersin!P162-Ankara!P162-Antalya!P162-Konya!P162-Trakya!P162-Kayseri!P162-Diyarbakır!P162-Erzurum!P162-Marmara2!P162-Marmara1!P162-Ege!P162-Malatya!P162-Karadeniz!P162-Şanlıurfa!P162</f>
        <v>0</v>
      </c>
    </row>
    <row r="163" spans="1:18">
      <c r="A163" s="1234" t="s">
        <v>55</v>
      </c>
      <c r="B163" s="486">
        <f>Kayseri!B163+Karadeniz!B163+Malatya!B163+Şanlıurfa!B163+Ege!B163+Marmara1!B163+Marmara2!B163+Erzurum!B163+Konya!B163+Diyarbakır!B163+Trakya!B163+Antalya!B163+Ankara!B163+Mersin!B163</f>
        <v>0</v>
      </c>
      <c r="C163" s="486">
        <f>Kayseri!C163+Karadeniz!C163+Malatya!C163+Şanlıurfa!C163+Ege!C163+Marmara1!C163+Marmara2!C163+Erzurum!C163+Konya!C163+Diyarbakır!C163+Trakya!C163+Antalya!C163+Ankara!C163+Mersin!C163</f>
        <v>0</v>
      </c>
      <c r="D163" s="486">
        <f>Kayseri!D163+Karadeniz!D163+Malatya!D163+Şanlıurfa!D163+Ege!D163+Marmara1!D163+Marmara2!D163+Erzurum!D163+Konya!D163+Diyarbakır!D163+Trakya!D163+Antalya!D163+Ankara!D163+Mersin!D163</f>
        <v>0</v>
      </c>
      <c r="E163" s="487">
        <f>Kayseri!E163+Karadeniz!E163+Malatya!E163+Şanlıurfa!E163+Ege!E163+Marmara1!E163+Marmara2!E163+Erzurum!E163+Konya!E163+Diyarbakır!E163+Trakya!E163+Antalya!E163+Ankara!E163+Mersin!E163</f>
        <v>0</v>
      </c>
      <c r="F163" s="487">
        <f>Kayseri!F163+Karadeniz!F163+Malatya!F163+Şanlıurfa!F163+Ege!F163+Marmara1!F163+Marmara2!F163+Erzurum!F163+Konya!F163+Diyarbakır!F163+Trakya!F163+Antalya!F163+Ankara!F163+Mersin!F163</f>
        <v>0</v>
      </c>
      <c r="G163" s="487">
        <f>Kayseri!G163+Karadeniz!G163+Malatya!G163+Şanlıurfa!G163+Ege!G163+Marmara1!G163+Marmara2!G163+Erzurum!G163+Konya!G163+Diyarbakır!G163+Trakya!G163+Antalya!G163+Ankara!G163+Mersin!G163</f>
        <v>0</v>
      </c>
      <c r="H163" s="487">
        <f>Kayseri!H163+Karadeniz!H163+Malatya!H163+Şanlıurfa!H163+Ege!H163+Marmara1!H163+Marmara2!H163+Erzurum!H163+Konya!H163+Diyarbakır!H163+Trakya!H163+Antalya!H163+Ankara!H163+Mersin!H163</f>
        <v>0</v>
      </c>
      <c r="I163" s="487">
        <f>Kayseri!I163+Karadeniz!I163+Malatya!I163+Şanlıurfa!I163+Ege!I163+Marmara1!I163+Marmara2!I163+Erzurum!I163+Konya!I163+Diyarbakır!I163+Trakya!I163+Antalya!I163+Ankara!I163+Mersin!I163</f>
        <v>0</v>
      </c>
      <c r="J163" s="487">
        <f>Kayseri!J163+Karadeniz!J163+Malatya!J163+Şanlıurfa!J163+Ege!J163+Marmara1!J163+Marmara2!J163+Erzurum!J163+Konya!J163+Diyarbakır!J163+Trakya!J163+Antalya!J163+Ankara!J163+Mersin!J163</f>
        <v>0</v>
      </c>
      <c r="K163" s="487">
        <f>Kayseri!K163+Karadeniz!K163+Malatya!K163+Şanlıurfa!K163+Ege!K163+Marmara1!K163+Marmara2!K163+Erzurum!K163+Konya!K163+Diyarbakır!K163+Trakya!K163+Antalya!K163+Ankara!K163+Mersin!K163</f>
        <v>0</v>
      </c>
      <c r="L163" s="487">
        <f>Kayseri!L163+Karadeniz!L163+Malatya!L163+Şanlıurfa!L163+Ege!L163+Marmara1!L163+Marmara2!L163+Erzurum!L163+Konya!L163+Diyarbakır!L163+Trakya!L163+Antalya!L163+Ankara!L163+Mersin!L163</f>
        <v>0</v>
      </c>
      <c r="M163" s="487">
        <f>Kayseri!M163+Karadeniz!M163+Malatya!M163+Şanlıurfa!M163+Ege!M163+Marmara1!M163+Marmara2!M163+Erzurum!M163+Konya!M163+Diyarbakır!M163+Trakya!M163+Antalya!M163+Ankara!M163+Mersin!M163</f>
        <v>0</v>
      </c>
      <c r="N163" s="487">
        <f>Kayseri!N163+Karadeniz!N163+Malatya!N163+Şanlıurfa!N163+Ege!N163+Marmara1!N163+Marmara2!N163+Erzurum!N163+Konya!N163+Diyarbakır!N163+Trakya!N163+Antalya!N163+Ankara!N163+Mersin!N163</f>
        <v>0</v>
      </c>
      <c r="O163" s="488">
        <f>Kayseri!O163+Karadeniz!O163+Malatya!O163+Şanlıurfa!O163+Ege!O163+Marmara1!O163+Marmara2!O163+Erzurum!O163+Konya!O163+Diyarbakır!O163+Trakya!O163+Antalya!O163+Ankara!O163+Mersin!O163</f>
        <v>0</v>
      </c>
      <c r="P163" s="1158">
        <f t="shared" si="182"/>
        <v>0</v>
      </c>
      <c r="Q163" s="1254" t="str">
        <f t="shared" si="181"/>
        <v>-</v>
      </c>
      <c r="R163" s="353">
        <f>+P163-Mersin!P163-Ankara!P163-Antalya!P163-Konya!P163-Trakya!P163-Kayseri!P163-Diyarbakır!P163-Erzurum!P163-Marmara2!P163-Marmara1!P163-Ege!P163-Malatya!P163-Karadeniz!P163-Şanlıurfa!P163</f>
        <v>0</v>
      </c>
    </row>
    <row r="164" spans="1:18">
      <c r="A164" s="476" t="s">
        <v>56</v>
      </c>
      <c r="B164" s="479">
        <f>Kayseri!B164+Karadeniz!B164+Malatya!B164+Şanlıurfa!B164+Ege!B164+Marmara1!B164+Marmara2!B164+Erzurum!B164+Konya!B164+Diyarbakır!B164+Trakya!B164+Antalya!B164+Ankara!B164+Mersin!B164</f>
        <v>0</v>
      </c>
      <c r="C164" s="479">
        <f>Kayseri!C164+Karadeniz!C164+Malatya!C164+Şanlıurfa!C164+Ege!C164+Marmara1!C164+Marmara2!C164+Erzurum!C164+Konya!C164+Diyarbakır!C164+Trakya!C164+Antalya!C164+Ankara!C164+Mersin!C164</f>
        <v>0</v>
      </c>
      <c r="D164" s="479">
        <f>Kayseri!D164+Karadeniz!D164+Malatya!D164+Şanlıurfa!D164+Ege!D164+Marmara1!D164+Marmara2!D164+Erzurum!D164+Konya!D164+Diyarbakır!D164+Trakya!D164+Antalya!D164+Ankara!D164+Mersin!D164</f>
        <v>0</v>
      </c>
      <c r="E164" s="480">
        <f>Kayseri!E164+Karadeniz!E164+Malatya!E164+Şanlıurfa!E164+Ege!E164+Marmara1!E164+Marmara2!E164+Erzurum!E164+Konya!E164+Diyarbakır!E164+Trakya!E164+Antalya!E164+Ankara!E164+Mersin!E164</f>
        <v>0</v>
      </c>
      <c r="F164" s="480">
        <f>Kayseri!F164+Karadeniz!F164+Malatya!F164+Şanlıurfa!F164+Ege!F164+Marmara1!F164+Marmara2!F164+Erzurum!F164+Konya!F164+Diyarbakır!F164+Trakya!F164+Antalya!F164+Ankara!F164+Mersin!F164</f>
        <v>0</v>
      </c>
      <c r="G164" s="480">
        <f>Kayseri!G164+Karadeniz!G164+Malatya!G164+Şanlıurfa!G164+Ege!G164+Marmara1!G164+Marmara2!G164+Erzurum!G164+Konya!G164+Diyarbakır!G164+Trakya!G164+Antalya!G164+Ankara!G164+Mersin!G164</f>
        <v>0</v>
      </c>
      <c r="H164" s="480">
        <f>Kayseri!H164+Karadeniz!H164+Malatya!H164+Şanlıurfa!H164+Ege!H164+Marmara1!H164+Marmara2!H164+Erzurum!H164+Konya!H164+Diyarbakır!H164+Trakya!H164+Antalya!H164+Ankara!H164+Mersin!H164</f>
        <v>0</v>
      </c>
      <c r="I164" s="480">
        <f>Kayseri!I164+Karadeniz!I164+Malatya!I164+Şanlıurfa!I164+Ege!I164+Marmara1!I164+Marmara2!I164+Erzurum!I164+Konya!I164+Diyarbakır!I164+Trakya!I164+Antalya!I164+Ankara!I164+Mersin!I164</f>
        <v>0</v>
      </c>
      <c r="J164" s="480">
        <f>Kayseri!J164+Karadeniz!J164+Malatya!J164+Şanlıurfa!J164+Ege!J164+Marmara1!J164+Marmara2!J164+Erzurum!J164+Konya!J164+Diyarbakır!J164+Trakya!J164+Antalya!J164+Ankara!J164+Mersin!J164</f>
        <v>0</v>
      </c>
      <c r="K164" s="480">
        <f>Kayseri!K164+Karadeniz!K164+Malatya!K164+Şanlıurfa!K164+Ege!K164+Marmara1!K164+Marmara2!K164+Erzurum!K164+Konya!K164+Diyarbakır!K164+Trakya!K164+Antalya!K164+Ankara!K164+Mersin!K164</f>
        <v>0</v>
      </c>
      <c r="L164" s="480">
        <f>Kayseri!L164+Karadeniz!L164+Malatya!L164+Şanlıurfa!L164+Ege!L164+Marmara1!L164+Marmara2!L164+Erzurum!L164+Konya!L164+Diyarbakır!L164+Trakya!L164+Antalya!L164+Ankara!L164+Mersin!L164</f>
        <v>0</v>
      </c>
      <c r="M164" s="480">
        <f>Kayseri!M164+Karadeniz!M164+Malatya!M164+Şanlıurfa!M164+Ege!M164+Marmara1!M164+Marmara2!M164+Erzurum!M164+Konya!M164+Diyarbakır!M164+Trakya!M164+Antalya!M164+Ankara!M164+Mersin!M164</f>
        <v>0</v>
      </c>
      <c r="N164" s="480">
        <f>Kayseri!N164+Karadeniz!N164+Malatya!N164+Şanlıurfa!N164+Ege!N164+Marmara1!N164+Marmara2!N164+Erzurum!N164+Konya!N164+Diyarbakır!N164+Trakya!N164+Antalya!N164+Ankara!N164+Mersin!N164</f>
        <v>0</v>
      </c>
      <c r="O164" s="481">
        <f>Kayseri!O164+Karadeniz!O164+Malatya!O164+Şanlıurfa!O164+Ege!O164+Marmara1!O164+Marmara2!O164+Erzurum!O164+Konya!O164+Diyarbakır!O164+Trakya!O164+Antalya!O164+Ankara!O164+Mersin!O164</f>
        <v>0</v>
      </c>
      <c r="P164" s="1157">
        <f t="shared" si="182"/>
        <v>0</v>
      </c>
      <c r="Q164" s="1253" t="str">
        <f t="shared" si="181"/>
        <v>-</v>
      </c>
      <c r="R164" s="353">
        <f>+P164-Mersin!P164-Ankara!P164-Antalya!P164-Konya!P164-Trakya!P164-Kayseri!P164-Diyarbakır!P164-Erzurum!P164-Marmara2!P164-Marmara1!P164-Ege!P164-Malatya!P164-Karadeniz!P164-Şanlıurfa!P164</f>
        <v>0</v>
      </c>
    </row>
    <row r="165" spans="1:18">
      <c r="A165" s="1234" t="s">
        <v>57</v>
      </c>
      <c r="B165" s="486">
        <f>Kayseri!B165+Karadeniz!B165+Malatya!B165+Şanlıurfa!B165+Ege!B165+Marmara1!B165+Marmara2!B165+Erzurum!B165+Konya!B165+Diyarbakır!B165+Trakya!B165+Antalya!B165+Ankara!B165+Mersin!B165</f>
        <v>0</v>
      </c>
      <c r="C165" s="486">
        <f>Kayseri!C165+Karadeniz!C165+Malatya!C165+Şanlıurfa!C165+Ege!C165+Marmara1!C165+Marmara2!C165+Erzurum!C165+Konya!C165+Diyarbakır!C165+Trakya!C165+Antalya!C165+Ankara!C165+Mersin!C165</f>
        <v>0</v>
      </c>
      <c r="D165" s="486">
        <f>Kayseri!D165+Karadeniz!D165+Malatya!D165+Şanlıurfa!D165+Ege!D165+Marmara1!D165+Marmara2!D165+Erzurum!D165+Konya!D165+Diyarbakır!D165+Trakya!D165+Antalya!D165+Ankara!D165+Mersin!D165</f>
        <v>0</v>
      </c>
      <c r="E165" s="487">
        <f>Kayseri!E165+Karadeniz!E165+Malatya!E165+Şanlıurfa!E165+Ege!E165+Marmara1!E165+Marmara2!E165+Erzurum!E165+Konya!E165+Diyarbakır!E165+Trakya!E165+Antalya!E165+Ankara!E165+Mersin!E165</f>
        <v>0</v>
      </c>
      <c r="F165" s="487">
        <f>Kayseri!F165+Karadeniz!F165+Malatya!F165+Şanlıurfa!F165+Ege!F165+Marmara1!F165+Marmara2!F165+Erzurum!F165+Konya!F165+Diyarbakır!F165+Trakya!F165+Antalya!F165+Ankara!F165+Mersin!F165</f>
        <v>0</v>
      </c>
      <c r="G165" s="487">
        <f>Kayseri!G165+Karadeniz!G165+Malatya!G165+Şanlıurfa!G165+Ege!G165+Marmara1!G165+Marmara2!G165+Erzurum!G165+Konya!G165+Diyarbakır!G165+Trakya!G165+Antalya!G165+Ankara!G165+Mersin!G165</f>
        <v>0</v>
      </c>
      <c r="H165" s="487">
        <f>Kayseri!H165+Karadeniz!H165+Malatya!H165+Şanlıurfa!H165+Ege!H165+Marmara1!H165+Marmara2!H165+Erzurum!H165+Konya!H165+Diyarbakır!H165+Trakya!H165+Antalya!H165+Ankara!H165+Mersin!H165</f>
        <v>0</v>
      </c>
      <c r="I165" s="487">
        <f>Kayseri!I165+Karadeniz!I165+Malatya!I165+Şanlıurfa!I165+Ege!I165+Marmara1!I165+Marmara2!I165+Erzurum!I165+Konya!I165+Diyarbakır!I165+Trakya!I165+Antalya!I165+Ankara!I165+Mersin!I165</f>
        <v>0</v>
      </c>
      <c r="J165" s="487">
        <f>Kayseri!J165+Karadeniz!J165+Malatya!J165+Şanlıurfa!J165+Ege!J165+Marmara1!J165+Marmara2!J165+Erzurum!J165+Konya!J165+Diyarbakır!J165+Trakya!J165+Antalya!J165+Ankara!J165+Mersin!J165</f>
        <v>0</v>
      </c>
      <c r="K165" s="487">
        <f>Kayseri!K165+Karadeniz!K165+Malatya!K165+Şanlıurfa!K165+Ege!K165+Marmara1!K165+Marmara2!K165+Erzurum!K165+Konya!K165+Diyarbakır!K165+Trakya!K165+Antalya!K165+Ankara!K165+Mersin!K165</f>
        <v>0</v>
      </c>
      <c r="L165" s="487">
        <f>Kayseri!L165+Karadeniz!L165+Malatya!L165+Şanlıurfa!L165+Ege!L165+Marmara1!L165+Marmara2!L165+Erzurum!L165+Konya!L165+Diyarbakır!L165+Trakya!L165+Antalya!L165+Ankara!L165+Mersin!L165</f>
        <v>0</v>
      </c>
      <c r="M165" s="487">
        <f>Kayseri!M165+Karadeniz!M165+Malatya!M165+Şanlıurfa!M165+Ege!M165+Marmara1!M165+Marmara2!M165+Erzurum!M165+Konya!M165+Diyarbakır!M165+Trakya!M165+Antalya!M165+Ankara!M165+Mersin!M165</f>
        <v>0</v>
      </c>
      <c r="N165" s="487">
        <f>Kayseri!N165+Karadeniz!N165+Malatya!N165+Şanlıurfa!N165+Ege!N165+Marmara1!N165+Marmara2!N165+Erzurum!N165+Konya!N165+Diyarbakır!N165+Trakya!N165+Antalya!N165+Ankara!N165+Mersin!N165</f>
        <v>0</v>
      </c>
      <c r="O165" s="488">
        <f>Kayseri!O165+Karadeniz!O165+Malatya!O165+Şanlıurfa!O165+Ege!O165+Marmara1!O165+Marmara2!O165+Erzurum!O165+Konya!O165+Diyarbakır!O165+Trakya!O165+Antalya!O165+Ankara!O165+Mersin!O165</f>
        <v>0</v>
      </c>
      <c r="P165" s="1158">
        <f t="shared" si="182"/>
        <v>0</v>
      </c>
      <c r="Q165" s="1254" t="str">
        <f t="shared" si="181"/>
        <v>-</v>
      </c>
      <c r="R165" s="353">
        <f>+P165-Mersin!P165-Ankara!P165-Antalya!P165-Konya!P165-Trakya!P165-Kayseri!P165-Diyarbakır!P165-Erzurum!P165-Marmara2!P165-Marmara1!P165-Ege!P165-Malatya!P165-Karadeniz!P165-Şanlıurfa!P165</f>
        <v>0</v>
      </c>
    </row>
    <row r="166" spans="1:18">
      <c r="A166" s="476" t="s">
        <v>58</v>
      </c>
      <c r="B166" s="479">
        <f>Kayseri!B166+Karadeniz!B166+Malatya!B166+Şanlıurfa!B166+Ege!B166+Marmara1!B166+Marmara2!B166+Erzurum!B166+Konya!B166+Diyarbakır!B166+Trakya!B166+Antalya!B166+Ankara!B166+Mersin!B166</f>
        <v>0</v>
      </c>
      <c r="C166" s="479">
        <f>Kayseri!C166+Karadeniz!C166+Malatya!C166+Şanlıurfa!C166+Ege!C166+Marmara1!C166+Marmara2!C166+Erzurum!C166+Konya!C166+Diyarbakır!C166+Trakya!C166+Antalya!C166+Ankara!C166+Mersin!C166</f>
        <v>0</v>
      </c>
      <c r="D166" s="479">
        <f>Kayseri!D166+Karadeniz!D166+Malatya!D166+Şanlıurfa!D166+Ege!D166+Marmara1!D166+Marmara2!D166+Erzurum!D166+Konya!D166+Diyarbakır!D166+Trakya!D166+Antalya!D166+Ankara!D166+Mersin!D166</f>
        <v>0</v>
      </c>
      <c r="E166" s="480">
        <f>Kayseri!E166+Karadeniz!E166+Malatya!E166+Şanlıurfa!E166+Ege!E166+Marmara1!E166+Marmara2!E166+Erzurum!E166+Konya!E166+Diyarbakır!E166+Trakya!E166+Antalya!E166+Ankara!E166+Mersin!E166</f>
        <v>0</v>
      </c>
      <c r="F166" s="480">
        <f>Kayseri!F166+Karadeniz!F166+Malatya!F166+Şanlıurfa!F166+Ege!F166+Marmara1!F166+Marmara2!F166+Erzurum!F166+Konya!F166+Diyarbakır!F166+Trakya!F166+Antalya!F166+Ankara!F166+Mersin!F166</f>
        <v>0</v>
      </c>
      <c r="G166" s="480">
        <f>Kayseri!G166+Karadeniz!G166+Malatya!G166+Şanlıurfa!G166+Ege!G166+Marmara1!G166+Marmara2!G166+Erzurum!G166+Konya!G166+Diyarbakır!G166+Trakya!G166+Antalya!G166+Ankara!G166+Mersin!G166</f>
        <v>0</v>
      </c>
      <c r="H166" s="480">
        <f>Kayseri!H166+Karadeniz!H166+Malatya!H166+Şanlıurfa!H166+Ege!H166+Marmara1!H166+Marmara2!H166+Erzurum!H166+Konya!H166+Diyarbakır!H166+Trakya!H166+Antalya!H166+Ankara!H166+Mersin!H166</f>
        <v>0</v>
      </c>
      <c r="I166" s="480">
        <f>Kayseri!I166+Karadeniz!I166+Malatya!I166+Şanlıurfa!I166+Ege!I166+Marmara1!I166+Marmara2!I166+Erzurum!I166+Konya!I166+Diyarbakır!I166+Trakya!I166+Antalya!I166+Ankara!I166+Mersin!I166</f>
        <v>0</v>
      </c>
      <c r="J166" s="480">
        <f>Kayseri!J166+Karadeniz!J166+Malatya!J166+Şanlıurfa!J166+Ege!J166+Marmara1!J166+Marmara2!J166+Erzurum!J166+Konya!J166+Diyarbakır!J166+Trakya!J166+Antalya!J166+Ankara!J166+Mersin!J166</f>
        <v>0</v>
      </c>
      <c r="K166" s="480">
        <f>Kayseri!K166+Karadeniz!K166+Malatya!K166+Şanlıurfa!K166+Ege!K166+Marmara1!K166+Marmara2!K166+Erzurum!K166+Konya!K166+Diyarbakır!K166+Trakya!K166+Antalya!K166+Ankara!K166+Mersin!K166</f>
        <v>0</v>
      </c>
      <c r="L166" s="480">
        <f>Kayseri!L166+Karadeniz!L166+Malatya!L166+Şanlıurfa!L166+Ege!L166+Marmara1!L166+Marmara2!L166+Erzurum!L166+Konya!L166+Diyarbakır!L166+Trakya!L166+Antalya!L166+Ankara!L166+Mersin!L166</f>
        <v>0</v>
      </c>
      <c r="M166" s="480">
        <f>Kayseri!M166+Karadeniz!M166+Malatya!M166+Şanlıurfa!M166+Ege!M166+Marmara1!M166+Marmara2!M166+Erzurum!M166+Konya!M166+Diyarbakır!M166+Trakya!M166+Antalya!M166+Ankara!M166+Mersin!M166</f>
        <v>0</v>
      </c>
      <c r="N166" s="480">
        <f>Kayseri!N166+Karadeniz!N166+Malatya!N166+Şanlıurfa!N166+Ege!N166+Marmara1!N166+Marmara2!N166+Erzurum!N166+Konya!N166+Diyarbakır!N166+Trakya!N166+Antalya!N166+Ankara!N166+Mersin!N166</f>
        <v>0</v>
      </c>
      <c r="O166" s="481">
        <f>Kayseri!O166+Karadeniz!O166+Malatya!O166+Şanlıurfa!O166+Ege!O166+Marmara1!O166+Marmara2!O166+Erzurum!O166+Konya!O166+Diyarbakır!O166+Trakya!O166+Antalya!O166+Ankara!O166+Mersin!O166</f>
        <v>0</v>
      </c>
      <c r="P166" s="1157">
        <f t="shared" si="182"/>
        <v>0</v>
      </c>
      <c r="Q166" s="1253" t="str">
        <f t="shared" si="181"/>
        <v>-</v>
      </c>
      <c r="R166" s="353">
        <f>+P166-Mersin!P166-Ankara!P166-Antalya!P166-Konya!P166-Trakya!P166-Kayseri!P166-Diyarbakır!P166-Erzurum!P166-Marmara2!P166-Marmara1!P166-Ege!P166-Malatya!P166-Karadeniz!P166-Şanlıurfa!P166</f>
        <v>0</v>
      </c>
    </row>
    <row r="167" spans="1:18">
      <c r="A167" s="1234" t="s">
        <v>59</v>
      </c>
      <c r="B167" s="486">
        <f>Kayseri!B167+Karadeniz!B167+Malatya!B167+Şanlıurfa!B167+Ege!B167+Marmara1!B167+Marmara2!B167+Erzurum!B167+Konya!B167+Diyarbakır!B167+Trakya!B167+Antalya!B167+Ankara!B167+Mersin!B167</f>
        <v>0</v>
      </c>
      <c r="C167" s="486">
        <f>Kayseri!C167+Karadeniz!C167+Malatya!C167+Şanlıurfa!C167+Ege!C167+Marmara1!C167+Marmara2!C167+Erzurum!C167+Konya!C167+Diyarbakır!C167+Trakya!C167+Antalya!C167+Ankara!C167+Mersin!C167</f>
        <v>0</v>
      </c>
      <c r="D167" s="486">
        <f>Kayseri!D167+Karadeniz!D167+Malatya!D167+Şanlıurfa!D167+Ege!D167+Marmara1!D167+Marmara2!D167+Erzurum!D167+Konya!D167+Diyarbakır!D167+Trakya!D167+Antalya!D167+Ankara!D167+Mersin!D167</f>
        <v>0</v>
      </c>
      <c r="E167" s="487">
        <f>Kayseri!E167+Karadeniz!E167+Malatya!E167+Şanlıurfa!E167+Ege!E167+Marmara1!E167+Marmara2!E167+Erzurum!E167+Konya!E167+Diyarbakır!E167+Trakya!E167+Antalya!E167+Ankara!E167+Mersin!E167</f>
        <v>0</v>
      </c>
      <c r="F167" s="487">
        <f>Kayseri!F167+Karadeniz!F167+Malatya!F167+Şanlıurfa!F167+Ege!F167+Marmara1!F167+Marmara2!F167+Erzurum!F167+Konya!F167+Diyarbakır!F167+Trakya!F167+Antalya!F167+Ankara!F167+Mersin!F167</f>
        <v>0</v>
      </c>
      <c r="G167" s="487">
        <f>Kayseri!G167+Karadeniz!G167+Malatya!G167+Şanlıurfa!G167+Ege!G167+Marmara1!G167+Marmara2!G167+Erzurum!G167+Konya!G167+Diyarbakır!G167+Trakya!G167+Antalya!G167+Ankara!G167+Mersin!G167</f>
        <v>0</v>
      </c>
      <c r="H167" s="487">
        <f>Kayseri!H167+Karadeniz!H167+Malatya!H167+Şanlıurfa!H167+Ege!H167+Marmara1!H167+Marmara2!H167+Erzurum!H167+Konya!H167+Diyarbakır!H167+Trakya!H167+Antalya!H167+Ankara!H167+Mersin!H167</f>
        <v>0</v>
      </c>
      <c r="I167" s="487">
        <f>Kayseri!I167+Karadeniz!I167+Malatya!I167+Şanlıurfa!I167+Ege!I167+Marmara1!I167+Marmara2!I167+Erzurum!I167+Konya!I167+Diyarbakır!I167+Trakya!I167+Antalya!I167+Ankara!I167+Mersin!I167</f>
        <v>0</v>
      </c>
      <c r="J167" s="487">
        <f>Kayseri!J167+Karadeniz!J167+Malatya!J167+Şanlıurfa!J167+Ege!J167+Marmara1!J167+Marmara2!J167+Erzurum!J167+Konya!J167+Diyarbakır!J167+Trakya!J167+Antalya!J167+Ankara!J167+Mersin!J167</f>
        <v>0</v>
      </c>
      <c r="K167" s="487">
        <f>Kayseri!K167+Karadeniz!K167+Malatya!K167+Şanlıurfa!K167+Ege!K167+Marmara1!K167+Marmara2!K167+Erzurum!K167+Konya!K167+Diyarbakır!K167+Trakya!K167+Antalya!K167+Ankara!K167+Mersin!K167</f>
        <v>0</v>
      </c>
      <c r="L167" s="487">
        <f>Kayseri!L167+Karadeniz!L167+Malatya!L167+Şanlıurfa!L167+Ege!L167+Marmara1!L167+Marmara2!L167+Erzurum!L167+Konya!L167+Diyarbakır!L167+Trakya!L167+Antalya!L167+Ankara!L167+Mersin!L167</f>
        <v>0</v>
      </c>
      <c r="M167" s="487">
        <f>Kayseri!M167+Karadeniz!M167+Malatya!M167+Şanlıurfa!M167+Ege!M167+Marmara1!M167+Marmara2!M167+Erzurum!M167+Konya!M167+Diyarbakır!M167+Trakya!M167+Antalya!M167+Ankara!M167+Mersin!M167</f>
        <v>0</v>
      </c>
      <c r="N167" s="487">
        <f>Kayseri!N167+Karadeniz!N167+Malatya!N167+Şanlıurfa!N167+Ege!N167+Marmara1!N167+Marmara2!N167+Erzurum!N167+Konya!N167+Diyarbakır!N167+Trakya!N167+Antalya!N167+Ankara!N167+Mersin!N167</f>
        <v>0</v>
      </c>
      <c r="O167" s="488">
        <f>Kayseri!O167+Karadeniz!O167+Malatya!O167+Şanlıurfa!O167+Ege!O167+Marmara1!O167+Marmara2!O167+Erzurum!O167+Konya!O167+Diyarbakır!O167+Trakya!O167+Antalya!O167+Ankara!O167+Mersin!O167</f>
        <v>0</v>
      </c>
      <c r="P167" s="1158">
        <f t="shared" si="182"/>
        <v>0</v>
      </c>
      <c r="Q167" s="1254" t="str">
        <f t="shared" si="181"/>
        <v>-</v>
      </c>
      <c r="R167" s="353">
        <f>+P167-Mersin!P167-Ankara!P167-Antalya!P167-Konya!P167-Trakya!P167-Kayseri!P167-Diyarbakır!P167-Erzurum!P167-Marmara2!P167-Marmara1!P167-Ege!P167-Malatya!P167-Karadeniz!P167-Şanlıurfa!P167</f>
        <v>0</v>
      </c>
    </row>
    <row r="168" spans="1:18">
      <c r="A168" s="476" t="s">
        <v>60</v>
      </c>
      <c r="B168" s="479">
        <f>Kayseri!B168+Karadeniz!B168+Malatya!B168+Şanlıurfa!B168+Ege!B168+Marmara1!B168+Marmara2!B168+Erzurum!B168+Konya!B168+Diyarbakır!B168+Trakya!B168+Antalya!B168+Ankara!B168+Mersin!B168</f>
        <v>0</v>
      </c>
      <c r="C168" s="479">
        <f>Kayseri!C168+Karadeniz!C168+Malatya!C168+Şanlıurfa!C168+Ege!C168+Marmara1!C168+Marmara2!C168+Erzurum!C168+Konya!C168+Diyarbakır!C168+Trakya!C168+Antalya!C168+Ankara!C168+Mersin!C168</f>
        <v>0</v>
      </c>
      <c r="D168" s="479">
        <f>Kayseri!D168+Karadeniz!D168+Malatya!D168+Şanlıurfa!D168+Ege!D168+Marmara1!D168+Marmara2!D168+Erzurum!D168+Konya!D168+Diyarbakır!D168+Trakya!D168+Antalya!D168+Ankara!D168+Mersin!D168</f>
        <v>0</v>
      </c>
      <c r="E168" s="480">
        <f>Kayseri!E168+Karadeniz!E168+Malatya!E168+Şanlıurfa!E168+Ege!E168+Marmara1!E168+Marmara2!E168+Erzurum!E168+Konya!E168+Diyarbakır!E168+Trakya!E168+Antalya!E168+Ankara!E168+Mersin!E168</f>
        <v>0</v>
      </c>
      <c r="F168" s="480">
        <f>Kayseri!F168+Karadeniz!F168+Malatya!F168+Şanlıurfa!F168+Ege!F168+Marmara1!F168+Marmara2!F168+Erzurum!F168+Konya!F168+Diyarbakır!F168+Trakya!F168+Antalya!F168+Ankara!F168+Mersin!F168</f>
        <v>0</v>
      </c>
      <c r="G168" s="480">
        <f>Kayseri!G168+Karadeniz!G168+Malatya!G168+Şanlıurfa!G168+Ege!G168+Marmara1!G168+Marmara2!G168+Erzurum!G168+Konya!G168+Diyarbakır!G168+Trakya!G168+Antalya!G168+Ankara!G168+Mersin!G168</f>
        <v>0</v>
      </c>
      <c r="H168" s="480">
        <f>Kayseri!H168+Karadeniz!H168+Malatya!H168+Şanlıurfa!H168+Ege!H168+Marmara1!H168+Marmara2!H168+Erzurum!H168+Konya!H168+Diyarbakır!H168+Trakya!H168+Antalya!H168+Ankara!H168+Mersin!H168</f>
        <v>0</v>
      </c>
      <c r="I168" s="480">
        <f>Kayseri!I168+Karadeniz!I168+Malatya!I168+Şanlıurfa!I168+Ege!I168+Marmara1!I168+Marmara2!I168+Erzurum!I168+Konya!I168+Diyarbakır!I168+Trakya!I168+Antalya!I168+Ankara!I168+Mersin!I168</f>
        <v>0</v>
      </c>
      <c r="J168" s="480">
        <f>Kayseri!J168+Karadeniz!J168+Malatya!J168+Şanlıurfa!J168+Ege!J168+Marmara1!J168+Marmara2!J168+Erzurum!J168+Konya!J168+Diyarbakır!J168+Trakya!J168+Antalya!J168+Ankara!J168+Mersin!J168</f>
        <v>0</v>
      </c>
      <c r="K168" s="480">
        <f>Kayseri!K168+Karadeniz!K168+Malatya!K168+Şanlıurfa!K168+Ege!K168+Marmara1!K168+Marmara2!K168+Erzurum!K168+Konya!K168+Diyarbakır!K168+Trakya!K168+Antalya!K168+Ankara!K168+Mersin!K168</f>
        <v>0</v>
      </c>
      <c r="L168" s="480">
        <f>Kayseri!L168+Karadeniz!L168+Malatya!L168+Şanlıurfa!L168+Ege!L168+Marmara1!L168+Marmara2!L168+Erzurum!L168+Konya!L168+Diyarbakır!L168+Trakya!L168+Antalya!L168+Ankara!L168+Mersin!L168</f>
        <v>0</v>
      </c>
      <c r="M168" s="480">
        <f>Kayseri!M168+Karadeniz!M168+Malatya!M168+Şanlıurfa!M168+Ege!M168+Marmara1!M168+Marmara2!M168+Erzurum!M168+Konya!M168+Diyarbakır!M168+Trakya!M168+Antalya!M168+Ankara!M168+Mersin!M168</f>
        <v>0</v>
      </c>
      <c r="N168" s="480">
        <f>Kayseri!N168+Karadeniz!N168+Malatya!N168+Şanlıurfa!N168+Ege!N168+Marmara1!N168+Marmara2!N168+Erzurum!N168+Konya!N168+Diyarbakır!N168+Trakya!N168+Antalya!N168+Ankara!N168+Mersin!N168</f>
        <v>0</v>
      </c>
      <c r="O168" s="481">
        <f>Kayseri!O168+Karadeniz!O168+Malatya!O168+Şanlıurfa!O168+Ege!O168+Marmara1!O168+Marmara2!O168+Erzurum!O168+Konya!O168+Diyarbakır!O168+Trakya!O168+Antalya!O168+Ankara!O168+Mersin!O168</f>
        <v>0</v>
      </c>
      <c r="P168" s="1157">
        <f t="shared" si="182"/>
        <v>0</v>
      </c>
      <c r="Q168" s="1253" t="str">
        <f t="shared" si="181"/>
        <v>-</v>
      </c>
      <c r="R168" s="353">
        <f>+P168-Mersin!P168-Ankara!P168-Antalya!P168-Konya!P168-Trakya!P168-Kayseri!P168-Diyarbakır!P168-Erzurum!P168-Marmara2!P168-Marmara1!P168-Ege!P168-Malatya!P168-Karadeniz!P168-Şanlıurfa!P168</f>
        <v>0</v>
      </c>
    </row>
    <row r="169" spans="1:18">
      <c r="A169" s="1234" t="s">
        <v>61</v>
      </c>
      <c r="B169" s="486">
        <f>Kayseri!B169+Karadeniz!B169+Malatya!B169+Şanlıurfa!B169+Ege!B169+Marmara1!B169+Marmara2!B169+Erzurum!B169+Konya!B169+Diyarbakır!B169+Trakya!B169+Antalya!B169+Ankara!B169+Mersin!B169</f>
        <v>0</v>
      </c>
      <c r="C169" s="486">
        <f>Kayseri!C169+Karadeniz!C169+Malatya!C169+Şanlıurfa!C169+Ege!C169+Marmara1!C169+Marmara2!C169+Erzurum!C169+Konya!C169+Diyarbakır!C169+Trakya!C169+Antalya!C169+Ankara!C169+Mersin!C169</f>
        <v>0</v>
      </c>
      <c r="D169" s="486">
        <f>Kayseri!D169+Karadeniz!D169+Malatya!D169+Şanlıurfa!D169+Ege!D169+Marmara1!D169+Marmara2!D169+Erzurum!D169+Konya!D169+Diyarbakır!D169+Trakya!D169+Antalya!D169+Ankara!D169+Mersin!D169</f>
        <v>0</v>
      </c>
      <c r="E169" s="487">
        <f>Kayseri!E169+Karadeniz!E169+Malatya!E169+Şanlıurfa!E169+Ege!E169+Marmara1!E169+Marmara2!E169+Erzurum!E169+Konya!E169+Diyarbakır!E169+Trakya!E169+Antalya!E169+Ankara!E169+Mersin!E169</f>
        <v>0</v>
      </c>
      <c r="F169" s="487">
        <f>Kayseri!F169+Karadeniz!F169+Malatya!F169+Şanlıurfa!F169+Ege!F169+Marmara1!F169+Marmara2!F169+Erzurum!F169+Konya!F169+Diyarbakır!F169+Trakya!F169+Antalya!F169+Ankara!F169+Mersin!F169</f>
        <v>0</v>
      </c>
      <c r="G169" s="487">
        <f>Kayseri!G169+Karadeniz!G169+Malatya!G169+Şanlıurfa!G169+Ege!G169+Marmara1!G169+Marmara2!G169+Erzurum!G169+Konya!G169+Diyarbakır!G169+Trakya!G169+Antalya!G169+Ankara!G169+Mersin!G169</f>
        <v>0</v>
      </c>
      <c r="H169" s="487">
        <f>Kayseri!H169+Karadeniz!H169+Malatya!H169+Şanlıurfa!H169+Ege!H169+Marmara1!H169+Marmara2!H169+Erzurum!H169+Konya!H169+Diyarbakır!H169+Trakya!H169+Antalya!H169+Ankara!H169+Mersin!H169</f>
        <v>0</v>
      </c>
      <c r="I169" s="487">
        <f>Kayseri!I169+Karadeniz!I169+Malatya!I169+Şanlıurfa!I169+Ege!I169+Marmara1!I169+Marmara2!I169+Erzurum!I169+Konya!I169+Diyarbakır!I169+Trakya!I169+Antalya!I169+Ankara!I169+Mersin!I169</f>
        <v>0</v>
      </c>
      <c r="J169" s="487">
        <f>Kayseri!J169+Karadeniz!J169+Malatya!J169+Şanlıurfa!J169+Ege!J169+Marmara1!J169+Marmara2!J169+Erzurum!J169+Konya!J169+Diyarbakır!J169+Trakya!J169+Antalya!J169+Ankara!J169+Mersin!J169</f>
        <v>0</v>
      </c>
      <c r="K169" s="487">
        <f>Kayseri!K169+Karadeniz!K169+Malatya!K169+Şanlıurfa!K169+Ege!K169+Marmara1!K169+Marmara2!K169+Erzurum!K169+Konya!K169+Diyarbakır!K169+Trakya!K169+Antalya!K169+Ankara!K169+Mersin!K169</f>
        <v>0</v>
      </c>
      <c r="L169" s="487">
        <f>Kayseri!L169+Karadeniz!L169+Malatya!L169+Şanlıurfa!L169+Ege!L169+Marmara1!L169+Marmara2!L169+Erzurum!L169+Konya!L169+Diyarbakır!L169+Trakya!L169+Antalya!L169+Ankara!L169+Mersin!L169</f>
        <v>0</v>
      </c>
      <c r="M169" s="487">
        <f>Kayseri!M169+Karadeniz!M169+Malatya!M169+Şanlıurfa!M169+Ege!M169+Marmara1!M169+Marmara2!M169+Erzurum!M169+Konya!M169+Diyarbakır!M169+Trakya!M169+Antalya!M169+Ankara!M169+Mersin!M169</f>
        <v>0</v>
      </c>
      <c r="N169" s="487">
        <f>Kayseri!N169+Karadeniz!N169+Malatya!N169+Şanlıurfa!N169+Ege!N169+Marmara1!N169+Marmara2!N169+Erzurum!N169+Konya!N169+Diyarbakır!N169+Trakya!N169+Antalya!N169+Ankara!N169+Mersin!N169</f>
        <v>0</v>
      </c>
      <c r="O169" s="488">
        <f>Kayseri!O169+Karadeniz!O169+Malatya!O169+Şanlıurfa!O169+Ege!O169+Marmara1!O169+Marmara2!O169+Erzurum!O169+Konya!O169+Diyarbakır!O169+Trakya!O169+Antalya!O169+Ankara!O169+Mersin!O169</f>
        <v>0</v>
      </c>
      <c r="P169" s="1158">
        <f t="shared" si="182"/>
        <v>0</v>
      </c>
      <c r="Q169" s="1254" t="str">
        <f t="shared" si="181"/>
        <v>-</v>
      </c>
      <c r="R169" s="353">
        <f>+P169-Mersin!P169-Ankara!P169-Antalya!P169-Konya!P169-Trakya!P169-Kayseri!P169-Diyarbakır!P169-Erzurum!P169-Marmara2!P169-Marmara1!P169-Ege!P169-Malatya!P169-Karadeniz!P169-Şanlıurfa!P169</f>
        <v>0</v>
      </c>
    </row>
    <row r="170" spans="1:18">
      <c r="A170" s="476" t="s">
        <v>62</v>
      </c>
      <c r="B170" s="479">
        <f>Kayseri!B170+Karadeniz!B170+Malatya!B170+Şanlıurfa!B170+Ege!B170+Marmara1!B170+Marmara2!B170+Erzurum!B170+Konya!B170+Diyarbakır!B170+Trakya!B170+Antalya!B170+Ankara!B170+Mersin!B170</f>
        <v>0</v>
      </c>
      <c r="C170" s="479">
        <f>Kayseri!C170+Karadeniz!C170+Malatya!C170+Şanlıurfa!C170+Ege!C170+Marmara1!C170+Marmara2!C170+Erzurum!C170+Konya!C170+Diyarbakır!C170+Trakya!C170+Antalya!C170+Ankara!C170+Mersin!C170</f>
        <v>0</v>
      </c>
      <c r="D170" s="479">
        <f>Kayseri!D170+Karadeniz!D170+Malatya!D170+Şanlıurfa!D170+Ege!D170+Marmara1!D170+Marmara2!D170+Erzurum!D170+Konya!D170+Diyarbakır!D170+Trakya!D170+Antalya!D170+Ankara!D170+Mersin!D170</f>
        <v>0</v>
      </c>
      <c r="E170" s="480">
        <f>Kayseri!E170+Karadeniz!E170+Malatya!E170+Şanlıurfa!E170+Ege!E170+Marmara1!E170+Marmara2!E170+Erzurum!E170+Konya!E170+Diyarbakır!E170+Trakya!E170+Antalya!E170+Ankara!E170+Mersin!E170</f>
        <v>0</v>
      </c>
      <c r="F170" s="480">
        <f>Kayseri!F170+Karadeniz!F170+Malatya!F170+Şanlıurfa!F170+Ege!F170+Marmara1!F170+Marmara2!F170+Erzurum!F170+Konya!F170+Diyarbakır!F170+Trakya!F170+Antalya!F170+Ankara!F170+Mersin!F170</f>
        <v>0</v>
      </c>
      <c r="G170" s="480">
        <f>Kayseri!G170+Karadeniz!G170+Malatya!G170+Şanlıurfa!G170+Ege!G170+Marmara1!G170+Marmara2!G170+Erzurum!G170+Konya!G170+Diyarbakır!G170+Trakya!G170+Antalya!G170+Ankara!G170+Mersin!G170</f>
        <v>0</v>
      </c>
      <c r="H170" s="480">
        <f>Kayseri!H170+Karadeniz!H170+Malatya!H170+Şanlıurfa!H170+Ege!H170+Marmara1!H170+Marmara2!H170+Erzurum!H170+Konya!H170+Diyarbakır!H170+Trakya!H170+Antalya!H170+Ankara!H170+Mersin!H170</f>
        <v>0</v>
      </c>
      <c r="I170" s="480">
        <f>Kayseri!I170+Karadeniz!I170+Malatya!I170+Şanlıurfa!I170+Ege!I170+Marmara1!I170+Marmara2!I170+Erzurum!I170+Konya!I170+Diyarbakır!I170+Trakya!I170+Antalya!I170+Ankara!I170+Mersin!I170</f>
        <v>0</v>
      </c>
      <c r="J170" s="480">
        <f>Kayseri!J170+Karadeniz!J170+Malatya!J170+Şanlıurfa!J170+Ege!J170+Marmara1!J170+Marmara2!J170+Erzurum!J170+Konya!J170+Diyarbakır!J170+Trakya!J170+Antalya!J170+Ankara!J170+Mersin!J170</f>
        <v>0</v>
      </c>
      <c r="K170" s="480">
        <f>Kayseri!K170+Karadeniz!K170+Malatya!K170+Şanlıurfa!K170+Ege!K170+Marmara1!K170+Marmara2!K170+Erzurum!K170+Konya!K170+Diyarbakır!K170+Trakya!K170+Antalya!K170+Ankara!K170+Mersin!K170</f>
        <v>0</v>
      </c>
      <c r="L170" s="480">
        <f>Kayseri!L170+Karadeniz!L170+Malatya!L170+Şanlıurfa!L170+Ege!L170+Marmara1!L170+Marmara2!L170+Erzurum!L170+Konya!L170+Diyarbakır!L170+Trakya!L170+Antalya!L170+Ankara!L170+Mersin!L170</f>
        <v>0</v>
      </c>
      <c r="M170" s="480">
        <f>Kayseri!M170+Karadeniz!M170+Malatya!M170+Şanlıurfa!M170+Ege!M170+Marmara1!M170+Marmara2!M170+Erzurum!M170+Konya!M170+Diyarbakır!M170+Trakya!M170+Antalya!M170+Ankara!M170+Mersin!M170</f>
        <v>0</v>
      </c>
      <c r="N170" s="480">
        <f>Kayseri!N170+Karadeniz!N170+Malatya!N170+Şanlıurfa!N170+Ege!N170+Marmara1!N170+Marmara2!N170+Erzurum!N170+Konya!N170+Diyarbakır!N170+Trakya!N170+Antalya!N170+Ankara!N170+Mersin!N170</f>
        <v>0</v>
      </c>
      <c r="O170" s="481">
        <f>Kayseri!O170+Karadeniz!O170+Malatya!O170+Şanlıurfa!O170+Ege!O170+Marmara1!O170+Marmara2!O170+Erzurum!O170+Konya!O170+Diyarbakır!O170+Trakya!O170+Antalya!O170+Ankara!O170+Mersin!O170</f>
        <v>0</v>
      </c>
      <c r="P170" s="1157">
        <f t="shared" si="182"/>
        <v>0</v>
      </c>
      <c r="Q170" s="1253" t="str">
        <f t="shared" si="181"/>
        <v>-</v>
      </c>
      <c r="R170" s="353">
        <f>+P170-Mersin!P170-Ankara!P170-Antalya!P170-Konya!P170-Trakya!P170-Kayseri!P170-Diyarbakır!P170-Erzurum!P170-Marmara2!P170-Marmara1!P170-Ege!P170-Malatya!P170-Karadeniz!P170-Şanlıurfa!P170</f>
        <v>0</v>
      </c>
    </row>
    <row r="171" spans="1:18">
      <c r="A171" s="1234" t="s">
        <v>63</v>
      </c>
      <c r="B171" s="486">
        <f>Kayseri!B171+Karadeniz!B171+Malatya!B171+Şanlıurfa!B171+Ege!B171+Marmara1!B171+Marmara2!B171+Erzurum!B171+Konya!B171+Diyarbakır!B171+Trakya!B171+Antalya!B171+Ankara!B171+Mersin!B171</f>
        <v>0</v>
      </c>
      <c r="C171" s="486">
        <f>Kayseri!C171+Karadeniz!C171+Malatya!C171+Şanlıurfa!C171+Ege!C171+Marmara1!C171+Marmara2!C171+Erzurum!C171+Konya!C171+Diyarbakır!C171+Trakya!C171+Antalya!C171+Ankara!C171+Mersin!C171</f>
        <v>0</v>
      </c>
      <c r="D171" s="486">
        <f>Kayseri!D171+Karadeniz!D171+Malatya!D171+Şanlıurfa!D171+Ege!D171+Marmara1!D171+Marmara2!D171+Erzurum!D171+Konya!D171+Diyarbakır!D171+Trakya!D171+Antalya!D171+Ankara!D171+Mersin!D171</f>
        <v>0</v>
      </c>
      <c r="E171" s="487">
        <f>Kayseri!E171+Karadeniz!E171+Malatya!E171+Şanlıurfa!E171+Ege!E171+Marmara1!E171+Marmara2!E171+Erzurum!E171+Konya!E171+Diyarbakır!E171+Trakya!E171+Antalya!E171+Ankara!E171+Mersin!E171</f>
        <v>0</v>
      </c>
      <c r="F171" s="487">
        <f>Kayseri!F171+Karadeniz!F171+Malatya!F171+Şanlıurfa!F171+Ege!F171+Marmara1!F171+Marmara2!F171+Erzurum!F171+Konya!F171+Diyarbakır!F171+Trakya!F171+Antalya!F171+Ankara!F171+Mersin!F171</f>
        <v>0</v>
      </c>
      <c r="G171" s="487">
        <f>Kayseri!G171+Karadeniz!G171+Malatya!G171+Şanlıurfa!G171+Ege!G171+Marmara1!G171+Marmara2!G171+Erzurum!G171+Konya!G171+Diyarbakır!G171+Trakya!G171+Antalya!G171+Ankara!G171+Mersin!G171</f>
        <v>0</v>
      </c>
      <c r="H171" s="487">
        <f>Kayseri!H171+Karadeniz!H171+Malatya!H171+Şanlıurfa!H171+Ege!H171+Marmara1!H171+Marmara2!H171+Erzurum!H171+Konya!H171+Diyarbakır!H171+Trakya!H171+Antalya!H171+Ankara!H171+Mersin!H171</f>
        <v>0</v>
      </c>
      <c r="I171" s="487">
        <f>Kayseri!I171+Karadeniz!I171+Malatya!I171+Şanlıurfa!I171+Ege!I171+Marmara1!I171+Marmara2!I171+Erzurum!I171+Konya!I171+Diyarbakır!I171+Trakya!I171+Antalya!I171+Ankara!I171+Mersin!I171</f>
        <v>0</v>
      </c>
      <c r="J171" s="487">
        <f>Kayseri!J171+Karadeniz!J171+Malatya!J171+Şanlıurfa!J171+Ege!J171+Marmara1!J171+Marmara2!J171+Erzurum!J171+Konya!J171+Diyarbakır!J171+Trakya!J171+Antalya!J171+Ankara!J171+Mersin!J171</f>
        <v>0</v>
      </c>
      <c r="K171" s="487">
        <f>Kayseri!K171+Karadeniz!K171+Malatya!K171+Şanlıurfa!K171+Ege!K171+Marmara1!K171+Marmara2!K171+Erzurum!K171+Konya!K171+Diyarbakır!K171+Trakya!K171+Antalya!K171+Ankara!K171+Mersin!K171</f>
        <v>0</v>
      </c>
      <c r="L171" s="487">
        <f>Kayseri!L171+Karadeniz!L171+Malatya!L171+Şanlıurfa!L171+Ege!L171+Marmara1!L171+Marmara2!L171+Erzurum!L171+Konya!L171+Diyarbakır!L171+Trakya!L171+Antalya!L171+Ankara!L171+Mersin!L171</f>
        <v>0</v>
      </c>
      <c r="M171" s="487">
        <f>Kayseri!M171+Karadeniz!M171+Malatya!M171+Şanlıurfa!M171+Ege!M171+Marmara1!M171+Marmara2!M171+Erzurum!M171+Konya!M171+Diyarbakır!M171+Trakya!M171+Antalya!M171+Ankara!M171+Mersin!M171</f>
        <v>0</v>
      </c>
      <c r="N171" s="487">
        <f>Kayseri!N171+Karadeniz!N171+Malatya!N171+Şanlıurfa!N171+Ege!N171+Marmara1!N171+Marmara2!N171+Erzurum!N171+Konya!N171+Diyarbakır!N171+Trakya!N171+Antalya!N171+Ankara!N171+Mersin!N171</f>
        <v>0</v>
      </c>
      <c r="O171" s="488">
        <f>Kayseri!O171+Karadeniz!O171+Malatya!O171+Şanlıurfa!O171+Ege!O171+Marmara1!O171+Marmara2!O171+Erzurum!O171+Konya!O171+Diyarbakır!O171+Trakya!O171+Antalya!O171+Ankara!O171+Mersin!O171</f>
        <v>0</v>
      </c>
      <c r="P171" s="1158">
        <f t="shared" si="182"/>
        <v>0</v>
      </c>
      <c r="Q171" s="1254" t="str">
        <f t="shared" si="181"/>
        <v>-</v>
      </c>
      <c r="R171" s="353">
        <f>+P171-Mersin!P171-Ankara!P171-Antalya!P171-Konya!P171-Trakya!P171-Kayseri!P171-Diyarbakır!P171-Erzurum!P171-Marmara2!P171-Marmara1!P171-Ege!P171-Malatya!P171-Karadeniz!P171-Şanlıurfa!P171</f>
        <v>0</v>
      </c>
    </row>
    <row r="172" spans="1:18">
      <c r="A172" s="476" t="s">
        <v>66</v>
      </c>
      <c r="B172" s="479">
        <f>Kayseri!B172+Karadeniz!B172+Malatya!B172+Şanlıurfa!B172+Ege!B172+Marmara1!B172+Marmara2!B172+Erzurum!B172+Konya!B172+Diyarbakır!B172+Trakya!B172+Antalya!B172+Ankara!B172+Mersin!B172</f>
        <v>0</v>
      </c>
      <c r="C172" s="479">
        <f>Kayseri!C172+Karadeniz!C172+Malatya!C172+Şanlıurfa!C172+Ege!C172+Marmara1!C172+Marmara2!C172+Erzurum!C172+Konya!C172+Diyarbakır!C172+Trakya!C172+Antalya!C172+Ankara!C172+Mersin!C172</f>
        <v>0</v>
      </c>
      <c r="D172" s="479">
        <f>Kayseri!D172+Karadeniz!D172+Malatya!D172+Şanlıurfa!D172+Ege!D172+Marmara1!D172+Marmara2!D172+Erzurum!D172+Konya!D172+Diyarbakır!D172+Trakya!D172+Antalya!D172+Ankara!D172+Mersin!D172</f>
        <v>0</v>
      </c>
      <c r="E172" s="480">
        <f>Kayseri!E172+Karadeniz!E172+Malatya!E172+Şanlıurfa!E172+Ege!E172+Marmara1!E172+Marmara2!E172+Erzurum!E172+Konya!E172+Diyarbakır!E172+Trakya!E172+Antalya!E172+Ankara!E172+Mersin!E172</f>
        <v>0</v>
      </c>
      <c r="F172" s="480">
        <f>Kayseri!F172+Karadeniz!F172+Malatya!F172+Şanlıurfa!F172+Ege!F172+Marmara1!F172+Marmara2!F172+Erzurum!F172+Konya!F172+Diyarbakır!F172+Trakya!F172+Antalya!F172+Ankara!F172+Mersin!F172</f>
        <v>0</v>
      </c>
      <c r="G172" s="480">
        <f>Kayseri!G172+Karadeniz!G172+Malatya!G172+Şanlıurfa!G172+Ege!G172+Marmara1!G172+Marmara2!G172+Erzurum!G172+Konya!G172+Diyarbakır!G172+Trakya!G172+Antalya!G172+Ankara!G172+Mersin!G172</f>
        <v>0</v>
      </c>
      <c r="H172" s="480">
        <f>Kayseri!H172+Karadeniz!H172+Malatya!H172+Şanlıurfa!H172+Ege!H172+Marmara1!H172+Marmara2!H172+Erzurum!H172+Konya!H172+Diyarbakır!H172+Trakya!H172+Antalya!H172+Ankara!H172+Mersin!H172</f>
        <v>0</v>
      </c>
      <c r="I172" s="480">
        <f>Kayseri!I172+Karadeniz!I172+Malatya!I172+Şanlıurfa!I172+Ege!I172+Marmara1!I172+Marmara2!I172+Erzurum!I172+Konya!I172+Diyarbakır!I172+Trakya!I172+Antalya!I172+Ankara!I172+Mersin!I172</f>
        <v>0</v>
      </c>
      <c r="J172" s="480">
        <f>Kayseri!J172+Karadeniz!J172+Malatya!J172+Şanlıurfa!J172+Ege!J172+Marmara1!J172+Marmara2!J172+Erzurum!J172+Konya!J172+Diyarbakır!J172+Trakya!J172+Antalya!J172+Ankara!J172+Mersin!J172</f>
        <v>0</v>
      </c>
      <c r="K172" s="480">
        <f>Kayseri!K172+Karadeniz!K172+Malatya!K172+Şanlıurfa!K172+Ege!K172+Marmara1!K172+Marmara2!K172+Erzurum!K172+Konya!K172+Diyarbakır!K172+Trakya!K172+Antalya!K172+Ankara!K172+Mersin!K172</f>
        <v>0</v>
      </c>
      <c r="L172" s="480">
        <f>Kayseri!L172+Karadeniz!L172+Malatya!L172+Şanlıurfa!L172+Ege!L172+Marmara1!L172+Marmara2!L172+Erzurum!L172+Konya!L172+Diyarbakır!L172+Trakya!L172+Antalya!L172+Ankara!L172+Mersin!L172</f>
        <v>0</v>
      </c>
      <c r="M172" s="480">
        <f>Kayseri!M172+Karadeniz!M172+Malatya!M172+Şanlıurfa!M172+Ege!M172+Marmara1!M172+Marmara2!M172+Erzurum!M172+Konya!M172+Diyarbakır!M172+Trakya!M172+Antalya!M172+Ankara!M172+Mersin!M172</f>
        <v>0</v>
      </c>
      <c r="N172" s="480">
        <f>Kayseri!N172+Karadeniz!N172+Malatya!N172+Şanlıurfa!N172+Ege!N172+Marmara1!N172+Marmara2!N172+Erzurum!N172+Konya!N172+Diyarbakır!N172+Trakya!N172+Antalya!N172+Ankara!N172+Mersin!N172</f>
        <v>0</v>
      </c>
      <c r="O172" s="481">
        <f>Kayseri!O172+Karadeniz!O172+Malatya!O172+Şanlıurfa!O172+Ege!O172+Marmara1!O172+Marmara2!O172+Erzurum!O172+Konya!O172+Diyarbakır!O172+Trakya!O172+Antalya!O172+Ankara!O172+Mersin!O172</f>
        <v>0</v>
      </c>
      <c r="P172" s="1157">
        <f t="shared" si="182"/>
        <v>0</v>
      </c>
      <c r="Q172" s="1253" t="str">
        <f t="shared" si="181"/>
        <v>-</v>
      </c>
      <c r="R172" s="353">
        <f>+P172-Mersin!P172-Ankara!P172-Antalya!P172-Konya!P172-Trakya!P172-Kayseri!P172-Diyarbakır!P172-Erzurum!P172-Marmara2!P172-Marmara1!P172-Ege!P172-Malatya!P172-Karadeniz!P172-Şanlıurfa!P172</f>
        <v>0</v>
      </c>
    </row>
    <row r="173" spans="1:18" ht="15" thickBot="1">
      <c r="A173" s="1235" t="s">
        <v>64</v>
      </c>
      <c r="B173" s="493">
        <f>Kayseri!B173+Karadeniz!B173+Malatya!B173+Şanlıurfa!B173+Ege!B173+Marmara1!B173+Marmara2!B173+Erzurum!B173+Konya!B173+Diyarbakır!B173+Trakya!B173+Antalya!B173+Ankara!B173+Mersin!B173</f>
        <v>0</v>
      </c>
      <c r="C173" s="493">
        <f>Kayseri!C173+Karadeniz!C173+Malatya!C173+Şanlıurfa!C173+Ege!C173+Marmara1!C173+Marmara2!C173+Erzurum!C173+Konya!C173+Diyarbakır!C173+Trakya!C173+Antalya!C173+Ankara!C173+Mersin!C173</f>
        <v>0</v>
      </c>
      <c r="D173" s="493">
        <f>Kayseri!D173+Karadeniz!D173+Malatya!D173+Şanlıurfa!D173+Ege!D173+Marmara1!D173+Marmara2!D173+Erzurum!D173+Konya!D173+Diyarbakır!D173+Trakya!D173+Antalya!D173+Ankara!D173+Mersin!D173</f>
        <v>0</v>
      </c>
      <c r="E173" s="494">
        <f>Kayseri!E173+Karadeniz!E173+Malatya!E173+Şanlıurfa!E173+Ege!E173+Marmara1!E173+Marmara2!E173+Erzurum!E173+Konya!E173+Diyarbakır!E173+Trakya!E173+Antalya!E173+Ankara!E173+Mersin!E173</f>
        <v>0</v>
      </c>
      <c r="F173" s="494">
        <f>Kayseri!F173+Karadeniz!F173+Malatya!F173+Şanlıurfa!F173+Ege!F173+Marmara1!F173+Marmara2!F173+Erzurum!F173+Konya!F173+Diyarbakır!F173+Trakya!F173+Antalya!F173+Ankara!F173+Mersin!F173</f>
        <v>0</v>
      </c>
      <c r="G173" s="494">
        <f>Kayseri!G173+Karadeniz!G173+Malatya!G173+Şanlıurfa!G173+Ege!G173+Marmara1!G173+Marmara2!G173+Erzurum!G173+Konya!G173+Diyarbakır!G173+Trakya!G173+Antalya!G173+Ankara!G173+Mersin!G173</f>
        <v>0</v>
      </c>
      <c r="H173" s="494">
        <f>Kayseri!H173+Karadeniz!H173+Malatya!H173+Şanlıurfa!H173+Ege!H173+Marmara1!H173+Marmara2!H173+Erzurum!H173+Konya!H173+Diyarbakır!H173+Trakya!H173+Antalya!H173+Ankara!H173+Mersin!H173</f>
        <v>0</v>
      </c>
      <c r="I173" s="494">
        <f>Kayseri!I173+Karadeniz!I173+Malatya!I173+Şanlıurfa!I173+Ege!I173+Marmara1!I173+Marmara2!I173+Erzurum!I173+Konya!I173+Diyarbakır!I173+Trakya!I173+Antalya!I173+Ankara!I173+Mersin!I173</f>
        <v>0</v>
      </c>
      <c r="J173" s="494">
        <f>Kayseri!J173+Karadeniz!J173+Malatya!J173+Şanlıurfa!J173+Ege!J173+Marmara1!J173+Marmara2!J173+Erzurum!J173+Konya!J173+Diyarbakır!J173+Trakya!J173+Antalya!J173+Ankara!J173+Mersin!J173</f>
        <v>0</v>
      </c>
      <c r="K173" s="494">
        <f>Kayseri!K173+Karadeniz!K173+Malatya!K173+Şanlıurfa!K173+Ege!K173+Marmara1!K173+Marmara2!K173+Erzurum!K173+Konya!K173+Diyarbakır!K173+Trakya!K173+Antalya!K173+Ankara!K173+Mersin!K173</f>
        <v>0</v>
      </c>
      <c r="L173" s="494">
        <f>Kayseri!L173+Karadeniz!L173+Malatya!L173+Şanlıurfa!L173+Ege!L173+Marmara1!L173+Marmara2!L173+Erzurum!L173+Konya!L173+Diyarbakır!L173+Trakya!L173+Antalya!L173+Ankara!L173+Mersin!L173</f>
        <v>0</v>
      </c>
      <c r="M173" s="494">
        <f>Kayseri!M173+Karadeniz!M173+Malatya!M173+Şanlıurfa!M173+Ege!M173+Marmara1!M173+Marmara2!M173+Erzurum!M173+Konya!M173+Diyarbakır!M173+Trakya!M173+Antalya!M173+Ankara!M173+Mersin!M173</f>
        <v>0</v>
      </c>
      <c r="N173" s="494">
        <f>Kayseri!N173+Karadeniz!N173+Malatya!N173+Şanlıurfa!N173+Ege!N173+Marmara1!N173+Marmara2!N173+Erzurum!N173+Konya!N173+Diyarbakır!N173+Trakya!N173+Antalya!N173+Ankara!N173+Mersin!N173</f>
        <v>0</v>
      </c>
      <c r="O173" s="495">
        <f>Kayseri!O173+Karadeniz!O173+Malatya!O173+Şanlıurfa!O173+Ege!O173+Marmara1!O173+Marmara2!O173+Erzurum!O173+Konya!O173+Diyarbakır!O173+Trakya!O173+Antalya!O173+Ankara!O173+Mersin!O173</f>
        <v>0</v>
      </c>
      <c r="P173" s="1256">
        <f t="shared" si="182"/>
        <v>0</v>
      </c>
      <c r="Q173" s="1255" t="str">
        <f t="shared" si="181"/>
        <v>-</v>
      </c>
      <c r="R173" s="353">
        <f>+P173-Mersin!P173-Ankara!P173-Antalya!P173-Konya!P173-Trakya!P173-Kayseri!P173-Diyarbakır!P173-Erzurum!P173-Marmara2!P173-Marmara1!P173-Ege!P173-Malatya!P173-Karadeniz!P173-Şanlıurfa!P173</f>
        <v>0</v>
      </c>
    </row>
    <row r="174" spans="1:18" ht="15" thickBot="1">
      <c r="R174" s="353">
        <f>+P174-Mersin!P174-Ankara!P174-Antalya!P174-Konya!P174-Trakya!P174-Kayseri!P174-Diyarbakır!P174-Erzurum!P174-Marmara2!P174-Marmara1!P174-Ege!P174-Malatya!P174-Karadeniz!P174-Şanlıurfa!P174</f>
        <v>0</v>
      </c>
    </row>
    <row r="175" spans="1:18" ht="33" customHeight="1" thickBot="1">
      <c r="A175" s="354"/>
      <c r="B175" s="2372" t="s">
        <v>662</v>
      </c>
      <c r="C175" s="2373"/>
      <c r="D175" s="2374" t="s">
        <v>702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  <c r="R175" s="353">
        <f>+P175-Mersin!P175-Ankara!P175-Antalya!P175-Konya!P175-Trakya!P175-Kayseri!P175-Diyarbakır!P175-Erzurum!P175-Marmara2!P175-Marmara1!P175-Ege!P175-Malatya!P175-Karadeniz!P175-Şanlıurfa!P175</f>
        <v>0</v>
      </c>
    </row>
    <row r="176" spans="1:18" ht="30.75" customHeight="1" thickBot="1">
      <c r="A176" s="498"/>
      <c r="B176" s="357" t="s">
        <v>704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  <c r="R176" s="353" t="e">
        <f>+P176-Mersin!P176-Ankara!P176-Antalya!P176-Konya!P176-Trakya!P176-Kayseri!P176-Diyarbakır!P176-Erzurum!P176-Marmara2!P176-Marmara1!P176-Ege!P176-Malatya!P176-Karadeniz!P176-Şanlıurfa!P176</f>
        <v>#VALUE!</v>
      </c>
    </row>
    <row r="177" spans="1:18" ht="21" customHeight="1">
      <c r="A177" s="502" t="s">
        <v>68</v>
      </c>
      <c r="B177" s="1920">
        <f t="shared" ref="B177:C177" si="183">B44</f>
        <v>0</v>
      </c>
      <c r="C177" s="504">
        <f t="shared" si="183"/>
        <v>0</v>
      </c>
      <c r="D177" s="505">
        <f t="shared" ref="D177:P177" si="184">D44</f>
        <v>0</v>
      </c>
      <c r="E177" s="472">
        <f t="shared" si="184"/>
        <v>0</v>
      </c>
      <c r="F177" s="472">
        <f t="shared" si="184"/>
        <v>0</v>
      </c>
      <c r="G177" s="472">
        <f t="shared" si="184"/>
        <v>0</v>
      </c>
      <c r="H177" s="472">
        <f t="shared" si="184"/>
        <v>0</v>
      </c>
      <c r="I177" s="472">
        <f t="shared" si="184"/>
        <v>0</v>
      </c>
      <c r="J177" s="472">
        <f t="shared" si="184"/>
        <v>0</v>
      </c>
      <c r="K177" s="472">
        <f t="shared" si="184"/>
        <v>0</v>
      </c>
      <c r="L177" s="472">
        <f t="shared" si="184"/>
        <v>0</v>
      </c>
      <c r="M177" s="472">
        <f t="shared" si="184"/>
        <v>0</v>
      </c>
      <c r="N177" s="472">
        <f t="shared" si="184"/>
        <v>0</v>
      </c>
      <c r="O177" s="473">
        <f t="shared" si="184"/>
        <v>0</v>
      </c>
      <c r="P177" s="1156">
        <f t="shared" si="184"/>
        <v>0</v>
      </c>
      <c r="Q177" s="1257" t="str">
        <f>IF(P177=0,"-",P177/C177-1)</f>
        <v>-</v>
      </c>
      <c r="R177" s="353">
        <f>+P177-Mersin!P177-Ankara!P177-Antalya!P177-Konya!P177-Trakya!P177-Kayseri!P177-Diyarbakır!P177-Erzurum!P177-Marmara2!P177-Marmara1!P177-Ege!P177-Malatya!P177-Karadeniz!P177-Şanlıurfa!P177</f>
        <v>0</v>
      </c>
    </row>
    <row r="178" spans="1:18" ht="21" customHeight="1">
      <c r="A178" s="476" t="s">
        <v>69</v>
      </c>
      <c r="B178" s="1921">
        <f t="shared" ref="B178:C178" si="185">B67</f>
        <v>0</v>
      </c>
      <c r="C178" s="508">
        <f t="shared" si="185"/>
        <v>0</v>
      </c>
      <c r="D178" s="509">
        <f t="shared" ref="D178:P178" si="186">D67</f>
        <v>0</v>
      </c>
      <c r="E178" s="480">
        <f t="shared" si="186"/>
        <v>0</v>
      </c>
      <c r="F178" s="480">
        <f t="shared" si="186"/>
        <v>0</v>
      </c>
      <c r="G178" s="480">
        <f t="shared" si="186"/>
        <v>0</v>
      </c>
      <c r="H178" s="480">
        <f t="shared" si="186"/>
        <v>0</v>
      </c>
      <c r="I178" s="480">
        <f t="shared" si="186"/>
        <v>0</v>
      </c>
      <c r="J178" s="480">
        <f t="shared" si="186"/>
        <v>0</v>
      </c>
      <c r="K178" s="480">
        <f t="shared" si="186"/>
        <v>0</v>
      </c>
      <c r="L178" s="480">
        <f t="shared" si="186"/>
        <v>0</v>
      </c>
      <c r="M178" s="480">
        <f t="shared" si="186"/>
        <v>0</v>
      </c>
      <c r="N178" s="480">
        <f t="shared" si="186"/>
        <v>0</v>
      </c>
      <c r="O178" s="481">
        <f t="shared" si="186"/>
        <v>0</v>
      </c>
      <c r="P178" s="1157">
        <f t="shared" si="186"/>
        <v>0</v>
      </c>
      <c r="Q178" s="1149" t="str">
        <f t="shared" ref="Q178:Q186" si="187">IF(P178=0,"-",P178/C178-1)</f>
        <v>-</v>
      </c>
      <c r="R178" s="353">
        <f>+P178-Mersin!P178-Ankara!P178-Antalya!P178-Konya!P178-Trakya!P178-Kayseri!P178-Diyarbakır!P178-Erzurum!P178-Marmara2!P178-Marmara1!P178-Ege!P178-Malatya!P178-Karadeniz!P178-Şanlıurfa!P178</f>
        <v>0</v>
      </c>
    </row>
    <row r="179" spans="1:18" ht="21" customHeight="1">
      <c r="A179" s="483" t="s">
        <v>512</v>
      </c>
      <c r="B179" s="1824">
        <f>Kayseri!B179+Karadeniz!B179+Malatya!B179+Şanlıurfa!B179+Ege!B179+Marmara1!B179+Marmara2!B179+Erzurum!B179+Konya!B179+Diyarbakır!B179+Trakya!B179+Antalya!B179+Ankara!B179+Mersin!B179</f>
        <v>0</v>
      </c>
      <c r="C179" s="1828">
        <f>Kayseri!C179+Karadeniz!C179+Malatya!C179+Şanlıurfa!C179+Ege!C179+Marmara1!C179+Marmara2!C179+Erzurum!C179+Konya!C179+Diyarbakır!C179+Trakya!C179+Antalya!C179+Ankara!C179+Mersin!C179</f>
        <v>0</v>
      </c>
      <c r="D179" s="1824">
        <f>Kayseri!D179+Karadeniz!D179+Malatya!D179+Şanlıurfa!D179+Ege!D179+Marmara1!D179+Marmara2!D179+Erzurum!D179+Konya!D179+Diyarbakır!D179+Trakya!D179+Antalya!D179+Ankara!D179+Mersin!D179</f>
        <v>0</v>
      </c>
      <c r="E179" s="1825">
        <f>Kayseri!E179+Karadeniz!E179+Malatya!E179+Şanlıurfa!E179+Ege!E179+Marmara1!E179+Marmara2!E179+Erzurum!E179+Konya!E179+Diyarbakır!E179+Trakya!E179+Antalya!E179+Ankara!E179+Mersin!E179</f>
        <v>0</v>
      </c>
      <c r="F179" s="1825">
        <f>Kayseri!F179+Karadeniz!F179+Malatya!F179+Şanlıurfa!F179+Ege!F179+Marmara1!F179+Marmara2!F179+Erzurum!F179+Konya!F179+Diyarbakır!F179+Trakya!F179+Antalya!F179+Ankara!F179+Mersin!F179</f>
        <v>0</v>
      </c>
      <c r="G179" s="1825">
        <f>Kayseri!G179+Karadeniz!G179+Malatya!G179+Şanlıurfa!G179+Ege!G179+Marmara1!G179+Marmara2!G179+Erzurum!G179+Konya!G179+Diyarbakır!G179+Trakya!G179+Antalya!G179+Ankara!G179+Mersin!G179</f>
        <v>0</v>
      </c>
      <c r="H179" s="1825">
        <f>Kayseri!H179+Karadeniz!H179+Malatya!H179+Şanlıurfa!H179+Ege!H179+Marmara1!H179+Marmara2!H179+Erzurum!H179+Konya!H179+Diyarbakır!H179+Trakya!H179+Antalya!H179+Ankara!H179+Mersin!H179</f>
        <v>0</v>
      </c>
      <c r="I179" s="1825">
        <f>Kayseri!I179+Karadeniz!I179+Malatya!I179+Şanlıurfa!I179+Ege!I179+Marmara1!I179+Marmara2!I179+Erzurum!I179+Konya!I179+Diyarbakır!I179+Trakya!I179+Antalya!I179+Ankara!I179+Mersin!I179</f>
        <v>0</v>
      </c>
      <c r="J179" s="1825">
        <f>Kayseri!J179+Karadeniz!J179+Malatya!J179+Şanlıurfa!J179+Ege!J179+Marmara1!J179+Marmara2!J179+Erzurum!J179+Konya!J179+Diyarbakır!J179+Trakya!J179+Antalya!J179+Ankara!J179+Mersin!J179</f>
        <v>0</v>
      </c>
      <c r="K179" s="1825">
        <f>Kayseri!K179+Karadeniz!K179+Malatya!K179+Şanlıurfa!K179+Ege!K179+Marmara1!K179+Marmara2!K179+Erzurum!K179+Konya!K179+Diyarbakır!K179+Trakya!K179+Antalya!K179+Ankara!K179+Mersin!K179</f>
        <v>0</v>
      </c>
      <c r="L179" s="1825">
        <f>Kayseri!L179+Karadeniz!L179+Malatya!L179+Şanlıurfa!L179+Ege!L179+Marmara1!L179+Marmara2!L179+Erzurum!L179+Konya!L179+Diyarbakır!L179+Trakya!L179+Antalya!L179+Ankara!L179+Mersin!L179</f>
        <v>0</v>
      </c>
      <c r="M179" s="1825">
        <f>Kayseri!M179+Karadeniz!M179+Malatya!M179+Şanlıurfa!M179+Ege!M179+Marmara1!M179+Marmara2!M179+Erzurum!M179+Konya!M179+Diyarbakır!M179+Trakya!M179+Antalya!M179+Ankara!M179+Mersin!M179</f>
        <v>0</v>
      </c>
      <c r="N179" s="1825">
        <f>Kayseri!N179+Karadeniz!N179+Malatya!N179+Şanlıurfa!N179+Ege!N179+Marmara1!N179+Marmara2!N179+Erzurum!N179+Konya!N179+Diyarbakır!N179+Trakya!N179+Antalya!N179+Ankara!N179+Mersin!N179</f>
        <v>0</v>
      </c>
      <c r="O179" s="1826">
        <f>Kayseri!O179+Karadeniz!O179+Malatya!O179+Şanlıurfa!O179+Ege!O179+Marmara1!O179+Marmara2!O179+Erzurum!O179+Konya!O179+Diyarbakır!O179+Trakya!O179+Antalya!O179+Ankara!O179+Mersin!O179</f>
        <v>0</v>
      </c>
      <c r="P179" s="1827">
        <f t="shared" ref="P179" si="188">SUM(D179:O179)</f>
        <v>0</v>
      </c>
      <c r="Q179" s="514" t="str">
        <f t="shared" si="187"/>
        <v>-</v>
      </c>
      <c r="R179" s="353">
        <f>+P179-Mersin!P179-Ankara!P179-Antalya!P179-Konya!P179-Trakya!P179-Kayseri!P179-Diyarbakır!P179-Erzurum!P179-Marmara2!P179-Marmara1!P179-Ege!P179-Malatya!P179-Karadeniz!P179-Şanlıurfa!P179</f>
        <v>0</v>
      </c>
    </row>
    <row r="180" spans="1:18" ht="21" customHeight="1">
      <c r="A180" s="483" t="s">
        <v>70</v>
      </c>
      <c r="B180" s="1922">
        <f>B90-B179</f>
        <v>0</v>
      </c>
      <c r="C180" s="512">
        <f t="shared" ref="C180:P180" si="189">C90-C179</f>
        <v>0</v>
      </c>
      <c r="D180" s="513">
        <f t="shared" si="189"/>
        <v>0</v>
      </c>
      <c r="E180" s="487">
        <f t="shared" si="189"/>
        <v>0</v>
      </c>
      <c r="F180" s="487">
        <f t="shared" si="189"/>
        <v>0</v>
      </c>
      <c r="G180" s="487">
        <f t="shared" si="189"/>
        <v>0</v>
      </c>
      <c r="H180" s="487">
        <f t="shared" si="189"/>
        <v>0</v>
      </c>
      <c r="I180" s="487">
        <f t="shared" si="189"/>
        <v>0</v>
      </c>
      <c r="J180" s="487">
        <f t="shared" si="189"/>
        <v>0</v>
      </c>
      <c r="K180" s="487">
        <f t="shared" si="189"/>
        <v>0</v>
      </c>
      <c r="L180" s="487">
        <f t="shared" si="189"/>
        <v>0</v>
      </c>
      <c r="M180" s="487">
        <f t="shared" si="189"/>
        <v>0</v>
      </c>
      <c r="N180" s="487">
        <f t="shared" si="189"/>
        <v>0</v>
      </c>
      <c r="O180" s="488">
        <f t="shared" si="189"/>
        <v>0</v>
      </c>
      <c r="P180" s="1158">
        <f t="shared" si="189"/>
        <v>0</v>
      </c>
      <c r="Q180" s="1148" t="str">
        <f>IF(P180=0,"-",P180/C180-1)</f>
        <v>-</v>
      </c>
      <c r="R180" s="353">
        <f>+P180-Mersin!P180-Ankara!P180-Antalya!P180-Konya!P180-Trakya!P180-Kayseri!P180-Diyarbakır!P180-Erzurum!P180-Marmara2!P180-Marmara1!P180-Ege!P180-Malatya!P180-Karadeniz!P180-Şanlıurfa!P180</f>
        <v>0</v>
      </c>
    </row>
    <row r="181" spans="1:18" ht="21" customHeight="1">
      <c r="A181" s="476" t="s">
        <v>71</v>
      </c>
      <c r="B181" s="1921">
        <f>B113</f>
        <v>0</v>
      </c>
      <c r="C181" s="508">
        <f t="shared" ref="C181" si="190">C113</f>
        <v>0</v>
      </c>
      <c r="D181" s="509">
        <f t="shared" ref="D181:P181" si="191">D113</f>
        <v>0</v>
      </c>
      <c r="E181" s="480">
        <f t="shared" si="191"/>
        <v>0</v>
      </c>
      <c r="F181" s="480">
        <f t="shared" si="191"/>
        <v>0</v>
      </c>
      <c r="G181" s="480">
        <f t="shared" si="191"/>
        <v>0</v>
      </c>
      <c r="H181" s="480">
        <f t="shared" si="191"/>
        <v>0</v>
      </c>
      <c r="I181" s="480">
        <f t="shared" si="191"/>
        <v>0</v>
      </c>
      <c r="J181" s="480">
        <f t="shared" si="191"/>
        <v>0</v>
      </c>
      <c r="K181" s="480">
        <f t="shared" si="191"/>
        <v>0</v>
      </c>
      <c r="L181" s="480">
        <f t="shared" si="191"/>
        <v>0</v>
      </c>
      <c r="M181" s="480">
        <f t="shared" si="191"/>
        <v>0</v>
      </c>
      <c r="N181" s="480">
        <f t="shared" si="191"/>
        <v>0</v>
      </c>
      <c r="O181" s="481">
        <f t="shared" si="191"/>
        <v>0</v>
      </c>
      <c r="P181" s="1157">
        <f t="shared" si="191"/>
        <v>0</v>
      </c>
      <c r="Q181" s="1149" t="str">
        <f t="shared" si="187"/>
        <v>-</v>
      </c>
      <c r="R181" s="353">
        <f>+P181-Mersin!P181-Ankara!P181-Antalya!P181-Konya!P181-Trakya!P181-Kayseri!P181-Diyarbakır!P181-Erzurum!P181-Marmara2!P181-Marmara1!P181-Ege!P181-Malatya!P181-Karadeniz!P181-Şanlıurfa!P181</f>
        <v>0</v>
      </c>
    </row>
    <row r="182" spans="1:18" ht="21" customHeight="1">
      <c r="A182" s="483" t="s">
        <v>36</v>
      </c>
      <c r="B182" s="1922">
        <f>B136</f>
        <v>0</v>
      </c>
      <c r="C182" s="512">
        <f t="shared" ref="C182" si="192">C136</f>
        <v>0</v>
      </c>
      <c r="D182" s="513">
        <f t="shared" ref="D182:P182" si="193">D136</f>
        <v>0</v>
      </c>
      <c r="E182" s="487">
        <f t="shared" si="193"/>
        <v>0</v>
      </c>
      <c r="F182" s="487">
        <f t="shared" si="193"/>
        <v>0</v>
      </c>
      <c r="G182" s="487">
        <f t="shared" si="193"/>
        <v>0</v>
      </c>
      <c r="H182" s="487">
        <f t="shared" si="193"/>
        <v>0</v>
      </c>
      <c r="I182" s="487">
        <f t="shared" si="193"/>
        <v>0</v>
      </c>
      <c r="J182" s="487">
        <f t="shared" si="193"/>
        <v>0</v>
      </c>
      <c r="K182" s="487">
        <f t="shared" si="193"/>
        <v>0</v>
      </c>
      <c r="L182" s="487">
        <f t="shared" si="193"/>
        <v>0</v>
      </c>
      <c r="M182" s="487">
        <f t="shared" si="193"/>
        <v>0</v>
      </c>
      <c r="N182" s="487">
        <f t="shared" si="193"/>
        <v>0</v>
      </c>
      <c r="O182" s="488">
        <f t="shared" si="193"/>
        <v>0</v>
      </c>
      <c r="P182" s="1158">
        <f t="shared" si="193"/>
        <v>0</v>
      </c>
      <c r="Q182" s="1148" t="str">
        <f t="shared" si="187"/>
        <v>-</v>
      </c>
      <c r="R182" s="353">
        <f>+P182-Mersin!P182-Ankara!P182-Antalya!P182-Konya!P182-Trakya!P182-Kayseri!P182-Diyarbakır!P182-Erzurum!P182-Marmara2!P182-Marmara1!P182-Ege!P182-Malatya!P182-Karadeniz!P182-Şanlıurfa!P182</f>
        <v>0</v>
      </c>
    </row>
    <row r="183" spans="1:18" ht="21" customHeight="1">
      <c r="A183" s="515" t="s">
        <v>73</v>
      </c>
      <c r="B183" s="2104" t="e">
        <f>B182/B180</f>
        <v>#DIV/0!</v>
      </c>
      <c r="C183" s="2105" t="e">
        <f>C182/C180</f>
        <v>#DIV/0!</v>
      </c>
      <c r="D183" s="2104" t="e">
        <f t="shared" ref="D183:P183" si="194">D182/D180</f>
        <v>#DIV/0!</v>
      </c>
      <c r="E183" s="2106" t="e">
        <f t="shared" si="194"/>
        <v>#DIV/0!</v>
      </c>
      <c r="F183" s="2106" t="e">
        <f t="shared" si="194"/>
        <v>#DIV/0!</v>
      </c>
      <c r="G183" s="2106" t="e">
        <f t="shared" si="194"/>
        <v>#DIV/0!</v>
      </c>
      <c r="H183" s="2106" t="e">
        <f t="shared" si="194"/>
        <v>#DIV/0!</v>
      </c>
      <c r="I183" s="2106" t="e">
        <f t="shared" si="194"/>
        <v>#DIV/0!</v>
      </c>
      <c r="J183" s="2106" t="e">
        <f t="shared" si="194"/>
        <v>#DIV/0!</v>
      </c>
      <c r="K183" s="2106" t="e">
        <f t="shared" si="194"/>
        <v>#DIV/0!</v>
      </c>
      <c r="L183" s="2106" t="e">
        <f t="shared" si="194"/>
        <v>#DIV/0!</v>
      </c>
      <c r="M183" s="2106" t="e">
        <f t="shared" si="194"/>
        <v>#DIV/0!</v>
      </c>
      <c r="N183" s="2106" t="e">
        <f t="shared" si="194"/>
        <v>#DIV/0!</v>
      </c>
      <c r="O183" s="2107" t="e">
        <f t="shared" si="194"/>
        <v>#DIV/0!</v>
      </c>
      <c r="P183" s="1262" t="e">
        <f t="shared" si="194"/>
        <v>#DIV/0!</v>
      </c>
      <c r="Q183" s="1258" t="e">
        <f t="shared" si="187"/>
        <v>#DIV/0!</v>
      </c>
      <c r="R183" s="353" t="e">
        <f>+P183-Mersin!P183-Ankara!P183-Antalya!P183-Konya!P183-Trakya!P183-Kayseri!P183-Diyarbakır!P183-Erzurum!P183-Marmara2!P183-Marmara1!P183-Ege!P183-Malatya!P183-Karadeniz!P183-Şanlıurfa!P183</f>
        <v>#DIV/0!</v>
      </c>
    </row>
    <row r="184" spans="1:18" ht="21" customHeight="1">
      <c r="A184" s="483" t="s">
        <v>75</v>
      </c>
      <c r="B184" s="1922">
        <f t="shared" ref="B184" si="195">B140/1000</f>
        <v>0</v>
      </c>
      <c r="C184" s="512">
        <f>C140/1000</f>
        <v>0</v>
      </c>
      <c r="D184" s="513">
        <f t="shared" ref="D184:O184" si="196">D140/1000</f>
        <v>0</v>
      </c>
      <c r="E184" s="487">
        <f t="shared" si="196"/>
        <v>0</v>
      </c>
      <c r="F184" s="487">
        <f t="shared" si="196"/>
        <v>0</v>
      </c>
      <c r="G184" s="487">
        <f t="shared" si="196"/>
        <v>0</v>
      </c>
      <c r="H184" s="487">
        <f t="shared" si="196"/>
        <v>0</v>
      </c>
      <c r="I184" s="487">
        <f t="shared" si="196"/>
        <v>0</v>
      </c>
      <c r="J184" s="487">
        <f t="shared" si="196"/>
        <v>0</v>
      </c>
      <c r="K184" s="487">
        <f t="shared" si="196"/>
        <v>0</v>
      </c>
      <c r="L184" s="487">
        <f t="shared" si="196"/>
        <v>0</v>
      </c>
      <c r="M184" s="487">
        <f t="shared" si="196"/>
        <v>0</v>
      </c>
      <c r="N184" s="487">
        <f t="shared" si="196"/>
        <v>0</v>
      </c>
      <c r="O184" s="487">
        <f t="shared" si="196"/>
        <v>0</v>
      </c>
      <c r="P184" s="1158">
        <f>P140/1000</f>
        <v>0</v>
      </c>
      <c r="Q184" s="1148" t="str">
        <f t="shared" si="187"/>
        <v>-</v>
      </c>
      <c r="R184" s="353">
        <f>+P184-Mersin!P184-Ankara!P184-Antalya!P184-Konya!P184-Trakya!P184-Kayseri!P184-Diyarbakır!P184-Erzurum!P184-Marmara2!P184-Marmara1!P184-Ege!P184-Malatya!P184-Karadeniz!P184-Şanlıurfa!P184</f>
        <v>0</v>
      </c>
    </row>
    <row r="185" spans="1:18" s="531" customFormat="1" ht="21" customHeight="1">
      <c r="A185" s="523" t="s">
        <v>74</v>
      </c>
      <c r="B185" s="526" t="e">
        <f t="shared" ref="B185:C185" si="197">B184/B180</f>
        <v>#DIV/0!</v>
      </c>
      <c r="C185" s="1425" t="e">
        <f t="shared" si="197"/>
        <v>#DIV/0!</v>
      </c>
      <c r="D185" s="526" t="e">
        <f t="shared" ref="D185:P185" si="198">D184/D180</f>
        <v>#DIV/0!</v>
      </c>
      <c r="E185" s="527" t="e">
        <f t="shared" si="198"/>
        <v>#DIV/0!</v>
      </c>
      <c r="F185" s="527" t="e">
        <f t="shared" si="198"/>
        <v>#DIV/0!</v>
      </c>
      <c r="G185" s="527" t="e">
        <f t="shared" si="198"/>
        <v>#DIV/0!</v>
      </c>
      <c r="H185" s="527" t="e">
        <f t="shared" si="198"/>
        <v>#DIV/0!</v>
      </c>
      <c r="I185" s="527" t="e">
        <f t="shared" si="198"/>
        <v>#DIV/0!</v>
      </c>
      <c r="J185" s="527" t="e">
        <f t="shared" si="198"/>
        <v>#DIV/0!</v>
      </c>
      <c r="K185" s="527" t="e">
        <f t="shared" si="198"/>
        <v>#DIV/0!</v>
      </c>
      <c r="L185" s="527" t="e">
        <f t="shared" si="198"/>
        <v>#DIV/0!</v>
      </c>
      <c r="M185" s="527" t="e">
        <f t="shared" si="198"/>
        <v>#DIV/0!</v>
      </c>
      <c r="N185" s="527" t="e">
        <f t="shared" si="198"/>
        <v>#DIV/0!</v>
      </c>
      <c r="O185" s="528" t="e">
        <f t="shared" si="198"/>
        <v>#DIV/0!</v>
      </c>
      <c r="P185" s="1263" t="e">
        <f t="shared" si="198"/>
        <v>#DIV/0!</v>
      </c>
      <c r="Q185" s="1259" t="e">
        <f t="shared" si="187"/>
        <v>#DIV/0!</v>
      </c>
      <c r="R185" s="353" t="e">
        <f>+P185-Mersin!P185-Ankara!P185-Antalya!P185-Konya!P185-Trakya!P185-Kayseri!P185-Diyarbakır!P185-Erzurum!P185-Marmara2!P185-Marmara1!P185-Ege!P185-Malatya!P185-Karadeniz!P185-Şanlıurfa!P185</f>
        <v>#DIV/0!</v>
      </c>
    </row>
    <row r="186" spans="1:18" s="281" customFormat="1" ht="21" customHeight="1" thickBot="1">
      <c r="A186" s="532" t="s">
        <v>79</v>
      </c>
      <c r="B186" s="535">
        <f t="shared" ref="B186:C186" si="199">B182-B184</f>
        <v>0</v>
      </c>
      <c r="C186" s="1426">
        <f t="shared" si="199"/>
        <v>0</v>
      </c>
      <c r="D186" s="535">
        <f t="shared" ref="D186:P186" si="200">D182-D184</f>
        <v>0</v>
      </c>
      <c r="E186" s="536">
        <f t="shared" si="200"/>
        <v>0</v>
      </c>
      <c r="F186" s="536">
        <f t="shared" si="200"/>
        <v>0</v>
      </c>
      <c r="G186" s="536">
        <f t="shared" si="200"/>
        <v>0</v>
      </c>
      <c r="H186" s="536">
        <f t="shared" si="200"/>
        <v>0</v>
      </c>
      <c r="I186" s="536">
        <f t="shared" si="200"/>
        <v>0</v>
      </c>
      <c r="J186" s="536">
        <f t="shared" si="200"/>
        <v>0</v>
      </c>
      <c r="K186" s="536">
        <f t="shared" si="200"/>
        <v>0</v>
      </c>
      <c r="L186" s="536">
        <f t="shared" si="200"/>
        <v>0</v>
      </c>
      <c r="M186" s="536">
        <f t="shared" si="200"/>
        <v>0</v>
      </c>
      <c r="N186" s="536">
        <f t="shared" si="200"/>
        <v>0</v>
      </c>
      <c r="O186" s="537">
        <f t="shared" si="200"/>
        <v>0</v>
      </c>
      <c r="P186" s="1256">
        <f t="shared" si="200"/>
        <v>0</v>
      </c>
      <c r="Q186" s="1260" t="str">
        <f t="shared" si="187"/>
        <v>-</v>
      </c>
      <c r="R186" s="353">
        <f>+P186-Mersin!P186-Ankara!P186-Antalya!P186-Konya!P186-Trakya!P186-Kayseri!P186-Diyarbakır!P186-Erzurum!P186-Marmara2!P186-Marmara1!P186-Ege!P186-Malatya!P186-Karadeniz!P186-Şanlıurfa!P186</f>
        <v>0</v>
      </c>
    </row>
    <row r="187" spans="1:18" s="281" customFormat="1" ht="21" customHeight="1" thickBot="1">
      <c r="A187" s="539" t="s">
        <v>80</v>
      </c>
      <c r="B187" s="2240" t="e">
        <f t="shared" ref="B187:C187" si="201">B186/B180</f>
        <v>#DIV/0!</v>
      </c>
      <c r="C187" s="2242" t="e">
        <f t="shared" si="201"/>
        <v>#DIV/0!</v>
      </c>
      <c r="D187" s="2240" t="e">
        <f t="shared" ref="D187:O187" si="202">D186/D180</f>
        <v>#DIV/0!</v>
      </c>
      <c r="E187" s="2247" t="e">
        <f t="shared" si="202"/>
        <v>#DIV/0!</v>
      </c>
      <c r="F187" s="2247" t="e">
        <f t="shared" si="202"/>
        <v>#DIV/0!</v>
      </c>
      <c r="G187" s="2247" t="e">
        <f t="shared" si="202"/>
        <v>#DIV/0!</v>
      </c>
      <c r="H187" s="2247" t="e">
        <f t="shared" si="202"/>
        <v>#DIV/0!</v>
      </c>
      <c r="I187" s="2247" t="e">
        <f t="shared" si="202"/>
        <v>#DIV/0!</v>
      </c>
      <c r="J187" s="2247" t="e">
        <f t="shared" si="202"/>
        <v>#DIV/0!</v>
      </c>
      <c r="K187" s="2247" t="e">
        <f t="shared" si="202"/>
        <v>#DIV/0!</v>
      </c>
      <c r="L187" s="2247" t="e">
        <f t="shared" si="202"/>
        <v>#DIV/0!</v>
      </c>
      <c r="M187" s="2247" t="e">
        <f t="shared" si="202"/>
        <v>#DIV/0!</v>
      </c>
      <c r="N187" s="2247" t="e">
        <f t="shared" si="202"/>
        <v>#DIV/0!</v>
      </c>
      <c r="O187" s="2248" t="e">
        <f t="shared" si="202"/>
        <v>#DIV/0!</v>
      </c>
      <c r="P187" s="1264" t="e">
        <f>P186/P180</f>
        <v>#DIV/0!</v>
      </c>
      <c r="Q187" s="1261" t="e">
        <f>IF(P187=0,"-",P187/C187-1)</f>
        <v>#DIV/0!</v>
      </c>
      <c r="R187" s="353" t="e">
        <f>+P187-Mersin!P187-Ankara!P187-Antalya!P187-Konya!P187-Trakya!P187-Kayseri!P187-Diyarbakır!P187-Erzurum!P187-Marmara2!P187-Marmara1!P187-Ege!P187-Malatya!P187-Karadeniz!P187-Şanlıurfa!P187</f>
        <v>#DIV/0!</v>
      </c>
    </row>
  </sheetData>
  <mergeCells count="16">
    <mergeCell ref="B2:C2"/>
    <mergeCell ref="D2:P2"/>
    <mergeCell ref="B23:C23"/>
    <mergeCell ref="D23:P23"/>
    <mergeCell ref="B46:C46"/>
    <mergeCell ref="D46:P46"/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</mergeCells>
  <pageMargins left="0.75" right="0.75" top="1" bottom="1" header="0.5" footer="0.5"/>
  <pageSetup paperSize="9" scale="66" fitToHeight="0" orientation="landscape" r:id="rId1"/>
  <headerFooter alignWithMargins="0"/>
  <rowBreaks count="7" manualBreakCount="7">
    <brk id="21" max="16" man="1"/>
    <brk id="45" max="16" man="1"/>
    <brk id="68" max="16" man="1"/>
    <brk id="91" max="16" man="1"/>
    <brk id="114" max="16" man="1"/>
    <brk id="137" max="16" man="1"/>
    <brk id="174" max="16" man="1"/>
  </rowBreaks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W187"/>
  <sheetViews>
    <sheetView zoomScale="85" zoomScaleNormal="85" workbookViewId="0">
      <pane xSplit="3" topLeftCell="D1" activePane="topRight" state="frozen"/>
      <selection activeCell="A44" sqref="A44"/>
      <selection pane="topRight" activeCell="O21" sqref="O21"/>
    </sheetView>
  </sheetViews>
  <sheetFormatPr defaultColWidth="9.109375" defaultRowHeight="14.4"/>
  <cols>
    <col min="1" max="1" width="33.5546875" style="352" bestFit="1" customWidth="1"/>
    <col min="2" max="2" width="11.33203125" style="352" customWidth="1"/>
    <col min="3" max="3" width="11.88671875" style="352" customWidth="1"/>
    <col min="4" max="4" width="12.332031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6640625" style="352" customWidth="1"/>
    <col min="17" max="17" width="10" style="352" customWidth="1"/>
    <col min="18" max="18" width="3.44140625" style="352" customWidth="1"/>
    <col min="19" max="19" width="7.88671875" style="352" customWidth="1"/>
    <col min="20" max="22" width="5.109375" style="352" customWidth="1"/>
    <col min="23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M3'!C5/1000</f>
        <v>0</v>
      </c>
      <c r="E5" s="372">
        <f>+'SAHA AYLIK ÜRÜN M3'!D5/1000</f>
        <v>0</v>
      </c>
      <c r="F5" s="372">
        <f>+'SAHA AYLIK ÜRÜN M3'!E5/1000</f>
        <v>0</v>
      </c>
      <c r="G5" s="372">
        <f>+'SAHA AYLIK ÜRÜN M3'!F5/1000</f>
        <v>0</v>
      </c>
      <c r="H5" s="373">
        <f>+'SAHA AYLIK ÜRÜN M3'!G5/1000</f>
        <v>0</v>
      </c>
      <c r="I5" s="373">
        <f>+'SAHA AYLIK ÜRÜN M3'!H5/1000</f>
        <v>0</v>
      </c>
      <c r="J5" s="373">
        <f>+'SAHA AYLIK ÜRÜN M3'!I5/1000</f>
        <v>0</v>
      </c>
      <c r="K5" s="373">
        <f>+'SAHA AYLIK ÜRÜN M3'!J5/1000</f>
        <v>0</v>
      </c>
      <c r="L5" s="373">
        <f>+'SAHA AYLIK ÜRÜN M3'!K5/1000</f>
        <v>0</v>
      </c>
      <c r="M5" s="373">
        <f>+'SAHA AYLIK ÜRÜN M3'!L5/1000</f>
        <v>0</v>
      </c>
      <c r="N5" s="373">
        <f>+'SAHA AYLIK ÜRÜN M3'!M5/1000</f>
        <v>0</v>
      </c>
      <c r="O5" s="374">
        <f>+'SAHA AYLIK ÜRÜN M3'!N5/1000</f>
        <v>0</v>
      </c>
      <c r="P5" s="369">
        <f t="shared" si="2"/>
        <v>0</v>
      </c>
      <c r="Q5" s="375" t="str">
        <f t="shared" ref="Q5:Q19" si="4">IF(P5=0,"-",P5/C5-1)</f>
        <v>-</v>
      </c>
      <c r="R5" s="376"/>
      <c r="S5" s="376"/>
      <c r="T5" s="376"/>
      <c r="U5" s="376"/>
      <c r="V5" s="376"/>
    </row>
    <row r="6" spans="1:22" s="1439" customFormat="1" ht="16.5" hidden="1" customHeight="1" thickBot="1">
      <c r="A6" s="1432" t="s">
        <v>16</v>
      </c>
      <c r="B6" s="1433"/>
      <c r="C6" s="1437">
        <f t="shared" ref="C6:C12" si="5">+B6/10*12</f>
        <v>0</v>
      </c>
      <c r="D6" s="1434"/>
      <c r="E6" s="1435"/>
      <c r="F6" s="1435"/>
      <c r="G6" s="1435"/>
      <c r="H6" s="1436"/>
      <c r="I6" s="1436"/>
      <c r="J6" s="1436"/>
      <c r="K6" s="1436"/>
      <c r="L6" s="1436"/>
      <c r="M6" s="1436"/>
      <c r="N6" s="1436"/>
      <c r="O6" s="1437"/>
      <c r="P6" s="1433">
        <f t="shared" si="2"/>
        <v>0</v>
      </c>
      <c r="Q6" s="1438" t="str">
        <f t="shared" si="4"/>
        <v>-</v>
      </c>
      <c r="S6" s="352"/>
      <c r="T6" s="352"/>
      <c r="U6" s="352"/>
      <c r="V6" s="352"/>
    </row>
    <row r="7" spans="1:22" s="281" customFormat="1" ht="15" customHeight="1">
      <c r="A7" s="385" t="s">
        <v>27</v>
      </c>
      <c r="B7" s="2163">
        <f>SUM(B5)</f>
        <v>0</v>
      </c>
      <c r="C7" s="387">
        <f>SUM(C5)</f>
        <v>0</v>
      </c>
      <c r="D7" s="388">
        <f>SUM(D5:D6)</f>
        <v>0</v>
      </c>
      <c r="E7" s="388">
        <f t="shared" ref="E7:O7" si="6">SUM(E5:E6)</f>
        <v>0</v>
      </c>
      <c r="F7" s="388">
        <f t="shared" si="6"/>
        <v>0</v>
      </c>
      <c r="G7" s="388">
        <f t="shared" si="6"/>
        <v>0</v>
      </c>
      <c r="H7" s="388">
        <f t="shared" si="6"/>
        <v>0</v>
      </c>
      <c r="I7" s="388">
        <f t="shared" si="6"/>
        <v>0</v>
      </c>
      <c r="J7" s="388">
        <f t="shared" si="6"/>
        <v>0</v>
      </c>
      <c r="K7" s="388">
        <f t="shared" si="6"/>
        <v>0</v>
      </c>
      <c r="L7" s="388">
        <f t="shared" si="6"/>
        <v>0</v>
      </c>
      <c r="M7" s="388">
        <f t="shared" si="6"/>
        <v>0</v>
      </c>
      <c r="N7" s="388">
        <f t="shared" si="6"/>
        <v>0</v>
      </c>
      <c r="O7" s="388">
        <f t="shared" si="6"/>
        <v>0</v>
      </c>
      <c r="P7" s="391">
        <f t="shared" si="2"/>
        <v>0</v>
      </c>
      <c r="Q7" s="392" t="str">
        <f t="shared" si="4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M3'!C6/1000</f>
        <v>0</v>
      </c>
      <c r="E8" s="397">
        <f>+'SAHA AYLIK ÜRÜN M3'!D6/1000</f>
        <v>0</v>
      </c>
      <c r="F8" s="397">
        <f>+'SAHA AYLIK ÜRÜN M3'!E6/1000</f>
        <v>0</v>
      </c>
      <c r="G8" s="397">
        <f>+'SAHA AYLIK ÜRÜN M3'!F6/1000</f>
        <v>0</v>
      </c>
      <c r="H8" s="397">
        <f>+'SAHA AYLIK ÜRÜN M3'!G6/1000</f>
        <v>0</v>
      </c>
      <c r="I8" s="397">
        <f>+'SAHA AYLIK ÜRÜN M3'!H6/1000</f>
        <v>0</v>
      </c>
      <c r="J8" s="397">
        <f>+'SAHA AYLIK ÜRÜN M3'!I6/1000</f>
        <v>0</v>
      </c>
      <c r="K8" s="397">
        <f>+'SAHA AYLIK ÜRÜN M3'!J6/1000</f>
        <v>0</v>
      </c>
      <c r="L8" s="397">
        <f>+'SAHA AYLIK ÜRÜN M3'!K6/1000</f>
        <v>0</v>
      </c>
      <c r="M8" s="397">
        <f>+'SAHA AYLIK ÜRÜN M3'!L6/1000</f>
        <v>0</v>
      </c>
      <c r="N8" s="397">
        <f>+'SAHA AYLIK ÜRÜN M3'!M6/1000</f>
        <v>0</v>
      </c>
      <c r="O8" s="398">
        <f>+'SAHA AYLIK ÜRÜN M3'!N6/1000</f>
        <v>0</v>
      </c>
      <c r="P8" s="399">
        <f t="shared" si="2"/>
        <v>0</v>
      </c>
      <c r="Q8" s="384" t="str">
        <f t="shared" si="4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M3'!C3/1000</f>
        <v>0</v>
      </c>
      <c r="E9" s="403">
        <f>+'SAHA AYLIK ÜRÜN M3'!D3/1000</f>
        <v>0</v>
      </c>
      <c r="F9" s="403">
        <f>+'SAHA AYLIK ÜRÜN M3'!E3/1000</f>
        <v>0</v>
      </c>
      <c r="G9" s="403">
        <f>+'SAHA AYLIK ÜRÜN M3'!F3/1000</f>
        <v>0</v>
      </c>
      <c r="H9" s="403">
        <f>+'SAHA AYLIK ÜRÜN M3'!G3/1000</f>
        <v>0</v>
      </c>
      <c r="I9" s="403">
        <f>+'SAHA AYLIK ÜRÜN M3'!H3/1000</f>
        <v>0</v>
      </c>
      <c r="J9" s="403">
        <f>+'SAHA AYLIK ÜRÜN M3'!I3/1000</f>
        <v>0</v>
      </c>
      <c r="K9" s="403">
        <f>+'SAHA AYLIK ÜRÜN M3'!J3/1000</f>
        <v>0</v>
      </c>
      <c r="L9" s="403">
        <f>+'SAHA AYLIK ÜRÜN M3'!K3/1000</f>
        <v>0</v>
      </c>
      <c r="M9" s="403">
        <f>+'SAHA AYLIK ÜRÜN M3'!L3/1000</f>
        <v>0</v>
      </c>
      <c r="N9" s="403">
        <f>+'SAHA AYLIK ÜRÜN M3'!M3/1000</f>
        <v>0</v>
      </c>
      <c r="O9" s="404">
        <f>+'SAHA AYLIK ÜRÜN M3'!N3/1000</f>
        <v>0</v>
      </c>
      <c r="P9" s="386">
        <f t="shared" si="2"/>
        <v>0</v>
      </c>
      <c r="Q9" s="405" t="str">
        <f t="shared" si="4"/>
        <v>-</v>
      </c>
      <c r="R9" s="353"/>
    </row>
    <row r="10" spans="1:22" s="1439" customFormat="1" ht="16.5" hidden="1" customHeight="1">
      <c r="A10" s="1440" t="s">
        <v>82</v>
      </c>
      <c r="B10" s="1441"/>
      <c r="C10" s="404"/>
      <c r="D10" s="1442">
        <v>0</v>
      </c>
      <c r="E10" s="1436">
        <v>0</v>
      </c>
      <c r="F10" s="1436">
        <v>0</v>
      </c>
      <c r="G10" s="1436">
        <v>0</v>
      </c>
      <c r="H10" s="1436">
        <v>0</v>
      </c>
      <c r="I10" s="1436">
        <v>0</v>
      </c>
      <c r="J10" s="1436">
        <v>0</v>
      </c>
      <c r="K10" s="1436">
        <v>0</v>
      </c>
      <c r="L10" s="1436">
        <v>0</v>
      </c>
      <c r="M10" s="1436">
        <v>0</v>
      </c>
      <c r="N10" s="1436">
        <v>0</v>
      </c>
      <c r="O10" s="1437">
        <v>0</v>
      </c>
      <c r="P10" s="1443">
        <f t="shared" si="2"/>
        <v>0</v>
      </c>
      <c r="Q10" s="1438" t="str">
        <f t="shared" si="4"/>
        <v>-</v>
      </c>
      <c r="S10" s="352"/>
      <c r="T10" s="352"/>
      <c r="U10" s="352"/>
      <c r="V10" s="352"/>
    </row>
    <row r="11" spans="1:22" ht="16.5" customHeight="1">
      <c r="A11" s="400" t="s">
        <v>83</v>
      </c>
      <c r="B11" s="408"/>
      <c r="C11" s="404"/>
      <c r="D11" s="402">
        <f>+'SAHA AYLIK ÜRÜN M3'!C4/1000</f>
        <v>0</v>
      </c>
      <c r="E11" s="403">
        <f>+'SAHA AYLIK ÜRÜN M3'!D4/1000</f>
        <v>0</v>
      </c>
      <c r="F11" s="403">
        <f>+'SAHA AYLIK ÜRÜN M3'!E4/1000</f>
        <v>0</v>
      </c>
      <c r="G11" s="403">
        <f>+'SAHA AYLIK ÜRÜN M3'!F4/1000</f>
        <v>0</v>
      </c>
      <c r="H11" s="403">
        <f>+'SAHA AYLIK ÜRÜN M3'!G4/1000</f>
        <v>0</v>
      </c>
      <c r="I11" s="403">
        <f>+'SAHA AYLIK ÜRÜN M3'!H4/1000</f>
        <v>0</v>
      </c>
      <c r="J11" s="403">
        <f>+'SAHA AYLIK ÜRÜN M3'!I4/1000</f>
        <v>0</v>
      </c>
      <c r="K11" s="403">
        <f>+'SAHA AYLIK ÜRÜN M3'!J4/1000</f>
        <v>0</v>
      </c>
      <c r="L11" s="403">
        <f>+'SAHA AYLIK ÜRÜN M3'!K4/1000</f>
        <v>0</v>
      </c>
      <c r="M11" s="403">
        <f>+'SAHA AYLIK ÜRÜN M3'!L4/1000</f>
        <v>0</v>
      </c>
      <c r="N11" s="403">
        <f>+'SAHA AYLIK ÜRÜN M3'!M4/1000</f>
        <v>0</v>
      </c>
      <c r="O11" s="404">
        <f>+'SAHA AYLIK ÜRÜN M3'!N4/1000</f>
        <v>0</v>
      </c>
      <c r="P11" s="386">
        <f t="shared" si="2"/>
        <v>0</v>
      </c>
      <c r="Q11" s="405" t="str">
        <f t="shared" si="4"/>
        <v>-</v>
      </c>
    </row>
    <row r="12" spans="1:22" s="1439" customFormat="1" ht="16.5" hidden="1" customHeight="1">
      <c r="A12" s="1440" t="s">
        <v>84</v>
      </c>
      <c r="B12" s="1433"/>
      <c r="C12" s="1437">
        <f t="shared" si="5"/>
        <v>0</v>
      </c>
      <c r="D12" s="1442"/>
      <c r="E12" s="1436"/>
      <c r="F12" s="1436"/>
      <c r="G12" s="1436"/>
      <c r="H12" s="1436"/>
      <c r="I12" s="1435"/>
      <c r="J12" s="1435"/>
      <c r="K12" s="1436"/>
      <c r="L12" s="1436"/>
      <c r="M12" s="1436"/>
      <c r="N12" s="1436"/>
      <c r="O12" s="1437"/>
      <c r="P12" s="1443">
        <f t="shared" si="2"/>
        <v>0</v>
      </c>
      <c r="Q12" s="1438" t="str">
        <f t="shared" si="4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7">SUM(E9:E12)</f>
        <v>0</v>
      </c>
      <c r="F13" s="414">
        <f t="shared" si="7"/>
        <v>0</v>
      </c>
      <c r="G13" s="414">
        <f t="shared" si="7"/>
        <v>0</v>
      </c>
      <c r="H13" s="414">
        <f t="shared" si="7"/>
        <v>0</v>
      </c>
      <c r="I13" s="414">
        <f t="shared" si="7"/>
        <v>0</v>
      </c>
      <c r="J13" s="414">
        <f t="shared" si="7"/>
        <v>0</v>
      </c>
      <c r="K13" s="414">
        <f t="shared" si="7"/>
        <v>0</v>
      </c>
      <c r="L13" s="414">
        <f t="shared" si="7"/>
        <v>0</v>
      </c>
      <c r="M13" s="414">
        <f t="shared" si="7"/>
        <v>0</v>
      </c>
      <c r="N13" s="414">
        <f t="shared" si="7"/>
        <v>0</v>
      </c>
      <c r="O13" s="412">
        <f t="shared" si="7"/>
        <v>0</v>
      </c>
      <c r="P13" s="411">
        <f t="shared" si="2"/>
        <v>0</v>
      </c>
      <c r="Q13" s="415" t="str">
        <f t="shared" si="4"/>
        <v>-</v>
      </c>
    </row>
    <row r="14" spans="1:22" ht="22.5" customHeight="1" thickBot="1">
      <c r="A14" s="362" t="s">
        <v>25</v>
      </c>
      <c r="B14" s="363">
        <f t="shared" ref="B14:C14" si="8">SUM(B15:B16)</f>
        <v>0</v>
      </c>
      <c r="C14" s="416">
        <f t="shared" si="8"/>
        <v>0</v>
      </c>
      <c r="D14" s="417">
        <f>SUM(D15:D16)</f>
        <v>0</v>
      </c>
      <c r="E14" s="418">
        <f t="shared" ref="E14:O14" si="9">SUM(E15:E16)</f>
        <v>0</v>
      </c>
      <c r="F14" s="418">
        <f t="shared" si="9"/>
        <v>0</v>
      </c>
      <c r="G14" s="418">
        <f t="shared" si="9"/>
        <v>0</v>
      </c>
      <c r="H14" s="418">
        <f t="shared" si="9"/>
        <v>0</v>
      </c>
      <c r="I14" s="418">
        <f t="shared" si="9"/>
        <v>0</v>
      </c>
      <c r="J14" s="418">
        <f t="shared" si="9"/>
        <v>0</v>
      </c>
      <c r="K14" s="418">
        <f t="shared" si="9"/>
        <v>0</v>
      </c>
      <c r="L14" s="418">
        <f t="shared" si="9"/>
        <v>0</v>
      </c>
      <c r="M14" s="418">
        <f t="shared" si="9"/>
        <v>0</v>
      </c>
      <c r="N14" s="418">
        <f t="shared" si="9"/>
        <v>0</v>
      </c>
      <c r="O14" s="419">
        <f t="shared" si="9"/>
        <v>0</v>
      </c>
      <c r="P14" s="420">
        <f t="shared" si="2"/>
        <v>0</v>
      </c>
      <c r="Q14" s="421" t="str">
        <f t="shared" si="4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4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M3'!C7/1000</f>
        <v>0</v>
      </c>
      <c r="E16" s="434">
        <f>+'SAHA AYLIK ÜRÜN M3'!D7/1000</f>
        <v>0</v>
      </c>
      <c r="F16" s="434">
        <f>+'SAHA AYLIK ÜRÜN M3'!E7/1000</f>
        <v>0</v>
      </c>
      <c r="G16" s="434">
        <f>+'SAHA AYLIK ÜRÜN M3'!F7/1000</f>
        <v>0</v>
      </c>
      <c r="H16" s="434">
        <f>+'SAHA AYLIK ÜRÜN M3'!G7/1000</f>
        <v>0</v>
      </c>
      <c r="I16" s="434">
        <f>+'SAHA AYLIK ÜRÜN M3'!H7/1000</f>
        <v>0</v>
      </c>
      <c r="J16" s="434">
        <f>+'SAHA AYLIK ÜRÜN M3'!I7/1000</f>
        <v>0</v>
      </c>
      <c r="K16" s="434">
        <f>+'SAHA AYLIK ÜRÜN M3'!J7/1000</f>
        <v>0</v>
      </c>
      <c r="L16" s="434">
        <f>+'SAHA AYLIK ÜRÜN M3'!K7/1000</f>
        <v>0</v>
      </c>
      <c r="M16" s="434">
        <f>+'SAHA AYLIK ÜRÜN M3'!L7/1000</f>
        <v>0</v>
      </c>
      <c r="N16" s="434">
        <f>+'SAHA AYLIK ÜRÜN M3'!M7/1000</f>
        <v>0</v>
      </c>
      <c r="O16" s="435">
        <f>+'SAHA AYLIK ÜRÜN M3'!N7/1000</f>
        <v>0</v>
      </c>
      <c r="P16" s="436">
        <f t="shared" si="2"/>
        <v>0</v>
      </c>
      <c r="Q16" s="437" t="str">
        <f t="shared" si="4"/>
        <v>-</v>
      </c>
    </row>
    <row r="17" spans="1:22" ht="22.5" customHeight="1" thickBot="1">
      <c r="A17" s="362" t="s">
        <v>26</v>
      </c>
      <c r="B17" s="363">
        <f t="shared" ref="B17" si="10">SUM(B18:B19)</f>
        <v>0</v>
      </c>
      <c r="C17" s="416">
        <f>(B17/9)*12</f>
        <v>0</v>
      </c>
      <c r="D17" s="417">
        <f>SUM(D18:D19)</f>
        <v>0</v>
      </c>
      <c r="E17" s="418">
        <f t="shared" ref="E17:O17" si="11">SUM(E18:E19)</f>
        <v>0</v>
      </c>
      <c r="F17" s="418">
        <f t="shared" si="11"/>
        <v>0</v>
      </c>
      <c r="G17" s="418">
        <f t="shared" si="11"/>
        <v>0</v>
      </c>
      <c r="H17" s="418">
        <f t="shared" si="11"/>
        <v>0</v>
      </c>
      <c r="I17" s="418">
        <f t="shared" si="11"/>
        <v>0</v>
      </c>
      <c r="J17" s="418">
        <f t="shared" si="11"/>
        <v>0</v>
      </c>
      <c r="K17" s="418">
        <f t="shared" si="11"/>
        <v>0</v>
      </c>
      <c r="L17" s="418">
        <f t="shared" si="11"/>
        <v>0</v>
      </c>
      <c r="M17" s="418">
        <f t="shared" si="11"/>
        <v>0</v>
      </c>
      <c r="N17" s="418">
        <f t="shared" si="11"/>
        <v>0</v>
      </c>
      <c r="O17" s="419">
        <f t="shared" si="11"/>
        <v>0</v>
      </c>
      <c r="P17" s="420">
        <f t="shared" si="2"/>
        <v>0</v>
      </c>
      <c r="Q17" s="421" t="str">
        <f t="shared" si="4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+M.Yağ_Adbulue!E3/1000</f>
        <v>0</v>
      </c>
      <c r="E18" s="426">
        <f>+M.Yağ_Adbulue!F3/1000</f>
        <v>0</v>
      </c>
      <c r="F18" s="426">
        <f>+M.Yağ_Adbulue!G3/1000</f>
        <v>0</v>
      </c>
      <c r="G18" s="426">
        <f>+M.Yağ_Adbulue!H3/1000</f>
        <v>0</v>
      </c>
      <c r="H18" s="426">
        <f>+M.Yağ_Adbulue!I3/1000</f>
        <v>0</v>
      </c>
      <c r="I18" s="426">
        <f>+M.Yağ_Adbulue!J3/1000</f>
        <v>0</v>
      </c>
      <c r="J18" s="426">
        <f>+M.Yağ_Adbulue!K3/1000</f>
        <v>0</v>
      </c>
      <c r="K18" s="426">
        <f>+M.Yağ_Adbulue!L3/1000</f>
        <v>0</v>
      </c>
      <c r="L18" s="426">
        <f>+M.Yağ_Adbulue!M3/1000</f>
        <v>0</v>
      </c>
      <c r="M18" s="426">
        <f>+M.Yağ_Adbulue!N3/1000</f>
        <v>0</v>
      </c>
      <c r="N18" s="426">
        <f>+M.Yağ_Adbulue!O3/1000</f>
        <v>0</v>
      </c>
      <c r="O18" s="427">
        <f>+M.Yağ_Adbulue!P3/1000</f>
        <v>0</v>
      </c>
      <c r="P18" s="428">
        <f t="shared" si="2"/>
        <v>0</v>
      </c>
      <c r="Q18" s="429" t="str">
        <f t="shared" si="4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+M.Yağ_Adbulue!E21/1000</f>
        <v>0</v>
      </c>
      <c r="E19" s="442">
        <f>+M.Yağ_Adbulue!F21/1000</f>
        <v>0</v>
      </c>
      <c r="F19" s="442">
        <f>+M.Yağ_Adbulue!G21/1000</f>
        <v>0</v>
      </c>
      <c r="G19" s="442">
        <f>+M.Yağ_Adbulue!H21/1000</f>
        <v>0</v>
      </c>
      <c r="H19" s="442">
        <f>+M.Yağ_Adbulue!I21/1000</f>
        <v>0</v>
      </c>
      <c r="I19" s="442">
        <f>+M.Yağ_Adbulue!J21/1000</f>
        <v>0</v>
      </c>
      <c r="J19" s="442">
        <f>+M.Yağ_Adbulue!K21/1000</f>
        <v>0</v>
      </c>
      <c r="K19" s="442">
        <f>+M.Yağ_Adbulue!L21/1000</f>
        <v>0</v>
      </c>
      <c r="L19" s="442">
        <f>+M.Yağ_Adbulue!M21/1000</f>
        <v>0</v>
      </c>
      <c r="M19" s="442">
        <f>+M.Yağ_Adbulue!N21/1000</f>
        <v>0</v>
      </c>
      <c r="N19" s="442">
        <f>+M.Yağ_Adbulue!O21/1000</f>
        <v>0</v>
      </c>
      <c r="O19" s="443">
        <f>+M.Yağ_Adbulue!P21/1000</f>
        <v>0</v>
      </c>
      <c r="P19" s="444">
        <f t="shared" si="2"/>
        <v>0</v>
      </c>
      <c r="Q19" s="445" t="str">
        <f t="shared" si="4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ref="Q20:Q21" si="12">IF(P20=0,"-",P20/C20-1)</f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12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3">D28+D29+D34</f>
        <v>0</v>
      </c>
      <c r="E25" s="366">
        <f t="shared" si="13"/>
        <v>0</v>
      </c>
      <c r="F25" s="366">
        <f t="shared" si="13"/>
        <v>0</v>
      </c>
      <c r="G25" s="366">
        <f t="shared" si="13"/>
        <v>0</v>
      </c>
      <c r="H25" s="366">
        <f t="shared" si="13"/>
        <v>0</v>
      </c>
      <c r="I25" s="366">
        <f t="shared" si="13"/>
        <v>0</v>
      </c>
      <c r="J25" s="366">
        <f t="shared" si="13"/>
        <v>0</v>
      </c>
      <c r="K25" s="366">
        <f t="shared" si="13"/>
        <v>0</v>
      </c>
      <c r="L25" s="366">
        <f t="shared" si="13"/>
        <v>0</v>
      </c>
      <c r="M25" s="366">
        <f t="shared" si="13"/>
        <v>0</v>
      </c>
      <c r="N25" s="366">
        <f t="shared" si="13"/>
        <v>0</v>
      </c>
      <c r="O25" s="364">
        <f t="shared" si="13"/>
        <v>0</v>
      </c>
      <c r="P25" s="456">
        <f t="shared" ref="P25:P44" si="14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Fiyat'!D5</f>
        <v>0</v>
      </c>
      <c r="E26" s="372">
        <f>E5*'Satış Fiyat'!E5</f>
        <v>0</v>
      </c>
      <c r="F26" s="372">
        <f>F5*'Satış Fiyat'!F5</f>
        <v>0</v>
      </c>
      <c r="G26" s="372">
        <f>G5*'Satış Fiyat'!G5</f>
        <v>0</v>
      </c>
      <c r="H26" s="373">
        <f>H5*'Satış Fiyat'!H5</f>
        <v>0</v>
      </c>
      <c r="I26" s="373">
        <f>I5*'Satış Fiyat'!I5</f>
        <v>0</v>
      </c>
      <c r="J26" s="373">
        <f>J5*'Satış Fiyat'!J5</f>
        <v>0</v>
      </c>
      <c r="K26" s="373">
        <f>K5*'Satış Fiyat'!K5</f>
        <v>0</v>
      </c>
      <c r="L26" s="373">
        <f>L5*'Satış Fiyat'!L5</f>
        <v>0</v>
      </c>
      <c r="M26" s="373">
        <f>M5*'Satış Fiyat'!M5</f>
        <v>0</v>
      </c>
      <c r="N26" s="373">
        <f>N5*'Satış Fiyat'!N5</f>
        <v>0</v>
      </c>
      <c r="O26" s="374">
        <f>O5*'Satış Fiyat'!O5</f>
        <v>0</v>
      </c>
      <c r="P26" s="1230">
        <f t="shared" si="14"/>
        <v>0</v>
      </c>
      <c r="Q26" s="1237" t="str">
        <f t="shared" ref="Q26:Q40" si="15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Fiyat'!D6</f>
        <v>0</v>
      </c>
      <c r="E27" s="381">
        <f>E6*'Satış Fiyat'!E6</f>
        <v>0</v>
      </c>
      <c r="F27" s="381">
        <f>F6*'Satış Fiyat'!F6</f>
        <v>0</v>
      </c>
      <c r="G27" s="381">
        <f>G6*'Satış Fiyat'!G6</f>
        <v>0</v>
      </c>
      <c r="H27" s="382">
        <f>H6*'Satış Fiyat'!H6</f>
        <v>0</v>
      </c>
      <c r="I27" s="382">
        <f>I6*'Satış Fiyat'!I6</f>
        <v>0</v>
      </c>
      <c r="J27" s="382">
        <f>J6*'Satış Fiyat'!J6</f>
        <v>0</v>
      </c>
      <c r="K27" s="382">
        <f>K6*'Satış Fiyat'!K6</f>
        <v>0</v>
      </c>
      <c r="L27" s="382">
        <f>L6*'Satış Fiyat'!L6</f>
        <v>0</v>
      </c>
      <c r="M27" s="382">
        <f>M6*'Satış Fiyat'!M6</f>
        <v>0</v>
      </c>
      <c r="N27" s="382">
        <f>N6*'Satış Fiyat'!N6</f>
        <v>0</v>
      </c>
      <c r="O27" s="383">
        <f>O6*'Satış Fiyat'!O6</f>
        <v>0</v>
      </c>
      <c r="P27" s="1231">
        <f t="shared" si="14"/>
        <v>0</v>
      </c>
      <c r="Q27" s="1238" t="str">
        <f t="shared" si="15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>SUM(D26:D27)</f>
        <v>0</v>
      </c>
      <c r="E28" s="389">
        <f t="shared" ref="E28:O28" si="16">SUM(E26:E27)</f>
        <v>0</v>
      </c>
      <c r="F28" s="389">
        <f t="shared" si="16"/>
        <v>0</v>
      </c>
      <c r="G28" s="389">
        <f t="shared" si="16"/>
        <v>0</v>
      </c>
      <c r="H28" s="389">
        <f t="shared" si="16"/>
        <v>0</v>
      </c>
      <c r="I28" s="389">
        <f t="shared" si="16"/>
        <v>0</v>
      </c>
      <c r="J28" s="389">
        <f t="shared" si="16"/>
        <v>0</v>
      </c>
      <c r="K28" s="389">
        <f t="shared" si="16"/>
        <v>0</v>
      </c>
      <c r="L28" s="389">
        <f t="shared" si="16"/>
        <v>0</v>
      </c>
      <c r="M28" s="389">
        <f t="shared" si="16"/>
        <v>0</v>
      </c>
      <c r="N28" s="389">
        <f t="shared" si="16"/>
        <v>0</v>
      </c>
      <c r="O28" s="390">
        <f t="shared" si="16"/>
        <v>0</v>
      </c>
      <c r="P28" s="1158">
        <f t="shared" si="14"/>
        <v>0</v>
      </c>
      <c r="Q28" s="1239" t="str">
        <f t="shared" si="15"/>
        <v>-</v>
      </c>
    </row>
    <row r="29" spans="1:22" ht="16.5" customHeight="1">
      <c r="A29" s="393" t="s">
        <v>17</v>
      </c>
      <c r="B29" s="394"/>
      <c r="C29" s="395"/>
      <c r="D29" s="396">
        <f>D8*'Satış Fiyat'!D8</f>
        <v>0</v>
      </c>
      <c r="E29" s="397">
        <f>E8*'Satış Fiyat'!E8</f>
        <v>0</v>
      </c>
      <c r="F29" s="397">
        <f>F8*'Satış Fiyat'!F8</f>
        <v>0</v>
      </c>
      <c r="G29" s="397">
        <f>G8*'Satış Fiyat'!G8</f>
        <v>0</v>
      </c>
      <c r="H29" s="397">
        <f>H8*'Satış Fiyat'!H8</f>
        <v>0</v>
      </c>
      <c r="I29" s="397">
        <f>I8*'Satış Fiyat'!I8</f>
        <v>0</v>
      </c>
      <c r="J29" s="397">
        <f>J8*'Satış Fiyat'!J8</f>
        <v>0</v>
      </c>
      <c r="K29" s="397">
        <f>K8*'Satış Fiyat'!K8</f>
        <v>0</v>
      </c>
      <c r="L29" s="397">
        <f>L8*'Satış Fiyat'!L8</f>
        <v>0</v>
      </c>
      <c r="M29" s="397">
        <f>M8*'Satış Fiyat'!M8</f>
        <v>0</v>
      </c>
      <c r="N29" s="397">
        <f>N8*'Satış Fiyat'!N8</f>
        <v>0</v>
      </c>
      <c r="O29" s="398">
        <f>O8*'Satış Fiyat'!O8</f>
        <v>0</v>
      </c>
      <c r="P29" s="1246">
        <f t="shared" si="14"/>
        <v>0</v>
      </c>
      <c r="Q29" s="1238" t="str">
        <f t="shared" si="15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Fiyat'!D9</f>
        <v>0</v>
      </c>
      <c r="E30" s="389">
        <f>E9*'Satış Fiyat'!E9</f>
        <v>0</v>
      </c>
      <c r="F30" s="389">
        <f>F9*'Satış Fiyat'!F9</f>
        <v>0</v>
      </c>
      <c r="G30" s="389">
        <f>G9*'Satış Fiyat'!G9</f>
        <v>0</v>
      </c>
      <c r="H30" s="389">
        <f>H9*'Satış Fiyat'!H9</f>
        <v>0</v>
      </c>
      <c r="I30" s="389">
        <f>I9*'Satış Fiyat'!I9</f>
        <v>0</v>
      </c>
      <c r="J30" s="389">
        <f>J9*'Satış Fiyat'!J9</f>
        <v>0</v>
      </c>
      <c r="K30" s="389">
        <f>K9*'Satış Fiyat'!K9</f>
        <v>0</v>
      </c>
      <c r="L30" s="389">
        <f>L9*'Satış Fiyat'!L9</f>
        <v>0</v>
      </c>
      <c r="M30" s="389">
        <f>M9*'Satış Fiyat'!M9</f>
        <v>0</v>
      </c>
      <c r="N30" s="389">
        <f>N9*'Satış Fiyat'!N9</f>
        <v>0</v>
      </c>
      <c r="O30" s="390">
        <f>O9*'Satış Fiyat'!O9</f>
        <v>0</v>
      </c>
      <c r="P30" s="1218">
        <f>SUM(D30:O30)</f>
        <v>0</v>
      </c>
      <c r="Q30" s="1240" t="str">
        <f t="shared" si="15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Fiyat'!D10</f>
        <v>0</v>
      </c>
      <c r="E31" s="397">
        <f>E10*'Satış Fiyat'!E10</f>
        <v>0</v>
      </c>
      <c r="F31" s="397">
        <f>F10*'Satış Fiyat'!F10</f>
        <v>0</v>
      </c>
      <c r="G31" s="397">
        <f>G10*'Satış Fiyat'!G10</f>
        <v>0</v>
      </c>
      <c r="H31" s="397">
        <f>H10*'Satış Fiyat'!H10</f>
        <v>0</v>
      </c>
      <c r="I31" s="397">
        <f>I10*'Satış Fiyat'!I10</f>
        <v>0</v>
      </c>
      <c r="J31" s="397">
        <f>J10*'Satış Fiyat'!J10</f>
        <v>0</v>
      </c>
      <c r="K31" s="397">
        <f>K10*'Satış Fiyat'!K10</f>
        <v>0</v>
      </c>
      <c r="L31" s="397">
        <f>L10*'Satış Fiyat'!L10</f>
        <v>0</v>
      </c>
      <c r="M31" s="397">
        <f>M10*'Satış Fiyat'!M10</f>
        <v>0</v>
      </c>
      <c r="N31" s="397">
        <f>N10*'Satış Fiyat'!N10</f>
        <v>0</v>
      </c>
      <c r="O31" s="398">
        <f>O10*'Satış Fiyat'!O10</f>
        <v>0</v>
      </c>
      <c r="P31" s="1246">
        <f t="shared" si="14"/>
        <v>0</v>
      </c>
      <c r="Q31" s="1238" t="str">
        <f t="shared" si="15"/>
        <v>-</v>
      </c>
    </row>
    <row r="32" spans="1:22" ht="16.5" customHeight="1">
      <c r="A32" s="400" t="s">
        <v>83</v>
      </c>
      <c r="B32" s="408"/>
      <c r="C32" s="404"/>
      <c r="D32" s="402">
        <f>D11*'Satış Fiyat'!D11</f>
        <v>0</v>
      </c>
      <c r="E32" s="403">
        <f>E11*'Satış Fiyat'!E11</f>
        <v>0</v>
      </c>
      <c r="F32" s="389">
        <f>F11*'Satış Fiyat'!F11</f>
        <v>0</v>
      </c>
      <c r="G32" s="403">
        <f>G11*'Satış Fiyat'!G11</f>
        <v>0</v>
      </c>
      <c r="H32" s="403">
        <f>H11*'Satış Fiyat'!H11</f>
        <v>0</v>
      </c>
      <c r="I32" s="403">
        <f>I11*'Satış Fiyat'!I11</f>
        <v>0</v>
      </c>
      <c r="J32" s="403">
        <f>J11*'Satış Fiyat'!J11</f>
        <v>0</v>
      </c>
      <c r="K32" s="403">
        <f>K11*'Satış Fiyat'!K11</f>
        <v>0</v>
      </c>
      <c r="L32" s="403">
        <f>L11*'Satış Fiyat'!L11</f>
        <v>0</v>
      </c>
      <c r="M32" s="403">
        <f>M11*'Satış Fiyat'!M11</f>
        <v>0</v>
      </c>
      <c r="N32" s="403">
        <f>N11*'Satış Fiyat'!N11</f>
        <v>0</v>
      </c>
      <c r="O32" s="404">
        <f>O11*'Satış Fiyat'!O11</f>
        <v>0</v>
      </c>
      <c r="P32" s="1218">
        <f t="shared" si="14"/>
        <v>0</v>
      </c>
      <c r="Q32" s="1240" t="str">
        <f t="shared" si="15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Fiyat'!D12</f>
        <v>0</v>
      </c>
      <c r="E33" s="382">
        <f>E12*'Satış Fiyat'!E12</f>
        <v>0</v>
      </c>
      <c r="F33" s="382">
        <f>F12*'Satış Fiyat'!F12</f>
        <v>0</v>
      </c>
      <c r="G33" s="382">
        <f>G12*'Satış Fiyat'!G12</f>
        <v>0</v>
      </c>
      <c r="H33" s="382">
        <f>H12*'Satış Fiyat'!H12</f>
        <v>0</v>
      </c>
      <c r="I33" s="381">
        <f>I12*'Satış Fiyat'!I12</f>
        <v>0</v>
      </c>
      <c r="J33" s="381">
        <f>J12*'Satış Fiyat'!J12</f>
        <v>0</v>
      </c>
      <c r="K33" s="382">
        <f>K12*'Satış Fiyat'!K12</f>
        <v>0</v>
      </c>
      <c r="L33" s="382">
        <f>L12*'Satış Fiyat'!L12</f>
        <v>0</v>
      </c>
      <c r="M33" s="382">
        <f>M12*'Satış Fiyat'!M12</f>
        <v>0</v>
      </c>
      <c r="N33" s="382">
        <f>N12*'Satış Fiyat'!N12</f>
        <v>0</v>
      </c>
      <c r="O33" s="383">
        <f>O12*'Satış Fiyat'!O12</f>
        <v>0</v>
      </c>
      <c r="P33" s="1246">
        <f t="shared" si="14"/>
        <v>0</v>
      </c>
      <c r="Q33" s="1238" t="str">
        <f t="shared" si="15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7">SUM(E30:E33)</f>
        <v>0</v>
      </c>
      <c r="F34" s="414">
        <f t="shared" si="17"/>
        <v>0</v>
      </c>
      <c r="G34" s="414">
        <f t="shared" si="17"/>
        <v>0</v>
      </c>
      <c r="H34" s="414">
        <f t="shared" si="17"/>
        <v>0</v>
      </c>
      <c r="I34" s="414">
        <f t="shared" si="17"/>
        <v>0</v>
      </c>
      <c r="J34" s="414">
        <f t="shared" si="17"/>
        <v>0</v>
      </c>
      <c r="K34" s="414">
        <f t="shared" si="17"/>
        <v>0</v>
      </c>
      <c r="L34" s="414">
        <f t="shared" si="17"/>
        <v>0</v>
      </c>
      <c r="M34" s="414">
        <f t="shared" si="17"/>
        <v>0</v>
      </c>
      <c r="N34" s="414">
        <f t="shared" si="17"/>
        <v>0</v>
      </c>
      <c r="O34" s="412">
        <f t="shared" si="17"/>
        <v>0</v>
      </c>
      <c r="P34" s="1159">
        <f t="shared" si="14"/>
        <v>0</v>
      </c>
      <c r="Q34" s="1241" t="str">
        <f t="shared" si="15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8">SUM(C36:C37)</f>
        <v>0</v>
      </c>
      <c r="D35" s="417">
        <f t="shared" ref="D35:O35" si="19">SUM(D36:D37)</f>
        <v>0</v>
      </c>
      <c r="E35" s="418">
        <f t="shared" si="19"/>
        <v>0</v>
      </c>
      <c r="F35" s="418">
        <f t="shared" si="19"/>
        <v>0</v>
      </c>
      <c r="G35" s="418">
        <f t="shared" si="19"/>
        <v>0</v>
      </c>
      <c r="H35" s="418">
        <f t="shared" si="19"/>
        <v>0</v>
      </c>
      <c r="I35" s="418">
        <f t="shared" si="19"/>
        <v>0</v>
      </c>
      <c r="J35" s="418">
        <f t="shared" si="19"/>
        <v>0</v>
      </c>
      <c r="K35" s="418">
        <f t="shared" si="19"/>
        <v>0</v>
      </c>
      <c r="L35" s="418">
        <f t="shared" si="19"/>
        <v>0</v>
      </c>
      <c r="M35" s="418">
        <f t="shared" si="19"/>
        <v>0</v>
      </c>
      <c r="N35" s="418">
        <f t="shared" si="19"/>
        <v>0</v>
      </c>
      <c r="O35" s="419">
        <f t="shared" si="19"/>
        <v>0</v>
      </c>
      <c r="P35" s="1232">
        <f t="shared" si="14"/>
        <v>0</v>
      </c>
      <c r="Q35" s="1242" t="str">
        <f t="shared" si="15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Fiyat'!D15</f>
        <v>0</v>
      </c>
      <c r="E36" s="426">
        <f>E15*'Satış Fiyat'!E15</f>
        <v>0</v>
      </c>
      <c r="F36" s="426">
        <f>F15*'Satış Fiyat'!F15</f>
        <v>0</v>
      </c>
      <c r="G36" s="426">
        <f>G15*'Satış Fiyat'!G15</f>
        <v>0</v>
      </c>
      <c r="H36" s="426">
        <f>H15*'Satış Fiyat'!H15</f>
        <v>0</v>
      </c>
      <c r="I36" s="426">
        <f>I15*'Satış Fiyat'!I15</f>
        <v>0</v>
      </c>
      <c r="J36" s="426">
        <f>J15*'Satış Fiyat'!J15</f>
        <v>0</v>
      </c>
      <c r="K36" s="426">
        <f>K15*'Satış Fiyat'!K15</f>
        <v>0</v>
      </c>
      <c r="L36" s="426">
        <f>L15*'Satış Fiyat'!L15</f>
        <v>0</v>
      </c>
      <c r="M36" s="426">
        <f>M15*'Satış Fiyat'!M15</f>
        <v>0</v>
      </c>
      <c r="N36" s="426">
        <f>N15*'Satış Fiyat'!N15</f>
        <v>0</v>
      </c>
      <c r="O36" s="427">
        <f>O15*'Satış Fiyat'!O15</f>
        <v>0</v>
      </c>
      <c r="P36" s="1247">
        <f t="shared" si="14"/>
        <v>0</v>
      </c>
      <c r="Q36" s="1243" t="str">
        <f t="shared" si="15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Fiyat'!D16</f>
        <v>0</v>
      </c>
      <c r="E37" s="434">
        <f>E16*'Satış Fiyat'!E16</f>
        <v>0</v>
      </c>
      <c r="F37" s="434">
        <f>F16*'Satış Fiyat'!F16</f>
        <v>0</v>
      </c>
      <c r="G37" s="434">
        <f>G16*'Satış Fiyat'!G16</f>
        <v>0</v>
      </c>
      <c r="H37" s="434">
        <f>H16*'Satış Fiyat'!H16</f>
        <v>0</v>
      </c>
      <c r="I37" s="434">
        <f>I16*'Satış Fiyat'!I16</f>
        <v>0</v>
      </c>
      <c r="J37" s="434">
        <f>J16*'Satış Fiyat'!J16</f>
        <v>0</v>
      </c>
      <c r="K37" s="434">
        <f>K16*'Satış Fiyat'!K16</f>
        <v>0</v>
      </c>
      <c r="L37" s="434">
        <f>L16*'Satış Fiyat'!L16</f>
        <v>0</v>
      </c>
      <c r="M37" s="434">
        <f>M16*'Satış Fiyat'!M16</f>
        <v>0</v>
      </c>
      <c r="N37" s="434">
        <f>N16*'Satış Fiyat'!N16</f>
        <v>0</v>
      </c>
      <c r="O37" s="435">
        <f>O16*'Satış Fiyat'!O16</f>
        <v>0</v>
      </c>
      <c r="P37" s="1220">
        <f t="shared" si="14"/>
        <v>0</v>
      </c>
      <c r="Q37" s="1244" t="str">
        <f t="shared" si="15"/>
        <v>-</v>
      </c>
    </row>
    <row r="38" spans="1:22" ht="22.5" customHeight="1" thickBot="1">
      <c r="A38" s="362" t="s">
        <v>30</v>
      </c>
      <c r="B38" s="363">
        <f t="shared" ref="B38:C38" si="20">SUM(B39:B40)</f>
        <v>0</v>
      </c>
      <c r="C38" s="416">
        <f t="shared" si="20"/>
        <v>0</v>
      </c>
      <c r="D38" s="417">
        <f t="shared" ref="D38:O38" si="21">SUM(D39:D40)</f>
        <v>0</v>
      </c>
      <c r="E38" s="418">
        <f t="shared" si="21"/>
        <v>0</v>
      </c>
      <c r="F38" s="418">
        <f t="shared" si="21"/>
        <v>0</v>
      </c>
      <c r="G38" s="418">
        <f t="shared" si="21"/>
        <v>0</v>
      </c>
      <c r="H38" s="418">
        <f t="shared" si="21"/>
        <v>0</v>
      </c>
      <c r="I38" s="418">
        <f t="shared" si="21"/>
        <v>0</v>
      </c>
      <c r="J38" s="418">
        <f t="shared" si="21"/>
        <v>0</v>
      </c>
      <c r="K38" s="418">
        <f t="shared" si="21"/>
        <v>0</v>
      </c>
      <c r="L38" s="418">
        <f t="shared" si="21"/>
        <v>0</v>
      </c>
      <c r="M38" s="418">
        <f t="shared" si="21"/>
        <v>0</v>
      </c>
      <c r="N38" s="418">
        <f t="shared" si="21"/>
        <v>0</v>
      </c>
      <c r="O38" s="419">
        <f t="shared" si="21"/>
        <v>0</v>
      </c>
      <c r="P38" s="1232">
        <f t="shared" si="14"/>
        <v>0</v>
      </c>
      <c r="Q38" s="1242" t="str">
        <f t="shared" si="15"/>
        <v>-</v>
      </c>
    </row>
    <row r="39" spans="1:22" ht="16.5" customHeight="1">
      <c r="A39" s="422" t="s">
        <v>106</v>
      </c>
      <c r="B39" s="423"/>
      <c r="C39" s="1449">
        <f>B39/9*12</f>
        <v>0</v>
      </c>
      <c r="D39" s="425">
        <f>D18*'Satış Fiyat'!D18</f>
        <v>0</v>
      </c>
      <c r="E39" s="425">
        <f>E18*'Satış Fiyat'!E18</f>
        <v>0</v>
      </c>
      <c r="F39" s="425">
        <f>F18*'Satış Fiyat'!F18</f>
        <v>0</v>
      </c>
      <c r="G39" s="426">
        <f>G18*'Satış Fiyat'!G18</f>
        <v>0</v>
      </c>
      <c r="H39" s="426">
        <f>H18*'Satış Fiyat'!H18</f>
        <v>0</v>
      </c>
      <c r="I39" s="426">
        <f>I18*'Satış Fiyat'!I18</f>
        <v>0</v>
      </c>
      <c r="J39" s="426">
        <f>J18*'Satış Fiyat'!J18</f>
        <v>0</v>
      </c>
      <c r="K39" s="426">
        <f>K18*'Satış Fiyat'!K18</f>
        <v>0</v>
      </c>
      <c r="L39" s="426">
        <f>L18*'Satış Fiyat'!L18</f>
        <v>0</v>
      </c>
      <c r="M39" s="426">
        <f>M18*'Satış Fiyat'!M18</f>
        <v>0</v>
      </c>
      <c r="N39" s="426">
        <f>N18*'Satış Fiyat'!N18</f>
        <v>0</v>
      </c>
      <c r="O39" s="427">
        <f>O18*'Satış Fiyat'!O18</f>
        <v>0</v>
      </c>
      <c r="P39" s="1247">
        <f t="shared" si="14"/>
        <v>0</v>
      </c>
      <c r="Q39" s="1243" t="str">
        <f t="shared" si="15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Fiyat'!D19</f>
        <v>0</v>
      </c>
      <c r="E40" s="442">
        <f>E19*'Satış Fiyat'!E19</f>
        <v>0</v>
      </c>
      <c r="F40" s="442">
        <f>F19*'Satış Fiyat'!F19</f>
        <v>0</v>
      </c>
      <c r="G40" s="442">
        <f>G19*'Satış Fiyat'!G19</f>
        <v>0</v>
      </c>
      <c r="H40" s="442">
        <f>H19*'Satış Fiyat'!H19</f>
        <v>0</v>
      </c>
      <c r="I40" s="442">
        <f>I19*'Satış Fiyat'!I19</f>
        <v>0</v>
      </c>
      <c r="J40" s="442">
        <f>J19*'Satış Fiyat'!J19</f>
        <v>0</v>
      </c>
      <c r="K40" s="442">
        <f>K19*'Satış Fiyat'!K19</f>
        <v>0</v>
      </c>
      <c r="L40" s="442">
        <f>L19*'Satış Fiyat'!L19</f>
        <v>0</v>
      </c>
      <c r="M40" s="442">
        <f>M19*'Satış Fiyat'!M19</f>
        <v>0</v>
      </c>
      <c r="N40" s="442">
        <f>N19*'Satış Fiyat'!N19</f>
        <v>0</v>
      </c>
      <c r="O40" s="443">
        <f>O19*'Satış Fiyat'!O19</f>
        <v>0</v>
      </c>
      <c r="P40" s="1248">
        <f t="shared" si="14"/>
        <v>0</v>
      </c>
      <c r="Q40" s="1245" t="str">
        <f t="shared" si="15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Fiyat'!D21</f>
        <v>0</v>
      </c>
      <c r="E42" s="366">
        <f>E21*'Satış Fiyat'!E21</f>
        <v>0</v>
      </c>
      <c r="F42" s="366">
        <f>F21*'Satış Fiyat'!F21</f>
        <v>0</v>
      </c>
      <c r="G42" s="366">
        <f>G21*'Satış Fiyat'!G21</f>
        <v>0</v>
      </c>
      <c r="H42" s="366">
        <f>H21*'Satış Fiyat'!H21</f>
        <v>0</v>
      </c>
      <c r="I42" s="366">
        <f>I21*'Satış Fiyat'!I21</f>
        <v>0</v>
      </c>
      <c r="J42" s="366">
        <f>J21*'Satış Fiyat'!J21</f>
        <v>0</v>
      </c>
      <c r="K42" s="366">
        <f>K21*'Satış Fiyat'!K21</f>
        <v>0</v>
      </c>
      <c r="L42" s="366">
        <f>L21*'Satış Fiyat'!L21</f>
        <v>0</v>
      </c>
      <c r="M42" s="366">
        <f>M21*'Satış Fiyat'!M21</f>
        <v>0</v>
      </c>
      <c r="N42" s="366">
        <f>N21*'Satış Fiyat'!N21</f>
        <v>0</v>
      </c>
      <c r="O42" s="448">
        <f>O21*'Satış Fiyat'!O21</f>
        <v>0</v>
      </c>
      <c r="P42" s="1249">
        <f t="shared" si="14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4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2">+C25+C35+C38+C42</f>
        <v>0</v>
      </c>
      <c r="D44" s="365">
        <f t="shared" ref="D44:O44" si="23">+D25+D35+D38+D42</f>
        <v>0</v>
      </c>
      <c r="E44" s="366">
        <f t="shared" si="23"/>
        <v>0</v>
      </c>
      <c r="F44" s="366">
        <f t="shared" si="23"/>
        <v>0</v>
      </c>
      <c r="G44" s="366">
        <f>+G25+G35+G38+G42</f>
        <v>0</v>
      </c>
      <c r="H44" s="366">
        <f t="shared" si="23"/>
        <v>0</v>
      </c>
      <c r="I44" s="366">
        <f t="shared" si="23"/>
        <v>0</v>
      </c>
      <c r="J44" s="366">
        <f t="shared" si="23"/>
        <v>0</v>
      </c>
      <c r="K44" s="366">
        <f t="shared" si="23"/>
        <v>0</v>
      </c>
      <c r="L44" s="366">
        <f t="shared" si="23"/>
        <v>0</v>
      </c>
      <c r="M44" s="366">
        <f t="shared" si="23"/>
        <v>0</v>
      </c>
      <c r="N44" s="366">
        <f t="shared" si="23"/>
        <v>0</v>
      </c>
      <c r="O44" s="364">
        <f t="shared" si="23"/>
        <v>0</v>
      </c>
      <c r="P44" s="456">
        <f t="shared" si="14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4">C51+C52+C57</f>
        <v>0</v>
      </c>
      <c r="D48" s="365">
        <f t="shared" ref="D48:O48" si="25">D51+D52+D57</f>
        <v>0</v>
      </c>
      <c r="E48" s="366">
        <f t="shared" si="25"/>
        <v>0</v>
      </c>
      <c r="F48" s="366">
        <f t="shared" si="25"/>
        <v>0</v>
      </c>
      <c r="G48" s="366">
        <f t="shared" si="25"/>
        <v>0</v>
      </c>
      <c r="H48" s="366">
        <f t="shared" si="25"/>
        <v>0</v>
      </c>
      <c r="I48" s="366">
        <f t="shared" si="25"/>
        <v>0</v>
      </c>
      <c r="J48" s="366">
        <f t="shared" si="25"/>
        <v>0</v>
      </c>
      <c r="K48" s="366">
        <f t="shared" si="25"/>
        <v>0</v>
      </c>
      <c r="L48" s="366">
        <f t="shared" si="25"/>
        <v>0</v>
      </c>
      <c r="M48" s="366">
        <f t="shared" si="25"/>
        <v>0</v>
      </c>
      <c r="N48" s="366">
        <f t="shared" si="25"/>
        <v>0</v>
      </c>
      <c r="O48" s="364">
        <f t="shared" si="25"/>
        <v>0</v>
      </c>
      <c r="P48" s="456">
        <f t="shared" ref="P48:P67" si="26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3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7">+$S$49*E26</f>
        <v>0</v>
      </c>
      <c r="F49" s="373">
        <f>+$S$49*F26</f>
        <v>0</v>
      </c>
      <c r="G49" s="373">
        <f>+$T$49*G26</f>
        <v>0</v>
      </c>
      <c r="H49" s="373">
        <f t="shared" ref="H49" si="28">+$T$49*H26</f>
        <v>0</v>
      </c>
      <c r="I49" s="373">
        <f>+$T$49*I26</f>
        <v>0</v>
      </c>
      <c r="J49" s="373">
        <f>+$U$49*J26</f>
        <v>0</v>
      </c>
      <c r="K49" s="373">
        <f t="shared" ref="K49" si="29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1230">
        <f t="shared" si="26"/>
        <v>0</v>
      </c>
      <c r="Q49" s="1237" t="str">
        <f t="shared" ref="Q49:Q63" si="30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3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31">+$S$50*E27</f>
        <v>0</v>
      </c>
      <c r="F50" s="382">
        <f t="shared" si="31"/>
        <v>0</v>
      </c>
      <c r="G50" s="382">
        <f t="shared" si="31"/>
        <v>0</v>
      </c>
      <c r="H50" s="382">
        <f t="shared" si="31"/>
        <v>0</v>
      </c>
      <c r="I50" s="382">
        <f t="shared" si="31"/>
        <v>0</v>
      </c>
      <c r="J50" s="382">
        <f t="shared" si="31"/>
        <v>0</v>
      </c>
      <c r="K50" s="382">
        <f t="shared" si="31"/>
        <v>0</v>
      </c>
      <c r="L50" s="382">
        <f t="shared" si="31"/>
        <v>0</v>
      </c>
      <c r="M50" s="382">
        <f t="shared" si="31"/>
        <v>0</v>
      </c>
      <c r="N50" s="382">
        <f t="shared" si="31"/>
        <v>0</v>
      </c>
      <c r="O50" s="383">
        <f t="shared" si="31"/>
        <v>0</v>
      </c>
      <c r="P50" s="1231">
        <f t="shared" si="26"/>
        <v>0</v>
      </c>
      <c r="Q50" s="1238" t="str">
        <f t="shared" si="30"/>
        <v>-</v>
      </c>
      <c r="S50" s="458"/>
      <c r="T50" s="458"/>
      <c r="U50" s="458"/>
      <c r="V50" s="458"/>
    </row>
    <row r="51" spans="1:23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2">SUM(E49:E50)</f>
        <v>0</v>
      </c>
      <c r="F51" s="389">
        <f t="shared" si="32"/>
        <v>0</v>
      </c>
      <c r="G51" s="389">
        <f>SUM(G49:G50)</f>
        <v>0</v>
      </c>
      <c r="H51" s="389">
        <f t="shared" ref="H51" si="33">SUM(H49:H50)</f>
        <v>0</v>
      </c>
      <c r="I51" s="389">
        <f>SUM(I49:I50)</f>
        <v>0</v>
      </c>
      <c r="J51" s="389">
        <f>SUM(J49:J50)</f>
        <v>0</v>
      </c>
      <c r="K51" s="389">
        <f t="shared" ref="K51" si="34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1158">
        <f t="shared" si="26"/>
        <v>0</v>
      </c>
      <c r="Q51" s="1239" t="str">
        <f t="shared" si="30"/>
        <v>-</v>
      </c>
      <c r="S51" s="459"/>
      <c r="T51" s="459"/>
      <c r="U51" s="459"/>
      <c r="V51" s="459"/>
    </row>
    <row r="52" spans="1:23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5">+$S$52*E29</f>
        <v>0</v>
      </c>
      <c r="F52" s="397">
        <f>+$S$52*F29</f>
        <v>0</v>
      </c>
      <c r="G52" s="397">
        <f>+$T$52*G29</f>
        <v>0</v>
      </c>
      <c r="H52" s="397">
        <f t="shared" ref="H52" si="36">+$T$52*H29</f>
        <v>0</v>
      </c>
      <c r="I52" s="397">
        <f>+$T$52*I29</f>
        <v>0</v>
      </c>
      <c r="J52" s="397">
        <f>+$U$52*J29</f>
        <v>0</v>
      </c>
      <c r="K52" s="397">
        <f t="shared" ref="K52" si="37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1246">
        <f t="shared" si="26"/>
        <v>0</v>
      </c>
      <c r="Q52" s="1238" t="str">
        <f t="shared" si="30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3" ht="16.5" customHeight="1">
      <c r="A53" s="400" t="s">
        <v>81</v>
      </c>
      <c r="B53" s="386"/>
      <c r="C53" s="404">
        <f>B53/9*12</f>
        <v>0</v>
      </c>
      <c r="D53" s="402">
        <f t="shared" ref="D53:F53" si="38">+$S$53*D30</f>
        <v>0</v>
      </c>
      <c r="E53" s="403">
        <f t="shared" si="38"/>
        <v>0</v>
      </c>
      <c r="F53" s="403">
        <f t="shared" si="38"/>
        <v>0</v>
      </c>
      <c r="G53" s="403">
        <f>+$T$53*G30</f>
        <v>0</v>
      </c>
      <c r="H53" s="403">
        <f t="shared" ref="H53" si="39">+$T$53*H30</f>
        <v>0</v>
      </c>
      <c r="I53" s="403">
        <f>+$T$53*I30</f>
        <v>0</v>
      </c>
      <c r="J53" s="403">
        <f>+$U$53*J30</f>
        <v>0</v>
      </c>
      <c r="K53" s="403">
        <f t="shared" ref="K53" si="40">+$U$53*K30</f>
        <v>0</v>
      </c>
      <c r="L53" s="403">
        <f>+$U$53*L30</f>
        <v>0</v>
      </c>
      <c r="M53" s="403">
        <f>+$V$53*M30</f>
        <v>0</v>
      </c>
      <c r="N53" s="403">
        <f t="shared" ref="N53" si="41">+$V$53*N30</f>
        <v>0</v>
      </c>
      <c r="O53" s="404">
        <f>+$V$53*O30</f>
        <v>0</v>
      </c>
      <c r="P53" s="1218">
        <f t="shared" si="26"/>
        <v>0</v>
      </c>
      <c r="Q53" s="1240" t="str">
        <f t="shared" si="30"/>
        <v>-</v>
      </c>
      <c r="S53" s="461">
        <v>-5.0000000000000001E-3</v>
      </c>
      <c r="T53" s="461">
        <v>-5.0000000000000001E-3</v>
      </c>
      <c r="U53" s="461">
        <v>-5.0000000000000001E-3</v>
      </c>
      <c r="V53" s="461">
        <v>-5.0000000000000001E-3</v>
      </c>
      <c r="W53" s="352">
        <v>3</v>
      </c>
    </row>
    <row r="54" spans="1:23" ht="16.5" hidden="1" customHeight="1">
      <c r="A54" s="406" t="s">
        <v>82</v>
      </c>
      <c r="B54" s="394"/>
      <c r="C54" s="395"/>
      <c r="D54" s="407">
        <f t="shared" ref="D54:O54" si="42">+$S$54*D31</f>
        <v>0</v>
      </c>
      <c r="E54" s="382">
        <f t="shared" si="42"/>
        <v>0</v>
      </c>
      <c r="F54" s="382">
        <f t="shared" si="42"/>
        <v>0</v>
      </c>
      <c r="G54" s="382">
        <f t="shared" si="42"/>
        <v>0</v>
      </c>
      <c r="H54" s="382">
        <f t="shared" si="42"/>
        <v>0</v>
      </c>
      <c r="I54" s="382">
        <f t="shared" si="42"/>
        <v>0</v>
      </c>
      <c r="J54" s="382">
        <f t="shared" si="42"/>
        <v>0</v>
      </c>
      <c r="K54" s="382">
        <f t="shared" si="42"/>
        <v>0</v>
      </c>
      <c r="L54" s="382">
        <f t="shared" si="42"/>
        <v>0</v>
      </c>
      <c r="M54" s="382">
        <f t="shared" si="42"/>
        <v>0</v>
      </c>
      <c r="N54" s="382">
        <f t="shared" si="42"/>
        <v>0</v>
      </c>
      <c r="O54" s="383">
        <f t="shared" si="42"/>
        <v>0</v>
      </c>
      <c r="P54" s="1246">
        <f t="shared" si="26"/>
        <v>0</v>
      </c>
      <c r="Q54" s="1238" t="str">
        <f t="shared" si="30"/>
        <v>-</v>
      </c>
      <c r="S54" s="461">
        <v>0.01</v>
      </c>
      <c r="T54" s="461">
        <v>0.01</v>
      </c>
      <c r="U54" s="461">
        <v>0.01</v>
      </c>
      <c r="V54" s="461">
        <v>0.01</v>
      </c>
    </row>
    <row r="55" spans="1:23" ht="16.5" customHeight="1">
      <c r="A55" s="400" t="s">
        <v>83</v>
      </c>
      <c r="B55" s="408"/>
      <c r="C55" s="404">
        <f>B55/10*12</f>
        <v>0</v>
      </c>
      <c r="D55" s="402">
        <f t="shared" ref="D55:F55" si="43">+$S$55*D32</f>
        <v>0</v>
      </c>
      <c r="E55" s="403">
        <f t="shared" si="43"/>
        <v>0</v>
      </c>
      <c r="F55" s="403">
        <f t="shared" si="43"/>
        <v>0</v>
      </c>
      <c r="G55" s="403">
        <f>+$T$55*G32</f>
        <v>0</v>
      </c>
      <c r="H55" s="403">
        <f t="shared" ref="H55" si="44">+$T$55*H32</f>
        <v>0</v>
      </c>
      <c r="I55" s="403">
        <f>+$T$55*I32</f>
        <v>0</v>
      </c>
      <c r="J55" s="403">
        <f>+$U$55*J32</f>
        <v>0</v>
      </c>
      <c r="K55" s="403">
        <f t="shared" ref="K55" si="45">+$U$55*K32</f>
        <v>0</v>
      </c>
      <c r="L55" s="403">
        <f>+$U$55*L32</f>
        <v>0</v>
      </c>
      <c r="M55" s="403">
        <f>+$V$55*M32</f>
        <v>0</v>
      </c>
      <c r="N55" s="403">
        <f t="shared" ref="N55" si="46">+$V$55*N32</f>
        <v>0</v>
      </c>
      <c r="O55" s="404">
        <f>+$V$55*O32</f>
        <v>0</v>
      </c>
      <c r="P55" s="1218">
        <f t="shared" si="26"/>
        <v>0</v>
      </c>
      <c r="Q55" s="1240" t="str">
        <f t="shared" si="30"/>
        <v>-</v>
      </c>
      <c r="S55" s="461">
        <v>0.01</v>
      </c>
      <c r="T55" s="461">
        <v>0.01</v>
      </c>
      <c r="U55" s="461">
        <v>0.01</v>
      </c>
      <c r="V55" s="461">
        <v>0.01</v>
      </c>
    </row>
    <row r="56" spans="1:23" ht="16.5" hidden="1" customHeight="1">
      <c r="A56" s="406" t="s">
        <v>84</v>
      </c>
      <c r="B56" s="378"/>
      <c r="C56" s="379"/>
      <c r="D56" s="407">
        <f t="shared" ref="D56:O56" si="47">+$S$56*D33</f>
        <v>0</v>
      </c>
      <c r="E56" s="382">
        <f t="shared" si="47"/>
        <v>0</v>
      </c>
      <c r="F56" s="382">
        <f t="shared" si="47"/>
        <v>0</v>
      </c>
      <c r="G56" s="382">
        <f t="shared" si="47"/>
        <v>0</v>
      </c>
      <c r="H56" s="382">
        <f t="shared" si="47"/>
        <v>0</v>
      </c>
      <c r="I56" s="382">
        <f t="shared" si="47"/>
        <v>0</v>
      </c>
      <c r="J56" s="382">
        <f t="shared" si="47"/>
        <v>0</v>
      </c>
      <c r="K56" s="382">
        <f t="shared" si="47"/>
        <v>0</v>
      </c>
      <c r="L56" s="382">
        <f t="shared" si="47"/>
        <v>0</v>
      </c>
      <c r="M56" s="382">
        <f t="shared" si="47"/>
        <v>0</v>
      </c>
      <c r="N56" s="382">
        <f t="shared" si="47"/>
        <v>0</v>
      </c>
      <c r="O56" s="383">
        <f t="shared" si="47"/>
        <v>0</v>
      </c>
      <c r="P56" s="1246">
        <f t="shared" si="26"/>
        <v>0</v>
      </c>
      <c r="Q56" s="1238" t="str">
        <f t="shared" si="30"/>
        <v>-</v>
      </c>
      <c r="S56" s="460"/>
      <c r="T56" s="460"/>
      <c r="U56" s="460"/>
      <c r="V56" s="460"/>
    </row>
    <row r="57" spans="1:23" ht="15" customHeight="1" thickBot="1">
      <c r="A57" s="410" t="s">
        <v>18</v>
      </c>
      <c r="B57" s="411">
        <f t="shared" ref="B57:F57" si="48">SUM(B53:B56)</f>
        <v>0</v>
      </c>
      <c r="C57" s="412">
        <f t="shared" si="48"/>
        <v>0</v>
      </c>
      <c r="D57" s="413">
        <f t="shared" si="48"/>
        <v>0</v>
      </c>
      <c r="E57" s="414">
        <f t="shared" si="48"/>
        <v>0</v>
      </c>
      <c r="F57" s="414">
        <f t="shared" si="48"/>
        <v>0</v>
      </c>
      <c r="G57" s="414">
        <f>SUM(G53:G56)</f>
        <v>0</v>
      </c>
      <c r="H57" s="414">
        <f t="shared" ref="H57" si="49">SUM(H53:H56)</f>
        <v>0</v>
      </c>
      <c r="I57" s="414">
        <f>SUM(I53:I56)</f>
        <v>0</v>
      </c>
      <c r="J57" s="414">
        <f>SUM(J53:J56)</f>
        <v>0</v>
      </c>
      <c r="K57" s="414">
        <f t="shared" ref="K57" si="50">SUM(K53:K56)</f>
        <v>0</v>
      </c>
      <c r="L57" s="414">
        <f>SUM(L53:L56)</f>
        <v>0</v>
      </c>
      <c r="M57" s="414">
        <f>SUM(M53:M56)</f>
        <v>0</v>
      </c>
      <c r="N57" s="414">
        <f t="shared" ref="N57" si="51">SUM(N53:N56)</f>
        <v>0</v>
      </c>
      <c r="O57" s="412">
        <f>SUM(O53:O56)</f>
        <v>0</v>
      </c>
      <c r="P57" s="1159">
        <f t="shared" si="26"/>
        <v>0</v>
      </c>
      <c r="Q57" s="1241" t="str">
        <f t="shared" si="30"/>
        <v>-</v>
      </c>
      <c r="S57" s="462"/>
      <c r="T57" s="462"/>
      <c r="U57" s="462"/>
      <c r="V57" s="462"/>
    </row>
    <row r="58" spans="1:23" ht="22.5" customHeight="1" thickBot="1">
      <c r="A58" s="362" t="s">
        <v>29</v>
      </c>
      <c r="B58" s="420">
        <f>+B59+B60</f>
        <v>0</v>
      </c>
      <c r="C58" s="416">
        <f t="shared" ref="C58" si="52">SUM(C59:C60)</f>
        <v>0</v>
      </c>
      <c r="D58" s="417">
        <f t="shared" ref="D58:F58" si="53">SUM(D59:D60)</f>
        <v>0</v>
      </c>
      <c r="E58" s="418">
        <f t="shared" si="53"/>
        <v>0</v>
      </c>
      <c r="F58" s="418">
        <f t="shared" si="53"/>
        <v>0</v>
      </c>
      <c r="G58" s="418">
        <f>SUM(G59:G60)</f>
        <v>0</v>
      </c>
      <c r="H58" s="418">
        <f t="shared" ref="H58" si="54">SUM(H59:H60)</f>
        <v>0</v>
      </c>
      <c r="I58" s="418">
        <f>SUM(I59:I60)</f>
        <v>0</v>
      </c>
      <c r="J58" s="418">
        <f>SUM(J59:J60)</f>
        <v>0</v>
      </c>
      <c r="K58" s="418">
        <f t="shared" ref="K58" si="55">SUM(K59:K60)</f>
        <v>0</v>
      </c>
      <c r="L58" s="418">
        <f>SUM(L59:L60)</f>
        <v>0</v>
      </c>
      <c r="M58" s="418">
        <f>SUM(M59:M60)</f>
        <v>0</v>
      </c>
      <c r="N58" s="418">
        <f t="shared" ref="N58" si="56">SUM(N59:N60)</f>
        <v>0</v>
      </c>
      <c r="O58" s="419">
        <f>SUM(O59:O60)</f>
        <v>0</v>
      </c>
      <c r="P58" s="1232">
        <f t="shared" si="26"/>
        <v>0</v>
      </c>
      <c r="Q58" s="1242" t="str">
        <f t="shared" si="30"/>
        <v>-</v>
      </c>
      <c r="S58" s="463"/>
      <c r="T58" s="463"/>
      <c r="U58" s="463"/>
      <c r="V58" s="463"/>
    </row>
    <row r="59" spans="1:23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7">+$S$59*E36</f>
        <v>0</v>
      </c>
      <c r="F59" s="426">
        <f t="shared" si="57"/>
        <v>0</v>
      </c>
      <c r="G59" s="426">
        <f>+$T$59*G36</f>
        <v>0</v>
      </c>
      <c r="H59" s="426">
        <f t="shared" ref="H59" si="58">+$T$59*H36</f>
        <v>0</v>
      </c>
      <c r="I59" s="426">
        <f>+$T$59*I36</f>
        <v>0</v>
      </c>
      <c r="J59" s="426">
        <f>+$U$59*J36</f>
        <v>0</v>
      </c>
      <c r="K59" s="426">
        <f t="shared" ref="K59" si="59">+$U$59*K36</f>
        <v>0</v>
      </c>
      <c r="L59" s="426">
        <f>+$U$59*L36</f>
        <v>0</v>
      </c>
      <c r="M59" s="426">
        <f>+$V$59*M36</f>
        <v>0</v>
      </c>
      <c r="N59" s="426">
        <f t="shared" ref="N59" si="60">+$V$59*N36</f>
        <v>0</v>
      </c>
      <c r="O59" s="427">
        <f>+$V$59*O36</f>
        <v>0</v>
      </c>
      <c r="P59" s="1247">
        <f>SUM(D59:O59)</f>
        <v>0</v>
      </c>
      <c r="Q59" s="1243" t="str">
        <f t="shared" si="30"/>
        <v>-</v>
      </c>
      <c r="S59" s="464"/>
      <c r="T59" s="464"/>
      <c r="U59" s="464"/>
      <c r="V59" s="464"/>
    </row>
    <row r="60" spans="1:23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1">+$S$60*E37</f>
        <v>0</v>
      </c>
      <c r="F60" s="434">
        <f t="shared" si="61"/>
        <v>0</v>
      </c>
      <c r="G60" s="434">
        <f>+$T$60*G37</f>
        <v>0</v>
      </c>
      <c r="H60" s="434">
        <f t="shared" ref="H60" si="62">+$T$60*H37</f>
        <v>0</v>
      </c>
      <c r="I60" s="434">
        <f>+$T$60*I37</f>
        <v>0</v>
      </c>
      <c r="J60" s="434">
        <f>+$U$60*J37</f>
        <v>0</v>
      </c>
      <c r="K60" s="434">
        <f t="shared" ref="K60" si="63">+$U$60*K37</f>
        <v>0</v>
      </c>
      <c r="L60" s="434">
        <f>+$U$60*L37</f>
        <v>0</v>
      </c>
      <c r="M60" s="434">
        <f>+$V$60*M37</f>
        <v>0</v>
      </c>
      <c r="N60" s="434">
        <f t="shared" ref="N60" si="64">+$V$60*N37</f>
        <v>0</v>
      </c>
      <c r="O60" s="435">
        <f>+$V$60*O37</f>
        <v>0</v>
      </c>
      <c r="P60" s="1220">
        <f t="shared" si="26"/>
        <v>0</v>
      </c>
      <c r="Q60" s="1244" t="str">
        <f t="shared" si="30"/>
        <v>-</v>
      </c>
      <c r="S60" s="465"/>
      <c r="T60" s="465"/>
      <c r="U60" s="465"/>
      <c r="V60" s="465"/>
    </row>
    <row r="61" spans="1:23" ht="22.5" customHeight="1" thickBot="1">
      <c r="A61" s="362" t="s">
        <v>30</v>
      </c>
      <c r="B61" s="363">
        <f t="shared" ref="B61:F61" si="65">SUM(B62:B63)</f>
        <v>0</v>
      </c>
      <c r="C61" s="416">
        <f t="shared" si="65"/>
        <v>0</v>
      </c>
      <c r="D61" s="417">
        <f t="shared" si="65"/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1232">
        <f t="shared" si="26"/>
        <v>0</v>
      </c>
      <c r="Q61" s="1242" t="str">
        <f t="shared" si="30"/>
        <v>-</v>
      </c>
    </row>
    <row r="62" spans="1:23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1247">
        <f t="shared" si="26"/>
        <v>0</v>
      </c>
      <c r="Q62" s="1243" t="str">
        <f t="shared" si="30"/>
        <v>-</v>
      </c>
    </row>
    <row r="63" spans="1:23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1248">
        <f t="shared" si="26"/>
        <v>0</v>
      </c>
      <c r="Q63" s="1245" t="str">
        <f t="shared" si="30"/>
        <v>-</v>
      </c>
    </row>
    <row r="64" spans="1:23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456">
        <f t="shared" si="26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6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>+D48+D58+D61+D65</f>
        <v>0</v>
      </c>
      <c r="E67" s="366">
        <f t="shared" ref="E67:N67" si="82">+E48+E58+E61+E65</f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>+O48+O58+O61+O65</f>
        <v>0</v>
      </c>
      <c r="P67" s="456">
        <f t="shared" si="26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456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1230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1231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1158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1246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1218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1246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1218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1246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1159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1232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1247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1220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456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1247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1248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456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456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456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Fiyat'!D5</f>
        <v>0</v>
      </c>
      <c r="E95" s="372">
        <f>E5*'Alış Fiyat'!E5</f>
        <v>0</v>
      </c>
      <c r="F95" s="372">
        <f>F5*'Alış Fiyat'!F5</f>
        <v>0</v>
      </c>
      <c r="G95" s="372">
        <f>G5*'Alış Fiyat'!G5</f>
        <v>0</v>
      </c>
      <c r="H95" s="373">
        <f>H5*'Alış Fiyat'!H5</f>
        <v>0</v>
      </c>
      <c r="I95" s="373">
        <f>I5*'Alış Fiyat'!I5</f>
        <v>0</v>
      </c>
      <c r="J95" s="373">
        <f>J5*'Alış Fiyat'!J5</f>
        <v>0</v>
      </c>
      <c r="K95" s="373">
        <f>K5*'Alış Fiyat'!K5</f>
        <v>0</v>
      </c>
      <c r="L95" s="373">
        <f>L5*'Alış Fiyat'!L5</f>
        <v>0</v>
      </c>
      <c r="M95" s="373">
        <f>M5*'Alış Fiyat'!M5</f>
        <v>0</v>
      </c>
      <c r="N95" s="373">
        <f>N5*'Alış Fiyat'!N5</f>
        <v>0</v>
      </c>
      <c r="O95" s="374">
        <f>O5*'Alış Fiyat'!O5</f>
        <v>0</v>
      </c>
      <c r="P95" s="1230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Fiyat'!D6</f>
        <v>0</v>
      </c>
      <c r="E96" s="381">
        <f>E6*'Alış Fiyat'!E6</f>
        <v>0</v>
      </c>
      <c r="F96" s="381">
        <f>F6*'Alış Fiyat'!F6</f>
        <v>0</v>
      </c>
      <c r="G96" s="381">
        <f>G6*'Alış Fiyat'!G6</f>
        <v>0</v>
      </c>
      <c r="H96" s="382">
        <f>H6*'Alış Fiyat'!H6</f>
        <v>0</v>
      </c>
      <c r="I96" s="382">
        <f>I6*'Alış Fiyat'!I6</f>
        <v>0</v>
      </c>
      <c r="J96" s="382">
        <f>J6*'Alış Fiyat'!J6</f>
        <v>0</v>
      </c>
      <c r="K96" s="382">
        <f>K6*'Alış Fiyat'!K6</f>
        <v>0</v>
      </c>
      <c r="L96" s="382">
        <f>L6*'Alış Fiyat'!L6</f>
        <v>0</v>
      </c>
      <c r="M96" s="382">
        <f>M6*'Alış Fiyat'!M6</f>
        <v>0</v>
      </c>
      <c r="N96" s="382">
        <f>N6*'Alış Fiyat'!N6</f>
        <v>0</v>
      </c>
      <c r="O96" s="383">
        <f>O6*'Alış Fiyat'!O6</f>
        <v>0</v>
      </c>
      <c r="P96" s="1231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1158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Fiyat'!D8</f>
        <v>0</v>
      </c>
      <c r="E98" s="397">
        <f>E8*'Alış Fiyat'!E8</f>
        <v>0</v>
      </c>
      <c r="F98" s="397">
        <f>F8*'Alış Fiyat'!F8</f>
        <v>0</v>
      </c>
      <c r="G98" s="397">
        <f>G8*'Alış Fiyat'!G8</f>
        <v>0</v>
      </c>
      <c r="H98" s="397">
        <f>H8*'Alış Fiyat'!H8</f>
        <v>0</v>
      </c>
      <c r="I98" s="397">
        <f>I8*'Alış Fiyat'!I8</f>
        <v>0</v>
      </c>
      <c r="J98" s="397">
        <f>J8*'Alış Fiyat'!J8</f>
        <v>0</v>
      </c>
      <c r="K98" s="397">
        <f>K8*'Alış Fiyat'!K8</f>
        <v>0</v>
      </c>
      <c r="L98" s="397">
        <f>L8*'Alış Fiyat'!L8</f>
        <v>0</v>
      </c>
      <c r="M98" s="397">
        <f>M8*'Alış Fiyat'!M8</f>
        <v>0</v>
      </c>
      <c r="N98" s="397">
        <f>N8*'Alış Fiyat'!N8</f>
        <v>0</v>
      </c>
      <c r="O98" s="398">
        <f>O8*'Alış Fiyat'!O8</f>
        <v>0</v>
      </c>
      <c r="P98" s="1246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Fiyat'!D9</f>
        <v>0</v>
      </c>
      <c r="E99" s="389">
        <f>E9*'Alış Fiyat'!E9</f>
        <v>0</v>
      </c>
      <c r="F99" s="389">
        <f>F9*'Alış Fiyat'!F9</f>
        <v>0</v>
      </c>
      <c r="G99" s="389">
        <f>G9*'Alış Fiyat'!G9</f>
        <v>0</v>
      </c>
      <c r="H99" s="389">
        <f>H9*'Alış Fiyat'!H9</f>
        <v>0</v>
      </c>
      <c r="I99" s="389">
        <f>I9*'Alış Fiyat'!I9</f>
        <v>0</v>
      </c>
      <c r="J99" s="389">
        <f>J9*'Alış Fiyat'!J9</f>
        <v>0</v>
      </c>
      <c r="K99" s="389">
        <f>K9*'Alış Fiyat'!K9</f>
        <v>0</v>
      </c>
      <c r="L99" s="389">
        <f>L9*'Alış Fiyat'!L9</f>
        <v>0</v>
      </c>
      <c r="M99" s="389">
        <f>M9*'Alış Fiyat'!M9</f>
        <v>0</v>
      </c>
      <c r="N99" s="389">
        <f>N9*'Alış Fiyat'!N9</f>
        <v>0</v>
      </c>
      <c r="O99" s="390">
        <f>O9*'Alış Fiyat'!O9</f>
        <v>0</v>
      </c>
      <c r="P99" s="1218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Fiyat'!D10</f>
        <v>0</v>
      </c>
      <c r="E100" s="397">
        <f>E10*'Alış Fiyat'!E10</f>
        <v>0</v>
      </c>
      <c r="F100" s="397">
        <f>F10*'Alış Fiyat'!F10</f>
        <v>0</v>
      </c>
      <c r="G100" s="397">
        <f>G10*'Alış Fiyat'!G10</f>
        <v>0</v>
      </c>
      <c r="H100" s="397">
        <f>H10*'Alış Fiyat'!H10</f>
        <v>0</v>
      </c>
      <c r="I100" s="397">
        <f>I10*'Alış Fiyat'!I10</f>
        <v>0</v>
      </c>
      <c r="J100" s="397">
        <f>J10*'Alış Fiyat'!J10</f>
        <v>0</v>
      </c>
      <c r="K100" s="397">
        <f>K10*'Alış Fiyat'!K10</f>
        <v>0</v>
      </c>
      <c r="L100" s="397">
        <f>L10*'Alış Fiyat'!L10</f>
        <v>0</v>
      </c>
      <c r="M100" s="397">
        <f>M10*'Alış Fiyat'!M10</f>
        <v>0</v>
      </c>
      <c r="N100" s="397">
        <f>N10*'Alış Fiyat'!N10</f>
        <v>0</v>
      </c>
      <c r="O100" s="398">
        <f>O10*'Alış Fiyat'!O10</f>
        <v>0</v>
      </c>
      <c r="P100" s="1246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4"/>
      <c r="D101" s="402">
        <f>D11*'Alış Fiyat'!D11</f>
        <v>0</v>
      </c>
      <c r="E101" s="403">
        <f>E11*'Alış Fiyat'!E11</f>
        <v>0</v>
      </c>
      <c r="F101" s="403">
        <f>F11*'Alış Fiyat'!F11</f>
        <v>0</v>
      </c>
      <c r="G101" s="403">
        <f>G11*'Alış Fiyat'!G11</f>
        <v>0</v>
      </c>
      <c r="H101" s="403">
        <f>H11*'Alış Fiyat'!H11</f>
        <v>0</v>
      </c>
      <c r="I101" s="403">
        <f>I11*'Alış Fiyat'!I11</f>
        <v>0</v>
      </c>
      <c r="J101" s="403">
        <f>J11*'Alış Fiyat'!J11</f>
        <v>0</v>
      </c>
      <c r="K101" s="403">
        <f>K11*'Alış Fiyat'!K11</f>
        <v>0</v>
      </c>
      <c r="L101" s="403">
        <f>L11*'Alış Fiyat'!L11</f>
        <v>0</v>
      </c>
      <c r="M101" s="403">
        <f>M11*'Alış Fiyat'!M11</f>
        <v>0</v>
      </c>
      <c r="N101" s="403">
        <f>N11*'Alış Fiyat'!N11</f>
        <v>0</v>
      </c>
      <c r="O101" s="404">
        <f>O11*'Alış Fiyat'!O11</f>
        <v>0</v>
      </c>
      <c r="P101" s="1218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Fiyat'!D12</f>
        <v>0</v>
      </c>
      <c r="E102" s="382">
        <f>E12*'Alış Fiyat'!E12</f>
        <v>0</v>
      </c>
      <c r="F102" s="382">
        <f>F12*'Alış Fiyat'!F12</f>
        <v>0</v>
      </c>
      <c r="G102" s="382">
        <f>G12*'Alış Fiyat'!G12</f>
        <v>0</v>
      </c>
      <c r="H102" s="382">
        <f>H12*'Alış Fiyat'!H12</f>
        <v>0</v>
      </c>
      <c r="I102" s="381">
        <f>I12*'Alış Fiyat'!I12</f>
        <v>0</v>
      </c>
      <c r="J102" s="381">
        <f>J12*'Alış Fiyat'!J12</f>
        <v>0</v>
      </c>
      <c r="K102" s="382">
        <f>K12*'Alış Fiyat'!K12</f>
        <v>0</v>
      </c>
      <c r="L102" s="382">
        <f>L12*'Alış Fiyat'!L12</f>
        <v>0</v>
      </c>
      <c r="M102" s="382">
        <f>M12*'Alış Fiyat'!M12</f>
        <v>0</v>
      </c>
      <c r="N102" s="382">
        <f>N12*'Alış Fiyat'!N12</f>
        <v>0</v>
      </c>
      <c r="O102" s="383">
        <f>O12*'Alış Fiyat'!O12</f>
        <v>0</v>
      </c>
      <c r="P102" s="1246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1159">
        <f t="shared" si="115"/>
        <v>0</v>
      </c>
      <c r="Q103" s="1241" t="str">
        <f t="shared" si="112"/>
        <v>-</v>
      </c>
    </row>
    <row r="104" spans="1:22" ht="22.5" customHeight="1" thickBot="1">
      <c r="A104" s="1251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1232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Fiyat'!D15</f>
        <v>0</v>
      </c>
      <c r="E105" s="426">
        <f>E15*'Alış Fiyat'!E15</f>
        <v>0</v>
      </c>
      <c r="F105" s="426">
        <f>F15*'Alış Fiyat'!F15</f>
        <v>0</v>
      </c>
      <c r="G105" s="426">
        <f>G15*'Alış Fiyat'!G15</f>
        <v>0</v>
      </c>
      <c r="H105" s="426">
        <f>H15*'Alış Fiyat'!H15</f>
        <v>0</v>
      </c>
      <c r="I105" s="426">
        <f>I15*'Alış Fiyat'!I15</f>
        <v>0</v>
      </c>
      <c r="J105" s="426">
        <f>J15*'Alış Fiyat'!J15</f>
        <v>0</v>
      </c>
      <c r="K105" s="426">
        <f>K15*'Alış Fiyat'!K15</f>
        <v>0</v>
      </c>
      <c r="L105" s="426">
        <f>L15*'Alış Fiyat'!L15</f>
        <v>0</v>
      </c>
      <c r="M105" s="426">
        <f>M15*'Alış Fiyat'!M15</f>
        <v>0</v>
      </c>
      <c r="N105" s="426">
        <f>N15*'Alış Fiyat'!N15</f>
        <v>0</v>
      </c>
      <c r="O105" s="427">
        <f>O15*'Alış Fiyat'!O15</f>
        <v>0</v>
      </c>
      <c r="P105" s="1247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Fiyat'!D16</f>
        <v>0</v>
      </c>
      <c r="E106" s="434">
        <f>E16*'Alış Fiyat'!E16</f>
        <v>0</v>
      </c>
      <c r="F106" s="434">
        <f>F16*'Alış Fiyat'!F16</f>
        <v>0</v>
      </c>
      <c r="G106" s="434">
        <f>G16*'Alış Fiyat'!G16</f>
        <v>0</v>
      </c>
      <c r="H106" s="434">
        <f>H16*'Alış Fiyat'!H16</f>
        <v>0</v>
      </c>
      <c r="I106" s="434">
        <f>I16*'Alış Fiyat'!I16</f>
        <v>0</v>
      </c>
      <c r="J106" s="434">
        <f>J16*'Alış Fiyat'!J16</f>
        <v>0</v>
      </c>
      <c r="K106" s="434">
        <f>K16*'Alış Fiyat'!K16</f>
        <v>0</v>
      </c>
      <c r="L106" s="434">
        <f>L16*'Alış Fiyat'!L16</f>
        <v>0</v>
      </c>
      <c r="M106" s="434">
        <f>M16*'Alış Fiyat'!M16</f>
        <v>0</v>
      </c>
      <c r="N106" s="434">
        <f>N16*'Alış Fiyat'!N16</f>
        <v>0</v>
      </c>
      <c r="O106" s="435">
        <f>O16*'Alış Fiyat'!O16</f>
        <v>0</v>
      </c>
      <c r="P106" s="1220">
        <f>SUM(D106:O106)</f>
        <v>0</v>
      </c>
      <c r="Q106" s="1244" t="str">
        <f t="shared" si="112"/>
        <v>-</v>
      </c>
    </row>
    <row r="107" spans="1:22" ht="22.5" customHeight="1" thickBot="1">
      <c r="A107" s="1251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1232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1449">
        <f>B108/9*12</f>
        <v>0</v>
      </c>
      <c r="D108" s="425">
        <f>D18*'Alış Fiyat'!D18</f>
        <v>0</v>
      </c>
      <c r="E108" s="426">
        <f>E18*'Alış Fiyat'!E18</f>
        <v>0</v>
      </c>
      <c r="F108" s="426">
        <f>F18*'Alış Fiyat'!F18</f>
        <v>0</v>
      </c>
      <c r="G108" s="426">
        <f>G18*'Alış Fiyat'!G18</f>
        <v>0</v>
      </c>
      <c r="H108" s="426">
        <f>H18*'Alış Fiyat'!H18</f>
        <v>0</v>
      </c>
      <c r="I108" s="426">
        <f>I18*'Alış Fiyat'!I18</f>
        <v>0</v>
      </c>
      <c r="J108" s="426">
        <f>J18*'Alış Fiyat'!J18</f>
        <v>0</v>
      </c>
      <c r="K108" s="426">
        <f>K18*'Alış Fiyat'!K18</f>
        <v>0</v>
      </c>
      <c r="L108" s="426">
        <f>L18*'Alış Fiyat'!L18</f>
        <v>0</v>
      </c>
      <c r="M108" s="426">
        <f>M18*'Alış Fiyat'!M18</f>
        <v>0</v>
      </c>
      <c r="N108" s="426">
        <f>N18*'Alış Fiyat'!N18</f>
        <v>0</v>
      </c>
      <c r="O108" s="427">
        <f>O18*'Alış Fiyat'!O18</f>
        <v>0</v>
      </c>
      <c r="P108" s="1247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Fiyat'!D19</f>
        <v>0</v>
      </c>
      <c r="E109" s="442">
        <f>E19*'Alış Fiyat'!E19</f>
        <v>0</v>
      </c>
      <c r="F109" s="442">
        <f>F19*'Alış Fiyat'!F19</f>
        <v>0</v>
      </c>
      <c r="G109" s="442">
        <f>G19*'Alış Fiyat'!G19</f>
        <v>0</v>
      </c>
      <c r="H109" s="442">
        <f>H19*'Alış Fiyat'!H19</f>
        <v>0</v>
      </c>
      <c r="I109" s="442">
        <f>I19*'Alış Fiyat'!I19</f>
        <v>0</v>
      </c>
      <c r="J109" s="442">
        <f>J19*'Alış Fiyat'!J19</f>
        <v>0</v>
      </c>
      <c r="K109" s="442">
        <f>K19*'Alış Fiyat'!K19</f>
        <v>0</v>
      </c>
      <c r="L109" s="442">
        <f>L19*'Alış Fiyat'!L19</f>
        <v>0</v>
      </c>
      <c r="M109" s="442">
        <f>M19*'Alış Fiyat'!M19</f>
        <v>0</v>
      </c>
      <c r="N109" s="442">
        <f>N19*'Alış Fiyat'!N19</f>
        <v>0</v>
      </c>
      <c r="O109" s="443">
        <f>O19*'Alış Fiyat'!O19</f>
        <v>0</v>
      </c>
      <c r="P109" s="1248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Fiyat'!D21</f>
        <v>0</v>
      </c>
      <c r="E111" s="366">
        <f>E21*'Alış Fiyat'!E21</f>
        <v>0</v>
      </c>
      <c r="F111" s="366">
        <f>F21*'Alış Fiyat'!F21</f>
        <v>0</v>
      </c>
      <c r="G111" s="366">
        <f>G21*'Alış Fiyat'!G21</f>
        <v>0</v>
      </c>
      <c r="H111" s="366">
        <f>H21*'Alış Fiyat'!H21</f>
        <v>0</v>
      </c>
      <c r="I111" s="366">
        <f>I21*'Alış Fiyat'!I21</f>
        <v>0</v>
      </c>
      <c r="J111" s="366">
        <f>J21*'Alış Fiyat'!J21</f>
        <v>0</v>
      </c>
      <c r="K111" s="366">
        <f>K21*'Alış Fiyat'!K21</f>
        <v>0</v>
      </c>
      <c r="L111" s="366">
        <f>L21*'Alış Fiyat'!L21</f>
        <v>0</v>
      </c>
      <c r="M111" s="366">
        <f>M21*'Alış Fiyat'!M21</f>
        <v>0</v>
      </c>
      <c r="N111" s="366">
        <f>N21*'Alış Fiyat'!N21</f>
        <v>0</v>
      </c>
      <c r="O111" s="448">
        <f>O21*'Alış Fiyat'!O21</f>
        <v>0</v>
      </c>
      <c r="P111" s="456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456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456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>+D72-D95</f>
        <v>0</v>
      </c>
      <c r="E118" s="372">
        <f t="shared" ref="E118:O118" si="126">+E72-E95</f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1230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1231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1158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1246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1218">
        <f t="shared" si="127"/>
        <v>0</v>
      </c>
      <c r="Q122" s="1240" t="str">
        <f>IF(P122=0,"-",P122/C122-1)</f>
        <v>-</v>
      </c>
      <c r="R122" s="1918" t="e">
        <f>SUM(P76-P99)/P76</f>
        <v>#DIV/0!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1246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1218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1246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1159">
        <f t="shared" si="137"/>
        <v>0</v>
      </c>
      <c r="Q126" s="1241" t="str">
        <f t="shared" si="124"/>
        <v>-</v>
      </c>
    </row>
    <row r="127" spans="1:22" ht="22.5" customHeight="1" thickBot="1">
      <c r="A127" s="1251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1232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1247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1220">
        <f>SUM(D129:O129)</f>
        <v>0</v>
      </c>
      <c r="Q129" s="1244" t="str">
        <f t="shared" si="124"/>
        <v>-</v>
      </c>
    </row>
    <row r="130" spans="1:17" ht="22.5" customHeight="1" thickBot="1">
      <c r="A130" s="1251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1232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1247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1248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>SUM(D141:D173)</f>
        <v>0</v>
      </c>
      <c r="E140" s="418">
        <f t="shared" ref="E140:P140" si="152">SUM(E141:E173)</f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1232">
        <f t="shared" si="152"/>
        <v>0</v>
      </c>
      <c r="Q140" s="1242" t="str">
        <f t="shared" ref="Q140:Q173" si="153">IF(P140=0,"-",P140/C140-1)</f>
        <v>-</v>
      </c>
    </row>
    <row r="141" spans="1:17">
      <c r="A141" s="1233" t="s">
        <v>38</v>
      </c>
      <c r="B141" s="471"/>
      <c r="C141" s="471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1156">
        <f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1157">
        <f t="shared" ref="P142:P173" si="154">SUM(D142:O142)</f>
        <v>0</v>
      </c>
      <c r="Q142" s="1253" t="str">
        <f t="shared" si="153"/>
        <v>-</v>
      </c>
    </row>
    <row r="143" spans="1:17">
      <c r="A143" s="1234" t="s">
        <v>67</v>
      </c>
      <c r="B143" s="486"/>
      <c r="C143" s="486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1158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1157">
        <f t="shared" si="154"/>
        <v>0</v>
      </c>
      <c r="Q144" s="1253" t="str">
        <f t="shared" si="153"/>
        <v>-</v>
      </c>
    </row>
    <row r="145" spans="1:17">
      <c r="A145" s="1234" t="s">
        <v>41</v>
      </c>
      <c r="B145" s="486"/>
      <c r="C145" s="486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1158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1157">
        <f t="shared" si="154"/>
        <v>0</v>
      </c>
      <c r="Q146" s="1253" t="str">
        <f t="shared" si="153"/>
        <v>-</v>
      </c>
    </row>
    <row r="147" spans="1:17">
      <c r="A147" s="1234" t="s">
        <v>43</v>
      </c>
      <c r="B147" s="486"/>
      <c r="C147" s="486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1158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1157">
        <f t="shared" si="154"/>
        <v>0</v>
      </c>
      <c r="Q148" s="1253" t="str">
        <f t="shared" si="153"/>
        <v>-</v>
      </c>
    </row>
    <row r="149" spans="1:17">
      <c r="A149" s="1234" t="s">
        <v>45</v>
      </c>
      <c r="B149" s="486"/>
      <c r="C149" s="486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1158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1157">
        <f t="shared" si="154"/>
        <v>0</v>
      </c>
      <c r="Q150" s="1253" t="str">
        <f t="shared" si="153"/>
        <v>-</v>
      </c>
    </row>
    <row r="151" spans="1:17" ht="14.25" customHeight="1">
      <c r="A151" s="1234" t="s">
        <v>65</v>
      </c>
      <c r="B151" s="486"/>
      <c r="C151" s="486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1158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1157">
        <f t="shared" si="154"/>
        <v>0</v>
      </c>
      <c r="Q152" s="1253" t="str">
        <f t="shared" si="153"/>
        <v>-</v>
      </c>
    </row>
    <row r="153" spans="1:17">
      <c r="A153" s="1234" t="s">
        <v>47</v>
      </c>
      <c r="B153" s="486"/>
      <c r="C153" s="486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1158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1157">
        <f t="shared" si="154"/>
        <v>0</v>
      </c>
      <c r="Q154" s="1253" t="str">
        <f t="shared" si="153"/>
        <v>-</v>
      </c>
    </row>
    <row r="155" spans="1:17">
      <c r="A155" s="1234" t="s">
        <v>77</v>
      </c>
      <c r="B155" s="486"/>
      <c r="C155" s="486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1158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1157">
        <f t="shared" si="154"/>
        <v>0</v>
      </c>
      <c r="Q156" s="1253" t="str">
        <f t="shared" si="153"/>
        <v>-</v>
      </c>
    </row>
    <row r="157" spans="1:17">
      <c r="A157" s="1234" t="s">
        <v>50</v>
      </c>
      <c r="B157" s="486"/>
      <c r="C157" s="486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1158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1157">
        <f t="shared" si="154"/>
        <v>0</v>
      </c>
      <c r="Q158" s="1253" t="str">
        <f t="shared" si="153"/>
        <v>-</v>
      </c>
    </row>
    <row r="159" spans="1:17">
      <c r="A159" s="1234" t="s">
        <v>51</v>
      </c>
      <c r="B159" s="486"/>
      <c r="C159" s="486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1158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1157">
        <f t="shared" si="154"/>
        <v>0</v>
      </c>
      <c r="Q160" s="1253" t="str">
        <f t="shared" si="153"/>
        <v>-</v>
      </c>
    </row>
    <row r="161" spans="1:17">
      <c r="A161" s="1234" t="s">
        <v>53</v>
      </c>
      <c r="B161" s="486"/>
      <c r="C161" s="486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1158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1157">
        <f t="shared" si="154"/>
        <v>0</v>
      </c>
      <c r="Q162" s="1253" t="str">
        <f t="shared" si="153"/>
        <v>-</v>
      </c>
    </row>
    <row r="163" spans="1:17">
      <c r="A163" s="1234" t="s">
        <v>55</v>
      </c>
      <c r="B163" s="486"/>
      <c r="C163" s="486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1158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1157">
        <f t="shared" si="154"/>
        <v>0</v>
      </c>
      <c r="Q164" s="1253" t="str">
        <f t="shared" si="153"/>
        <v>-</v>
      </c>
    </row>
    <row r="165" spans="1:17">
      <c r="A165" s="1234" t="s">
        <v>57</v>
      </c>
      <c r="B165" s="486"/>
      <c r="C165" s="486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1158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1157">
        <f t="shared" si="154"/>
        <v>0</v>
      </c>
      <c r="Q166" s="1253" t="str">
        <f t="shared" si="153"/>
        <v>-</v>
      </c>
    </row>
    <row r="167" spans="1:17">
      <c r="A167" s="1234" t="s">
        <v>59</v>
      </c>
      <c r="B167" s="486"/>
      <c r="C167" s="486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1158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1157">
        <f t="shared" si="154"/>
        <v>0</v>
      </c>
      <c r="Q168" s="1253" t="str">
        <f t="shared" si="153"/>
        <v>-</v>
      </c>
    </row>
    <row r="169" spans="1:17">
      <c r="A169" s="1234" t="s">
        <v>61</v>
      </c>
      <c r="B169" s="486"/>
      <c r="C169" s="486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1158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1157">
        <f t="shared" si="154"/>
        <v>0</v>
      </c>
      <c r="Q170" s="1253" t="str">
        <f t="shared" si="153"/>
        <v>-</v>
      </c>
    </row>
    <row r="171" spans="1:17">
      <c r="A171" s="1234" t="s">
        <v>63</v>
      </c>
      <c r="B171" s="486"/>
      <c r="C171" s="486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1158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1157">
        <f t="shared" si="154"/>
        <v>0</v>
      </c>
      <c r="Q172" s="1253" t="str">
        <f t="shared" si="153"/>
        <v>-</v>
      </c>
    </row>
    <row r="173" spans="1:17" ht="15" thickBot="1">
      <c r="A173" s="1235" t="s">
        <v>64</v>
      </c>
      <c r="B173" s="493"/>
      <c r="C173" s="493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125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>D44</f>
        <v>0</v>
      </c>
      <c r="E177" s="472">
        <f t="shared" ref="E177:P177" si="156">E44</f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1156">
        <f t="shared" si="156"/>
        <v>0</v>
      </c>
      <c r="Q177" s="1257" t="str">
        <f t="shared" ref="Q177:Q187" si="157">IF(P177=0,"-",P177/C177-1)</f>
        <v>-</v>
      </c>
    </row>
    <row r="178" spans="1:17" ht="25.5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1157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:P180" si="160">C90-C179</f>
        <v>0</v>
      </c>
      <c r="D180" s="513">
        <f t="shared" si="160"/>
        <v>0</v>
      </c>
      <c r="E180" s="487">
        <f t="shared" si="160"/>
        <v>0</v>
      </c>
      <c r="F180" s="487">
        <f t="shared" si="160"/>
        <v>0</v>
      </c>
      <c r="G180" s="487">
        <f t="shared" si="160"/>
        <v>0</v>
      </c>
      <c r="H180" s="487">
        <f t="shared" si="160"/>
        <v>0</v>
      </c>
      <c r="I180" s="487">
        <f t="shared" si="160"/>
        <v>0</v>
      </c>
      <c r="J180" s="487">
        <f t="shared" si="160"/>
        <v>0</v>
      </c>
      <c r="K180" s="487">
        <f t="shared" si="160"/>
        <v>0</v>
      </c>
      <c r="L180" s="487">
        <f t="shared" si="160"/>
        <v>0</v>
      </c>
      <c r="M180" s="487">
        <f t="shared" si="160"/>
        <v>0</v>
      </c>
      <c r="N180" s="487">
        <f t="shared" si="160"/>
        <v>0</v>
      </c>
      <c r="O180" s="488">
        <f t="shared" si="160"/>
        <v>0</v>
      </c>
      <c r="P180" s="1158">
        <f t="shared" si="160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P181" si="161">B113</f>
        <v>0</v>
      </c>
      <c r="C181" s="508">
        <f t="shared" si="161"/>
        <v>0</v>
      </c>
      <c r="D181" s="509">
        <f t="shared" si="161"/>
        <v>0</v>
      </c>
      <c r="E181" s="480">
        <f t="shared" si="161"/>
        <v>0</v>
      </c>
      <c r="F181" s="480">
        <f t="shared" si="161"/>
        <v>0</v>
      </c>
      <c r="G181" s="480">
        <f t="shared" si="161"/>
        <v>0</v>
      </c>
      <c r="H181" s="480">
        <f t="shared" si="161"/>
        <v>0</v>
      </c>
      <c r="I181" s="480">
        <f t="shared" si="161"/>
        <v>0</v>
      </c>
      <c r="J181" s="480">
        <f t="shared" si="161"/>
        <v>0</v>
      </c>
      <c r="K181" s="480">
        <f t="shared" si="161"/>
        <v>0</v>
      </c>
      <c r="L181" s="480">
        <f t="shared" si="161"/>
        <v>0</v>
      </c>
      <c r="M181" s="480">
        <f t="shared" si="161"/>
        <v>0</v>
      </c>
      <c r="N181" s="480">
        <f t="shared" si="161"/>
        <v>0</v>
      </c>
      <c r="O181" s="481">
        <f t="shared" si="161"/>
        <v>0</v>
      </c>
      <c r="P181" s="1157">
        <f t="shared" si="161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P182" si="162">B136</f>
        <v>0</v>
      </c>
      <c r="C182" s="512">
        <f t="shared" si="162"/>
        <v>0</v>
      </c>
      <c r="D182" s="513">
        <f t="shared" si="162"/>
        <v>0</v>
      </c>
      <c r="E182" s="487">
        <f t="shared" si="162"/>
        <v>0</v>
      </c>
      <c r="F182" s="487">
        <f t="shared" si="162"/>
        <v>0</v>
      </c>
      <c r="G182" s="487">
        <f t="shared" si="162"/>
        <v>0</v>
      </c>
      <c r="H182" s="487">
        <f t="shared" si="162"/>
        <v>0</v>
      </c>
      <c r="I182" s="487">
        <f t="shared" si="162"/>
        <v>0</v>
      </c>
      <c r="J182" s="487">
        <f t="shared" si="162"/>
        <v>0</v>
      </c>
      <c r="K182" s="487">
        <f t="shared" si="162"/>
        <v>0</v>
      </c>
      <c r="L182" s="487">
        <f t="shared" si="162"/>
        <v>0</v>
      </c>
      <c r="M182" s="487">
        <f t="shared" si="162"/>
        <v>0</v>
      </c>
      <c r="N182" s="487">
        <f t="shared" si="162"/>
        <v>0</v>
      </c>
      <c r="O182" s="488">
        <f t="shared" si="162"/>
        <v>0</v>
      </c>
      <c r="P182" s="1158">
        <f t="shared" si="162"/>
        <v>0</v>
      </c>
      <c r="Q182" s="1148" t="str">
        <f t="shared" si="157"/>
        <v>-</v>
      </c>
    </row>
    <row r="183" spans="1:17" ht="21" customHeight="1">
      <c r="A183" s="515" t="s">
        <v>73</v>
      </c>
      <c r="B183" s="2104" t="e">
        <f t="shared" ref="B183:P183" si="163">B182/B180</f>
        <v>#DIV/0!</v>
      </c>
      <c r="C183" s="2105" t="e">
        <f t="shared" si="163"/>
        <v>#DIV/0!</v>
      </c>
      <c r="D183" s="518" t="e">
        <f t="shared" si="163"/>
        <v>#DIV/0!</v>
      </c>
      <c r="E183" s="519" t="e">
        <f t="shared" si="163"/>
        <v>#DIV/0!</v>
      </c>
      <c r="F183" s="519" t="e">
        <f t="shared" si="163"/>
        <v>#DIV/0!</v>
      </c>
      <c r="G183" s="519" t="e">
        <f t="shared" si="163"/>
        <v>#DIV/0!</v>
      </c>
      <c r="H183" s="519" t="e">
        <f t="shared" si="163"/>
        <v>#DIV/0!</v>
      </c>
      <c r="I183" s="519" t="e">
        <f t="shared" si="163"/>
        <v>#DIV/0!</v>
      </c>
      <c r="J183" s="519" t="e">
        <f t="shared" si="163"/>
        <v>#DIV/0!</v>
      </c>
      <c r="K183" s="519" t="e">
        <f t="shared" si="163"/>
        <v>#DIV/0!</v>
      </c>
      <c r="L183" s="519" t="e">
        <f t="shared" si="163"/>
        <v>#DIV/0!</v>
      </c>
      <c r="M183" s="519" t="e">
        <f t="shared" si="163"/>
        <v>#DIV/0!</v>
      </c>
      <c r="N183" s="519" t="e">
        <f t="shared" si="163"/>
        <v>#DIV/0!</v>
      </c>
      <c r="O183" s="520" t="e">
        <f t="shared" si="163"/>
        <v>#DIV/0!</v>
      </c>
      <c r="P183" s="1262" t="e">
        <f t="shared" si="163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 t="shared" ref="D184:P184" si="164">D140/1000</f>
        <v>0</v>
      </c>
      <c r="E184" s="487">
        <f t="shared" si="164"/>
        <v>0</v>
      </c>
      <c r="F184" s="487">
        <f t="shared" si="164"/>
        <v>0</v>
      </c>
      <c r="G184" s="487">
        <f t="shared" si="164"/>
        <v>0</v>
      </c>
      <c r="H184" s="487">
        <f t="shared" si="164"/>
        <v>0</v>
      </c>
      <c r="I184" s="487">
        <f t="shared" si="164"/>
        <v>0</v>
      </c>
      <c r="J184" s="487">
        <f t="shared" si="164"/>
        <v>0</v>
      </c>
      <c r="K184" s="487">
        <f t="shared" si="164"/>
        <v>0</v>
      </c>
      <c r="L184" s="487">
        <f t="shared" si="164"/>
        <v>0</v>
      </c>
      <c r="M184" s="487">
        <f t="shared" si="164"/>
        <v>0</v>
      </c>
      <c r="N184" s="487">
        <f t="shared" si="164"/>
        <v>0</v>
      </c>
      <c r="O184" s="487">
        <f t="shared" si="164"/>
        <v>0</v>
      </c>
      <c r="P184" s="1158">
        <f t="shared" si="164"/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P185" si="165">B184/B180</f>
        <v>#DIV/0!</v>
      </c>
      <c r="C185" s="1425" t="e">
        <f t="shared" si="165"/>
        <v>#DIV/0!</v>
      </c>
      <c r="D185" s="526" t="e">
        <f t="shared" si="165"/>
        <v>#DIV/0!</v>
      </c>
      <c r="E185" s="527" t="e">
        <f t="shared" si="165"/>
        <v>#DIV/0!</v>
      </c>
      <c r="F185" s="527" t="e">
        <f t="shared" si="165"/>
        <v>#DIV/0!</v>
      </c>
      <c r="G185" s="527" t="e">
        <f t="shared" si="165"/>
        <v>#DIV/0!</v>
      </c>
      <c r="H185" s="527" t="e">
        <f t="shared" si="165"/>
        <v>#DIV/0!</v>
      </c>
      <c r="I185" s="527" t="e">
        <f t="shared" si="165"/>
        <v>#DIV/0!</v>
      </c>
      <c r="J185" s="527" t="e">
        <f t="shared" si="165"/>
        <v>#DIV/0!</v>
      </c>
      <c r="K185" s="527" t="e">
        <f t="shared" si="165"/>
        <v>#DIV/0!</v>
      </c>
      <c r="L185" s="527" t="e">
        <f t="shared" si="165"/>
        <v>#DIV/0!</v>
      </c>
      <c r="M185" s="527" t="e">
        <f t="shared" si="165"/>
        <v>#DIV/0!</v>
      </c>
      <c r="N185" s="527" t="e">
        <f t="shared" si="165"/>
        <v>#DIV/0!</v>
      </c>
      <c r="O185" s="528" t="e">
        <f t="shared" si="165"/>
        <v>#DIV/0!</v>
      </c>
      <c r="P185" s="1263" t="e">
        <f t="shared" si="165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66">C182-C184</f>
        <v>0</v>
      </c>
      <c r="D186" s="535">
        <f>D182-D184</f>
        <v>0</v>
      </c>
      <c r="E186" s="536">
        <f t="shared" ref="E186:O186" si="167">E182-E184</f>
        <v>0</v>
      </c>
      <c r="F186" s="536">
        <f t="shared" si="167"/>
        <v>0</v>
      </c>
      <c r="G186" s="536">
        <f t="shared" si="167"/>
        <v>0</v>
      </c>
      <c r="H186" s="536">
        <f t="shared" si="167"/>
        <v>0</v>
      </c>
      <c r="I186" s="536">
        <f t="shared" si="167"/>
        <v>0</v>
      </c>
      <c r="J186" s="536">
        <f t="shared" si="167"/>
        <v>0</v>
      </c>
      <c r="K186" s="536">
        <f t="shared" si="167"/>
        <v>0</v>
      </c>
      <c r="L186" s="536">
        <f t="shared" si="167"/>
        <v>0</v>
      </c>
      <c r="M186" s="536">
        <f t="shared" si="167"/>
        <v>0</v>
      </c>
      <c r="N186" s="536">
        <f t="shared" si="167"/>
        <v>0</v>
      </c>
      <c r="O186" s="537">
        <f t="shared" si="167"/>
        <v>0</v>
      </c>
      <c r="P186" s="1256">
        <f>P182-P184</f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P187" si="168">B186/B180</f>
        <v>#DIV/0!</v>
      </c>
      <c r="C187" s="2242" t="e">
        <f t="shared" si="168"/>
        <v>#DIV/0!</v>
      </c>
      <c r="D187" s="2240" t="e">
        <f t="shared" si="168"/>
        <v>#DIV/0!</v>
      </c>
      <c r="E187" s="2247" t="e">
        <f t="shared" si="168"/>
        <v>#DIV/0!</v>
      </c>
      <c r="F187" s="2247" t="e">
        <f t="shared" si="168"/>
        <v>#DIV/0!</v>
      </c>
      <c r="G187" s="2247" t="e">
        <f t="shared" si="168"/>
        <v>#DIV/0!</v>
      </c>
      <c r="H187" s="2247" t="e">
        <f t="shared" si="168"/>
        <v>#DIV/0!</v>
      </c>
      <c r="I187" s="2247" t="e">
        <f t="shared" si="168"/>
        <v>#DIV/0!</v>
      </c>
      <c r="J187" s="2247" t="e">
        <f t="shared" si="168"/>
        <v>#DIV/0!</v>
      </c>
      <c r="K187" s="2247" t="e">
        <f t="shared" si="168"/>
        <v>#DIV/0!</v>
      </c>
      <c r="L187" s="2247" t="e">
        <f t="shared" si="168"/>
        <v>#DIV/0!</v>
      </c>
      <c r="M187" s="2247" t="e">
        <f t="shared" si="168"/>
        <v>#DIV/0!</v>
      </c>
      <c r="N187" s="2247" t="e">
        <f t="shared" si="168"/>
        <v>#DIV/0!</v>
      </c>
      <c r="O187" s="2248" t="e">
        <f t="shared" si="168"/>
        <v>#DIV/0!</v>
      </c>
      <c r="P187" s="1264" t="e">
        <f t="shared" si="168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2" fitToHeight="0" orientation="landscape" r:id="rId1"/>
  <headerFooter alignWithMargins="0"/>
  <rowBreaks count="8" manualBreakCount="8">
    <brk id="21" max="16383" man="1"/>
    <brk id="45" max="16383" man="1"/>
    <brk id="68" max="16383" man="1"/>
    <brk id="91" max="16383" man="1"/>
    <brk id="114" max="16383" man="1"/>
    <brk id="137" max="16383" man="1"/>
    <brk id="173" max="15" man="1"/>
    <brk id="174" max="16383" man="1"/>
  </rowBreaks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V187"/>
  <sheetViews>
    <sheetView zoomScale="85" zoomScaleNormal="85" workbookViewId="0">
      <selection activeCell="B134" sqref="B134"/>
    </sheetView>
  </sheetViews>
  <sheetFormatPr defaultColWidth="9.109375" defaultRowHeight="14.4"/>
  <cols>
    <col min="1" max="1" width="33.8867187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B1" s="353">
        <f>+B9+B11</f>
        <v>0</v>
      </c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1251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1266" t="s">
        <v>15</v>
      </c>
      <c r="B5" s="1444"/>
      <c r="C5" s="1445">
        <f>B5/9*12</f>
        <v>0</v>
      </c>
      <c r="D5" s="371">
        <f>+'SAHA AYLIK ÜRÜN M3'!C11/1000</f>
        <v>0</v>
      </c>
      <c r="E5" s="372">
        <f>+'SAHA AYLIK ÜRÜN M3'!D11/1000</f>
        <v>0</v>
      </c>
      <c r="F5" s="372">
        <f>+'SAHA AYLIK ÜRÜN M3'!E11/1000</f>
        <v>0</v>
      </c>
      <c r="G5" s="372">
        <f>+'SAHA AYLIK ÜRÜN M3'!F11/1000</f>
        <v>0</v>
      </c>
      <c r="H5" s="373">
        <f>+'SAHA AYLIK ÜRÜN M3'!G11/1000</f>
        <v>0</v>
      </c>
      <c r="I5" s="373">
        <f>+'SAHA AYLIK ÜRÜN M3'!H11/1000</f>
        <v>0</v>
      </c>
      <c r="J5" s="373">
        <f>+'SAHA AYLIK ÜRÜN M3'!I11/1000</f>
        <v>0</v>
      </c>
      <c r="K5" s="373">
        <f>+'SAHA AYLIK ÜRÜN M3'!J11/1000</f>
        <v>0</v>
      </c>
      <c r="L5" s="373">
        <f>+'SAHA AYLIK ÜRÜN M3'!K11/1000</f>
        <v>0</v>
      </c>
      <c r="M5" s="373">
        <f>+'SAHA AYLIK ÜRÜN M3'!L11/1000</f>
        <v>0</v>
      </c>
      <c r="N5" s="373">
        <f>+'SAHA AYLIK ÜRÜN M3'!M11/1000</f>
        <v>0</v>
      </c>
      <c r="O5" s="374">
        <f>+'SAHA AYLIK ÜRÜN M3'!N11/1000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126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1268" t="s">
        <v>27</v>
      </c>
      <c r="B7" s="391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1269" t="s">
        <v>17</v>
      </c>
      <c r="B8" s="1448">
        <v>0</v>
      </c>
      <c r="C8" s="1459">
        <v>0</v>
      </c>
      <c r="D8" s="396">
        <f>+'SAHA AYLIK ÜRÜN M3'!C12/1000</f>
        <v>0</v>
      </c>
      <c r="E8" s="397">
        <f>+'SAHA AYLIK ÜRÜN M3'!D12/1000</f>
        <v>0</v>
      </c>
      <c r="F8" s="397">
        <f>+'SAHA AYLIK ÜRÜN M3'!E12/1000</f>
        <v>0</v>
      </c>
      <c r="G8" s="397">
        <f>+'SAHA AYLIK ÜRÜN M3'!F12/1000</f>
        <v>0</v>
      </c>
      <c r="H8" s="397">
        <f>+'SAHA AYLIK ÜRÜN M3'!G12/1000</f>
        <v>0</v>
      </c>
      <c r="I8" s="397">
        <f>+'SAHA AYLIK ÜRÜN M3'!H12/1000</f>
        <v>0</v>
      </c>
      <c r="J8" s="397">
        <f>+'SAHA AYLIK ÜRÜN M3'!I12/1000</f>
        <v>0</v>
      </c>
      <c r="K8" s="397">
        <f>+'SAHA AYLIK ÜRÜN M3'!J12/1000</f>
        <v>0</v>
      </c>
      <c r="L8" s="397">
        <f>+'SAHA AYLIK ÜRÜN M3'!K12/1000</f>
        <v>0</v>
      </c>
      <c r="M8" s="397">
        <f>+'SAHA AYLIK ÜRÜN M3'!L12/1000</f>
        <v>0</v>
      </c>
      <c r="N8" s="397">
        <f>+'SAHA AYLIK ÜRÜN M3'!M12/1000</f>
        <v>0</v>
      </c>
      <c r="O8" s="398">
        <f>+'SAHA AYLIK ÜRÜN M3'!N12/1000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1270" t="s">
        <v>81</v>
      </c>
      <c r="B9" s="386"/>
      <c r="C9" s="404">
        <f>B9/9*12</f>
        <v>0</v>
      </c>
      <c r="D9" s="402">
        <f>+'SAHA AYLIK ÜRÜN M3'!C9/1000</f>
        <v>0</v>
      </c>
      <c r="E9" s="403">
        <f>+'SAHA AYLIK ÜRÜN M3'!D9/1000</f>
        <v>0</v>
      </c>
      <c r="F9" s="403">
        <f>+'SAHA AYLIK ÜRÜN M3'!E9/1000</f>
        <v>0</v>
      </c>
      <c r="G9" s="403">
        <f>+'SAHA AYLIK ÜRÜN M3'!F9/1000</f>
        <v>0</v>
      </c>
      <c r="H9" s="403">
        <f>+'SAHA AYLIK ÜRÜN M3'!G9/1000</f>
        <v>0</v>
      </c>
      <c r="I9" s="403">
        <f>+'SAHA AYLIK ÜRÜN M3'!H9/1000</f>
        <v>0</v>
      </c>
      <c r="J9" s="403">
        <f>+'SAHA AYLIK ÜRÜN M3'!I9/1000</f>
        <v>0</v>
      </c>
      <c r="K9" s="403">
        <f>+'SAHA AYLIK ÜRÜN M3'!J9/1000</f>
        <v>0</v>
      </c>
      <c r="L9" s="403">
        <f>+'SAHA AYLIK ÜRÜN M3'!K9/1000</f>
        <v>0</v>
      </c>
      <c r="M9" s="403">
        <f>+'SAHA AYLIK ÜRÜN M3'!L9/1000</f>
        <v>0</v>
      </c>
      <c r="N9" s="403">
        <f>+'SAHA AYLIK ÜRÜN M3'!M9/1000</f>
        <v>0</v>
      </c>
      <c r="O9" s="404">
        <f>+'SAHA AYLIK ÜRÜN M3'!N9/1000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1271" t="s">
        <v>82</v>
      </c>
      <c r="B10" s="1441"/>
      <c r="C10" s="1451"/>
      <c r="D10" s="407">
        <f>+'SAHA AYLIK ÜRÜN M3'!C7/1000</f>
        <v>0</v>
      </c>
      <c r="E10" s="382">
        <f>+'SAHA AYLIK ÜRÜN M3'!D7/1000</f>
        <v>0</v>
      </c>
      <c r="F10" s="382">
        <f>+'SAHA AYLIK ÜRÜN M3'!E7/1000</f>
        <v>0</v>
      </c>
      <c r="G10" s="382">
        <f>+'SAHA AYLIK ÜRÜN M3'!F7/1000</f>
        <v>0</v>
      </c>
      <c r="H10" s="382">
        <f>+'SAHA AYLIK ÜRÜN M3'!G7/1000</f>
        <v>0</v>
      </c>
      <c r="I10" s="382">
        <f>+'SAHA AYLIK ÜRÜN M3'!H7/1000</f>
        <v>0</v>
      </c>
      <c r="J10" s="382">
        <f>+'SAHA AYLIK ÜRÜN M3'!I7/1000</f>
        <v>0</v>
      </c>
      <c r="K10" s="382">
        <f>+'SAHA AYLIK ÜRÜN M3'!J7/1000</f>
        <v>0</v>
      </c>
      <c r="L10" s="382">
        <f>+'SAHA AYLIK ÜRÜN M3'!K7/1000</f>
        <v>0</v>
      </c>
      <c r="M10" s="382">
        <f>+'SAHA AYLIK ÜRÜN M3'!L7/1000</f>
        <v>0</v>
      </c>
      <c r="N10" s="382">
        <f>+'SAHA AYLIK ÜRÜN M3'!M7/1000</f>
        <v>0</v>
      </c>
      <c r="O10" s="383">
        <f>+'SAHA AYLIK ÜRÜN M3'!N7/1000</f>
        <v>0</v>
      </c>
      <c r="P10" s="399">
        <f t="shared" si="2"/>
        <v>0</v>
      </c>
      <c r="Q10" s="1438" t="str">
        <f t="shared" si="3"/>
        <v>-</v>
      </c>
    </row>
    <row r="11" spans="1:22" ht="16.5" customHeight="1">
      <c r="A11" s="1270" t="s">
        <v>83</v>
      </c>
      <c r="B11" s="408"/>
      <c r="C11" s="404"/>
      <c r="D11" s="402">
        <f>+'SAHA AYLIK ÜRÜN M3'!C10/1000</f>
        <v>0</v>
      </c>
      <c r="E11" s="403">
        <f>+'SAHA AYLIK ÜRÜN M3'!D10/1000</f>
        <v>0</v>
      </c>
      <c r="F11" s="403">
        <f>+'SAHA AYLIK ÜRÜN M3'!E10/1000</f>
        <v>0</v>
      </c>
      <c r="G11" s="403">
        <f>+'SAHA AYLIK ÜRÜN M3'!F10/1000</f>
        <v>0</v>
      </c>
      <c r="H11" s="403">
        <f>+'SAHA AYLIK ÜRÜN M3'!G10/1000</f>
        <v>0</v>
      </c>
      <c r="I11" s="403">
        <f>+'SAHA AYLIK ÜRÜN M3'!H10/1000</f>
        <v>0</v>
      </c>
      <c r="J11" s="403">
        <f>+'SAHA AYLIK ÜRÜN M3'!I10/1000</f>
        <v>0</v>
      </c>
      <c r="K11" s="403">
        <f>+'SAHA AYLIK ÜRÜN M3'!J10/1000</f>
        <v>0</v>
      </c>
      <c r="L11" s="403">
        <f>+'SAHA AYLIK ÜRÜN M3'!K10/1000</f>
        <v>0</v>
      </c>
      <c r="M11" s="403">
        <f>+'SAHA AYLIK ÜRÜN M3'!L10/1000</f>
        <v>0</v>
      </c>
      <c r="N11" s="403">
        <f>+'SAHA AYLIK ÜRÜN M3'!M10/1000</f>
        <v>0</v>
      </c>
      <c r="O11" s="404">
        <f>+'SAHA AYLIK ÜRÜN M3'!N10/1000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1271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1272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1251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404"/>
      <c r="D16" s="433">
        <f>+'SAHA AYLIK ÜRÜN M3'!C13/1000</f>
        <v>0</v>
      </c>
      <c r="E16" s="434">
        <f>+'SAHA AYLIK ÜRÜN M3'!D13/1000</f>
        <v>0</v>
      </c>
      <c r="F16" s="434">
        <f>+'SAHA AYLIK ÜRÜN M3'!E13/1000</f>
        <v>0</v>
      </c>
      <c r="G16" s="434">
        <f>+'SAHA AYLIK ÜRÜN M3'!F13/1000</f>
        <v>0</v>
      </c>
      <c r="H16" s="434">
        <f>+'SAHA AYLIK ÜRÜN M3'!G13/1000</f>
        <v>0</v>
      </c>
      <c r="I16" s="434">
        <f>+'SAHA AYLIK ÜRÜN M3'!H13/1000</f>
        <v>0</v>
      </c>
      <c r="J16" s="434">
        <f>+'SAHA AYLIK ÜRÜN M3'!I13/1000</f>
        <v>0</v>
      </c>
      <c r="K16" s="434">
        <f>+'SAHA AYLIK ÜRÜN M3'!J13/1000</f>
        <v>0</v>
      </c>
      <c r="L16" s="434">
        <f>+'SAHA AYLIK ÜRÜN M3'!K13/1000</f>
        <v>0</v>
      </c>
      <c r="M16" s="434">
        <f>+'SAHA AYLIK ÜRÜN M3'!L13/1000</f>
        <v>0</v>
      </c>
      <c r="N16" s="434">
        <f>+'SAHA AYLIK ÜRÜN M3'!M13/1000</f>
        <v>0</v>
      </c>
      <c r="O16" s="435">
        <f>+'SAHA AYLIK ÜRÜN M3'!N13/1000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1251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+M.Yağ_Adbulue!E4/1000</f>
        <v>0</v>
      </c>
      <c r="E18" s="426">
        <f>+M.Yağ_Adbulue!F4/1000</f>
        <v>0</v>
      </c>
      <c r="F18" s="426">
        <f>+M.Yağ_Adbulue!G4/1000</f>
        <v>0</v>
      </c>
      <c r="G18" s="426">
        <f>+M.Yağ_Adbulue!H4/1000</f>
        <v>0</v>
      </c>
      <c r="H18" s="426">
        <f>+M.Yağ_Adbulue!I4/1000</f>
        <v>0</v>
      </c>
      <c r="I18" s="426">
        <f>+M.Yağ_Adbulue!J4/1000</f>
        <v>0</v>
      </c>
      <c r="J18" s="426">
        <f>+M.Yağ_Adbulue!K4/1000</f>
        <v>0</v>
      </c>
      <c r="K18" s="426">
        <f>+M.Yağ_Adbulue!L4/1000</f>
        <v>0</v>
      </c>
      <c r="L18" s="426">
        <f>+M.Yağ_Adbulue!M4/1000</f>
        <v>0</v>
      </c>
      <c r="M18" s="426">
        <f>+M.Yağ_Adbulue!N4/1000</f>
        <v>0</v>
      </c>
      <c r="N18" s="426">
        <f>+M.Yağ_Adbulue!O4/1000</f>
        <v>0</v>
      </c>
      <c r="O18" s="427">
        <f>+M.Yağ_Adbulue!P4/1000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+M.Yağ_Adbulue!E22/1000</f>
        <v>0</v>
      </c>
      <c r="E19" s="442">
        <f>+M.Yağ_Adbulue!F22/1000</f>
        <v>0</v>
      </c>
      <c r="F19" s="442">
        <f>+M.Yağ_Adbulue!G22/1000</f>
        <v>0</v>
      </c>
      <c r="G19" s="442">
        <f>+M.Yağ_Adbulue!H22/1000</f>
        <v>0</v>
      </c>
      <c r="H19" s="442">
        <f>+M.Yağ_Adbulue!I22/1000</f>
        <v>0</v>
      </c>
      <c r="I19" s="442">
        <f>+M.Yağ_Adbulue!J22/1000</f>
        <v>0</v>
      </c>
      <c r="J19" s="442">
        <f>+M.Yağ_Adbulue!K22/1000</f>
        <v>0</v>
      </c>
      <c r="K19" s="442">
        <f>+M.Yağ_Adbulue!L22/1000</f>
        <v>0</v>
      </c>
      <c r="L19" s="442">
        <f>+M.Yağ_Adbulue!M22/1000</f>
        <v>0</v>
      </c>
      <c r="M19" s="442">
        <f>+M.Yağ_Adbulue!N22/1000</f>
        <v>0</v>
      </c>
      <c r="N19" s="442">
        <f>+M.Yağ_Adbulue!O22/1000</f>
        <v>0</v>
      </c>
      <c r="O19" s="443">
        <f>+M.Yağ_Adbulue!P22/1000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1251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1266" t="s">
        <v>15</v>
      </c>
      <c r="B26" s="369"/>
      <c r="C26" s="1445">
        <f>B26/9*12</f>
        <v>0</v>
      </c>
      <c r="D26" s="371">
        <f>D5*'Satış Fiyat'!D29</f>
        <v>0</v>
      </c>
      <c r="E26" s="372">
        <f>E5*'Satış Fiyat'!E29</f>
        <v>0</v>
      </c>
      <c r="F26" s="372">
        <f>F5*'Satış Fiyat'!F29</f>
        <v>0</v>
      </c>
      <c r="G26" s="372">
        <f>G5*'Satış Fiyat'!G29</f>
        <v>0</v>
      </c>
      <c r="H26" s="373">
        <f>H5*'Satış Fiyat'!H29</f>
        <v>0</v>
      </c>
      <c r="I26" s="373">
        <f>I5*'Satış Fiyat'!I29</f>
        <v>0</v>
      </c>
      <c r="J26" s="373">
        <f>J5*'Satış Fiyat'!J29</f>
        <v>0</v>
      </c>
      <c r="K26" s="373">
        <f>K5*'Satış Fiyat'!K29</f>
        <v>0</v>
      </c>
      <c r="L26" s="373">
        <f>L5*'Satış Fiyat'!L29</f>
        <v>0</v>
      </c>
      <c r="M26" s="373">
        <f>M5*'Satış Fiyat'!M29</f>
        <v>0</v>
      </c>
      <c r="N26" s="373">
        <f>N5*'Satış Fiyat'!N29</f>
        <v>0</v>
      </c>
      <c r="O26" s="374">
        <f>O5*'Satış Fiyat'!O29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customHeight="1">
      <c r="A27" s="126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Fiyat'!D30</f>
        <v>0</v>
      </c>
      <c r="E27" s="381">
        <f>E6*'Satış Fiyat'!E30</f>
        <v>0</v>
      </c>
      <c r="F27" s="381">
        <f>F6*'Satış Fiyat'!F30</f>
        <v>0</v>
      </c>
      <c r="G27" s="381">
        <f>G6*'Satış Fiyat'!G30</f>
        <v>0</v>
      </c>
      <c r="H27" s="382">
        <f>H6*'Satış Fiyat'!H30</f>
        <v>0</v>
      </c>
      <c r="I27" s="382">
        <f>I6*'Satış Fiyat'!I30</f>
        <v>0</v>
      </c>
      <c r="J27" s="382">
        <f>J6*'Satış Fiyat'!J30</f>
        <v>0</v>
      </c>
      <c r="K27" s="382">
        <f>K6*'Satış Fiyat'!K30</f>
        <v>0</v>
      </c>
      <c r="L27" s="382">
        <f>L6*'Satış Fiyat'!L30</f>
        <v>0</v>
      </c>
      <c r="M27" s="382">
        <f>M6*'Satış Fiyat'!M30</f>
        <v>0</v>
      </c>
      <c r="N27" s="382">
        <f>N6*'Satış Fiyat'!N30</f>
        <v>0</v>
      </c>
      <c r="O27" s="383">
        <f>O6*'Satış Fiyat'!O30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1268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1269" t="s">
        <v>17</v>
      </c>
      <c r="B29" s="394"/>
      <c r="C29" s="395"/>
      <c r="D29" s="396">
        <f>D8*'Satış Fiyat'!D32</f>
        <v>0</v>
      </c>
      <c r="E29" s="397">
        <f>E8*'Satış Fiyat'!E32</f>
        <v>0</v>
      </c>
      <c r="F29" s="397">
        <f>F8*'Satış Fiyat'!F32</f>
        <v>0</v>
      </c>
      <c r="G29" s="397">
        <f>G8*'Satış Fiyat'!G32</f>
        <v>0</v>
      </c>
      <c r="H29" s="397">
        <f>H8*'Satış Fiyat'!H32</f>
        <v>0</v>
      </c>
      <c r="I29" s="397">
        <f>I8*'Satış Fiyat'!I32</f>
        <v>0</v>
      </c>
      <c r="J29" s="397">
        <f>J8*'Satış Fiyat'!J32</f>
        <v>0</v>
      </c>
      <c r="K29" s="397">
        <f>K8*'Satış Fiyat'!K32</f>
        <v>0</v>
      </c>
      <c r="L29" s="397">
        <f>L8*'Satış Fiyat'!L32</f>
        <v>0</v>
      </c>
      <c r="M29" s="397">
        <f>M8*'Satış Fiyat'!M32</f>
        <v>0</v>
      </c>
      <c r="N29" s="397">
        <f>N8*'Satış Fiyat'!N32</f>
        <v>0</v>
      </c>
      <c r="O29" s="398">
        <f>O8*'Satış Fiyat'!O32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1270" t="s">
        <v>81</v>
      </c>
      <c r="B30" s="386"/>
      <c r="C30" s="404">
        <f>B30/9*12</f>
        <v>0</v>
      </c>
      <c r="D30" s="1563">
        <f>D9*'Satış Fiyat'!D33</f>
        <v>0</v>
      </c>
      <c r="E30" s="1560">
        <f>E9*'Satış Fiyat'!E33</f>
        <v>0</v>
      </c>
      <c r="F30" s="1560">
        <f>F9*'Satış Fiyat'!F33</f>
        <v>0</v>
      </c>
      <c r="G30" s="1560">
        <f>G9*'Satış Fiyat'!G33</f>
        <v>0</v>
      </c>
      <c r="H30" s="1560">
        <f>H9*'Satış Fiyat'!H33</f>
        <v>0</v>
      </c>
      <c r="I30" s="1560">
        <f>I9*'Satış Fiyat'!I33</f>
        <v>0</v>
      </c>
      <c r="J30" s="1560">
        <f>J9*'Satış Fiyat'!J33</f>
        <v>0</v>
      </c>
      <c r="K30" s="1560">
        <f>K9*'Satış Fiyat'!K33</f>
        <v>0</v>
      </c>
      <c r="L30" s="1560">
        <f>L9*'Satış Fiyat'!L33</f>
        <v>0</v>
      </c>
      <c r="M30" s="1560">
        <f>M9*'Satış Fiyat'!M33</f>
        <v>0</v>
      </c>
      <c r="N30" s="1560">
        <f>N9*'Satış Fiyat'!N33</f>
        <v>0</v>
      </c>
      <c r="O30" s="387">
        <f>O9*'Satış Fiyat'!O33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1271" t="s">
        <v>82</v>
      </c>
      <c r="B31" s="394"/>
      <c r="C31" s="395"/>
      <c r="D31" s="396">
        <f>D10*'Satış Fiyat'!D34</f>
        <v>0</v>
      </c>
      <c r="E31" s="397">
        <f>E10*'Satış Fiyat'!E34</f>
        <v>0</v>
      </c>
      <c r="F31" s="397">
        <f>F10*'Satış Fiyat'!F34</f>
        <v>0</v>
      </c>
      <c r="G31" s="397">
        <f>G10*'Satış Fiyat'!G34</f>
        <v>0</v>
      </c>
      <c r="H31" s="397">
        <f>H10*'Satış Fiyat'!H34</f>
        <v>0</v>
      </c>
      <c r="I31" s="397">
        <f>I10*'Satış Fiyat'!I34</f>
        <v>0</v>
      </c>
      <c r="J31" s="397">
        <f>J10*'Satış Fiyat'!J34</f>
        <v>0</v>
      </c>
      <c r="K31" s="397">
        <f>K10*'Satış Fiyat'!K34</f>
        <v>0</v>
      </c>
      <c r="L31" s="397">
        <f>L10*'Satış Fiyat'!L34</f>
        <v>0</v>
      </c>
      <c r="M31" s="397">
        <f>M10*'Satış Fiyat'!M34</f>
        <v>0</v>
      </c>
      <c r="N31" s="397">
        <f>N10*'Satış Fiyat'!N34</f>
        <v>0</v>
      </c>
      <c r="O31" s="398">
        <f>O10*'Satış Fiyat'!O34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1270" t="s">
        <v>83</v>
      </c>
      <c r="B32" s="408"/>
      <c r="C32" s="404"/>
      <c r="D32" s="402">
        <f>D11*'Satış Fiyat'!D35</f>
        <v>0</v>
      </c>
      <c r="E32" s="403">
        <f>E11*'Satış Fiyat'!E35</f>
        <v>0</v>
      </c>
      <c r="F32" s="389">
        <f>F11*'Satış Fiyat'!F35</f>
        <v>0</v>
      </c>
      <c r="G32" s="403">
        <f>G11*'Satış Fiyat'!G35</f>
        <v>0</v>
      </c>
      <c r="H32" s="403">
        <f>H11*'Satış Fiyat'!H35</f>
        <v>0</v>
      </c>
      <c r="I32" s="403">
        <f>I11*'Satış Fiyat'!I35</f>
        <v>0</v>
      </c>
      <c r="J32" s="403">
        <f>J11*'Satış Fiyat'!J35</f>
        <v>0</v>
      </c>
      <c r="K32" s="403">
        <f>K11*'Satış Fiyat'!K35</f>
        <v>0</v>
      </c>
      <c r="L32" s="403">
        <f>L11*'Satış Fiyat'!L35</f>
        <v>0</v>
      </c>
      <c r="M32" s="403">
        <f>M11*'Satış Fiyat'!M35</f>
        <v>0</v>
      </c>
      <c r="N32" s="403">
        <f>N11*'Satış Fiyat'!N35</f>
        <v>0</v>
      </c>
      <c r="O32" s="404">
        <f>O11*'Satış Fiyat'!O35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1271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Fiyat'!D36</f>
        <v>0</v>
      </c>
      <c r="E33" s="382">
        <f>E12*'Satış Fiyat'!E36</f>
        <v>0</v>
      </c>
      <c r="F33" s="382">
        <f>F12*'Satış Fiyat'!F36</f>
        <v>0</v>
      </c>
      <c r="G33" s="382">
        <f>G12*'Satış Fiyat'!G36</f>
        <v>0</v>
      </c>
      <c r="H33" s="382">
        <f>H12*'Satış Fiyat'!H36</f>
        <v>0</v>
      </c>
      <c r="I33" s="381">
        <f>I12*'Satış Fiyat'!I36</f>
        <v>0</v>
      </c>
      <c r="J33" s="381">
        <f>J12*'Satış Fiyat'!J36</f>
        <v>0</v>
      </c>
      <c r="K33" s="382">
        <f>K12*'Satış Fiyat'!K36</f>
        <v>0</v>
      </c>
      <c r="L33" s="382">
        <f>L12*'Satış Fiyat'!L36</f>
        <v>0</v>
      </c>
      <c r="M33" s="382">
        <f>M12*'Satış Fiyat'!M36</f>
        <v>0</v>
      </c>
      <c r="N33" s="382">
        <f>N12*'Satış Fiyat'!N36</f>
        <v>0</v>
      </c>
      <c r="O33" s="383">
        <f>O12*'Satış Fiyat'!O36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1272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1251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Fiyat'!D39</f>
        <v>0</v>
      </c>
      <c r="E36" s="426">
        <f>E15*'Satış Fiyat'!E39</f>
        <v>0</v>
      </c>
      <c r="F36" s="426">
        <f>F15*'Satış Fiyat'!F39</f>
        <v>0</v>
      </c>
      <c r="G36" s="426">
        <f>G15*'Satış Fiyat'!G39</f>
        <v>0</v>
      </c>
      <c r="H36" s="426">
        <f>H15*'Satış Fiyat'!H39</f>
        <v>0</v>
      </c>
      <c r="I36" s="426">
        <f>I15*'Satış Fiyat'!I39</f>
        <v>0</v>
      </c>
      <c r="J36" s="426">
        <f>J15*'Satış Fiyat'!J39</f>
        <v>0</v>
      </c>
      <c r="K36" s="426">
        <f>K15*'Satış Fiyat'!K39</f>
        <v>0</v>
      </c>
      <c r="L36" s="426">
        <f>L15*'Satış Fiyat'!L39</f>
        <v>0</v>
      </c>
      <c r="M36" s="426">
        <f>M15*'Satış Fiyat'!M39</f>
        <v>0</v>
      </c>
      <c r="N36" s="426">
        <f>N15*'Satış Fiyat'!N39</f>
        <v>0</v>
      </c>
      <c r="O36" s="427">
        <f>O15*'Satış Fiyat'!O39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/>
      <c r="C37" s="404"/>
      <c r="D37" s="433">
        <f>D16*'Satış Fiyat'!D40</f>
        <v>0</v>
      </c>
      <c r="E37" s="434">
        <f>E16*'Satış Fiyat'!E40</f>
        <v>0</v>
      </c>
      <c r="F37" s="434">
        <f>F16*'Satış Fiyat'!F40</f>
        <v>0</v>
      </c>
      <c r="G37" s="434">
        <f>G16*'Satış Fiyat'!G40</f>
        <v>0</v>
      </c>
      <c r="H37" s="434">
        <f>H16*'Satış Fiyat'!H40</f>
        <v>0</v>
      </c>
      <c r="I37" s="434">
        <f>I16*'Satış Fiyat'!I40</f>
        <v>0</v>
      </c>
      <c r="J37" s="434">
        <f>J16*'Satış Fiyat'!J40</f>
        <v>0</v>
      </c>
      <c r="K37" s="434">
        <f>K16*'Satış Fiyat'!K40</f>
        <v>0</v>
      </c>
      <c r="L37" s="434">
        <f>L16*'Satış Fiyat'!L40</f>
        <v>0</v>
      </c>
      <c r="M37" s="434">
        <f>M16*'Satış Fiyat'!M40</f>
        <v>0</v>
      </c>
      <c r="N37" s="434">
        <f>N16*'Satış Fiyat'!N40</f>
        <v>0</v>
      </c>
      <c r="O37" s="435">
        <f>O16*'Satış Fiyat'!O40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1251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Fiyat'!D42</f>
        <v>0</v>
      </c>
      <c r="E39" s="426">
        <f>E18*'Satış Fiyat'!E42</f>
        <v>0</v>
      </c>
      <c r="F39" s="426">
        <f>F18*'Satış Fiyat'!F42</f>
        <v>0</v>
      </c>
      <c r="G39" s="426">
        <f>G18*'Satış Fiyat'!G42</f>
        <v>0</v>
      </c>
      <c r="H39" s="426">
        <f>H18*'Satış Fiyat'!H42</f>
        <v>0</v>
      </c>
      <c r="I39" s="426">
        <f>I18*'Satış Fiyat'!I42</f>
        <v>0</v>
      </c>
      <c r="J39" s="426">
        <f>J18*'Satış Fiyat'!J42</f>
        <v>0</v>
      </c>
      <c r="K39" s="426">
        <f>K18*'Satış Fiyat'!K42</f>
        <v>0</v>
      </c>
      <c r="L39" s="426">
        <f>L18*'Satış Fiyat'!L42</f>
        <v>0</v>
      </c>
      <c r="M39" s="426">
        <f>M18*'Satış Fiyat'!M42</f>
        <v>0</v>
      </c>
      <c r="N39" s="426">
        <f>N18*'Satış Fiyat'!N42</f>
        <v>0</v>
      </c>
      <c r="O39" s="427">
        <f>O18*'Satış Fiyat'!O42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Fiyat'!D43</f>
        <v>0</v>
      </c>
      <c r="E40" s="442">
        <f>E19*'Satış Fiyat'!E43</f>
        <v>0</v>
      </c>
      <c r="F40" s="442">
        <f>F19*'Satış Fiyat'!F43</f>
        <v>0</v>
      </c>
      <c r="G40" s="442">
        <f>G19*'Satış Fiyat'!G43</f>
        <v>0</v>
      </c>
      <c r="H40" s="442">
        <f>H19*'Satış Fiyat'!H43</f>
        <v>0</v>
      </c>
      <c r="I40" s="442">
        <f>I19*'Satış Fiyat'!I43</f>
        <v>0</v>
      </c>
      <c r="J40" s="442">
        <f>J19*'Satış Fiyat'!J43</f>
        <v>0</v>
      </c>
      <c r="K40" s="442">
        <f>K19*'Satış Fiyat'!K43</f>
        <v>0</v>
      </c>
      <c r="L40" s="442">
        <f>L19*'Satış Fiyat'!L43</f>
        <v>0</v>
      </c>
      <c r="M40" s="442">
        <f>M19*'Satış Fiyat'!M43</f>
        <v>0</v>
      </c>
      <c r="N40" s="442">
        <f>N19*'Satış Fiyat'!N43</f>
        <v>0</v>
      </c>
      <c r="O40" s="443">
        <f>O19*'Satış Fiyat'!O43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Fiyat'!D45</f>
        <v>0</v>
      </c>
      <c r="E42" s="366">
        <f>E21*'Satış Fiyat'!E45</f>
        <v>0</v>
      </c>
      <c r="F42" s="366">
        <f>F21*'Satış Fiyat'!F45</f>
        <v>0</v>
      </c>
      <c r="G42" s="366">
        <f>G21*'Satış Fiyat'!G45</f>
        <v>0</v>
      </c>
      <c r="H42" s="366">
        <f>H21*'Satış Fiyat'!H45</f>
        <v>0</v>
      </c>
      <c r="I42" s="366">
        <f>I21*'Satış Fiyat'!I45</f>
        <v>0</v>
      </c>
      <c r="J42" s="366">
        <f>J21*'Satış Fiyat'!J45</f>
        <v>0</v>
      </c>
      <c r="K42" s="366">
        <f>K21*'Satış Fiyat'!K45</f>
        <v>0</v>
      </c>
      <c r="L42" s="366">
        <f>L21*'Satış Fiyat'!L45</f>
        <v>0</v>
      </c>
      <c r="M42" s="366">
        <f>M21*'Satış Fiyat'!M45</f>
        <v>0</v>
      </c>
      <c r="N42" s="366">
        <f>N21*'Satış Fiyat'!N45</f>
        <v>0</v>
      </c>
      <c r="O42" s="448">
        <f>O21*'Satış Fiyat'!O45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1251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456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1266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1230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126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1231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1268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1158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1269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1246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127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1218">
        <f t="shared" si="24"/>
        <v>0</v>
      </c>
      <c r="Q53" s="1240" t="str">
        <f t="shared" si="28"/>
        <v>-</v>
      </c>
      <c r="S53" s="461">
        <v>0.01</v>
      </c>
      <c r="T53" s="461">
        <v>0.01</v>
      </c>
      <c r="U53" s="461">
        <v>0.01</v>
      </c>
      <c r="V53" s="461">
        <v>0.01</v>
      </c>
    </row>
    <row r="54" spans="1:22" ht="16.5" hidden="1" customHeight="1">
      <c r="A54" s="1271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1246">
        <f t="shared" si="24"/>
        <v>0</v>
      </c>
      <c r="Q54" s="1238" t="str">
        <f t="shared" si="28"/>
        <v>-</v>
      </c>
      <c r="S54" s="461">
        <v>0.01</v>
      </c>
      <c r="T54" s="461">
        <v>0.01</v>
      </c>
      <c r="U54" s="461">
        <v>0.01</v>
      </c>
      <c r="V54" s="461">
        <v>0.01</v>
      </c>
    </row>
    <row r="55" spans="1:22" ht="16.5" customHeight="1">
      <c r="A55" s="1270" t="s">
        <v>83</v>
      </c>
      <c r="B55" s="408"/>
      <c r="C55" s="404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1218">
        <f t="shared" si="24"/>
        <v>0</v>
      </c>
      <c r="Q55" s="1240" t="str">
        <f t="shared" si="28"/>
        <v>-</v>
      </c>
      <c r="S55" s="461">
        <v>0.01</v>
      </c>
      <c r="T55" s="461">
        <v>0.01</v>
      </c>
      <c r="U55" s="461">
        <v>0.01</v>
      </c>
      <c r="V55" s="461">
        <v>0.01</v>
      </c>
    </row>
    <row r="56" spans="1:22" ht="16.5" hidden="1" customHeight="1">
      <c r="A56" s="1271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1246">
        <f t="shared" si="24"/>
        <v>0</v>
      </c>
      <c r="Q56" s="1238" t="str">
        <f t="shared" si="28"/>
        <v>-</v>
      </c>
      <c r="S56" s="461">
        <v>1.6E-2</v>
      </c>
      <c r="T56" s="460"/>
      <c r="U56" s="460"/>
      <c r="V56" s="460"/>
    </row>
    <row r="57" spans="1:22" ht="15" customHeight="1" thickBot="1">
      <c r="A57" s="1272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1159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1251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1232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1247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04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1220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1251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1232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1247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1248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456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456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1251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456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1266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1230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126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1231">
        <f t="shared" si="88"/>
        <v>0</v>
      </c>
      <c r="Q73" s="1238" t="str">
        <f t="shared" si="85"/>
        <v>-</v>
      </c>
    </row>
    <row r="74" spans="1:22" ht="15" customHeight="1">
      <c r="A74" s="1268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1158">
        <f t="shared" si="88"/>
        <v>0</v>
      </c>
      <c r="Q74" s="1239" t="str">
        <f t="shared" si="85"/>
        <v>-</v>
      </c>
    </row>
    <row r="75" spans="1:22" ht="16.5" customHeight="1">
      <c r="A75" s="1269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1246">
        <f t="shared" si="88"/>
        <v>0</v>
      </c>
      <c r="Q75" s="1238" t="str">
        <f t="shared" si="85"/>
        <v>-</v>
      </c>
    </row>
    <row r="76" spans="1:22" ht="16.5" customHeight="1">
      <c r="A76" s="127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1218">
        <f t="shared" si="88"/>
        <v>0</v>
      </c>
      <c r="Q76" s="1240" t="str">
        <f t="shared" si="85"/>
        <v>-</v>
      </c>
    </row>
    <row r="77" spans="1:22" ht="16.5" hidden="1" customHeight="1">
      <c r="A77" s="1271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1246">
        <f>SUM(D77:O77)</f>
        <v>0</v>
      </c>
      <c r="Q77" s="1238" t="str">
        <f t="shared" si="85"/>
        <v>-</v>
      </c>
    </row>
    <row r="78" spans="1:22" ht="16.5" customHeight="1">
      <c r="A78" s="127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1218">
        <f t="shared" si="88"/>
        <v>0</v>
      </c>
      <c r="Q78" s="1240" t="str">
        <f t="shared" si="85"/>
        <v>-</v>
      </c>
    </row>
    <row r="79" spans="1:22" ht="16.5" hidden="1" customHeight="1">
      <c r="A79" s="1271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1246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1272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1159">
        <f t="shared" si="88"/>
        <v>0</v>
      </c>
      <c r="Q80" s="1241" t="str">
        <f t="shared" si="85"/>
        <v>-</v>
      </c>
    </row>
    <row r="81" spans="1:22" ht="22.5" customHeight="1" thickBot="1">
      <c r="A81" s="1251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1232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1247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1220">
        <f t="shared" si="88"/>
        <v>0</v>
      </c>
      <c r="Q83" s="1244" t="str">
        <f t="shared" si="85"/>
        <v>-</v>
      </c>
    </row>
    <row r="84" spans="1:22" ht="22.5" customHeight="1" thickBot="1">
      <c r="A84" s="1251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456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1247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1248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456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456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456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Fiyat'!D29</f>
        <v>0</v>
      </c>
      <c r="E95" s="372">
        <f>E5*'Alış Fiyat'!E29</f>
        <v>0</v>
      </c>
      <c r="F95" s="372">
        <f>F5*'Alış Fiyat'!F29</f>
        <v>0</v>
      </c>
      <c r="G95" s="372">
        <f>G5*'Alış Fiyat'!G29</f>
        <v>0</v>
      </c>
      <c r="H95" s="373">
        <f>H5*'Alış Fiyat'!H29</f>
        <v>0</v>
      </c>
      <c r="I95" s="373">
        <f>I5*'Alış Fiyat'!I29</f>
        <v>0</v>
      </c>
      <c r="J95" s="373">
        <f>J5*'Alış Fiyat'!J29</f>
        <v>0</v>
      </c>
      <c r="K95" s="373">
        <f>K5*'Alış Fiyat'!K29</f>
        <v>0</v>
      </c>
      <c r="L95" s="373">
        <f>L5*'Alış Fiyat'!L29</f>
        <v>0</v>
      </c>
      <c r="M95" s="373">
        <f>M5*'Alış Fiyat'!M29</f>
        <v>0</v>
      </c>
      <c r="N95" s="373">
        <f>N5*'Alış Fiyat'!N29</f>
        <v>0</v>
      </c>
      <c r="O95" s="374">
        <f>O5*'Alış Fiyat'!O29</f>
        <v>0</v>
      </c>
      <c r="P95" s="1230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Fiyat'!D30</f>
        <v>0</v>
      </c>
      <c r="E96" s="381">
        <f>E6*'Alış Fiyat'!E30</f>
        <v>0</v>
      </c>
      <c r="F96" s="381">
        <f>F6*'Alış Fiyat'!F30</f>
        <v>0</v>
      </c>
      <c r="G96" s="381">
        <f>G6*'Alış Fiyat'!G30</f>
        <v>0</v>
      </c>
      <c r="H96" s="382">
        <f>H6*'Alış Fiyat'!H30</f>
        <v>0</v>
      </c>
      <c r="I96" s="382">
        <f>I6*'Alış Fiyat'!I30</f>
        <v>0</v>
      </c>
      <c r="J96" s="382">
        <f>J6*'Alış Fiyat'!J30</f>
        <v>0</v>
      </c>
      <c r="K96" s="382">
        <f>K6*'Alış Fiyat'!K30</f>
        <v>0</v>
      </c>
      <c r="L96" s="382">
        <f>L6*'Alış Fiyat'!L30</f>
        <v>0</v>
      </c>
      <c r="M96" s="382">
        <f>M6*'Alış Fiyat'!M30</f>
        <v>0</v>
      </c>
      <c r="N96" s="382">
        <f>N6*'Alış Fiyat'!N30</f>
        <v>0</v>
      </c>
      <c r="O96" s="383">
        <f>O6*'Alış Fiyat'!O30</f>
        <v>0</v>
      </c>
      <c r="P96" s="1231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1158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Fiyat'!D32</f>
        <v>0</v>
      </c>
      <c r="E98" s="397">
        <f>E8*'Alış Fiyat'!E32</f>
        <v>0</v>
      </c>
      <c r="F98" s="397">
        <f>F8*'Alış Fiyat'!F32</f>
        <v>0</v>
      </c>
      <c r="G98" s="397">
        <f>G8*'Alış Fiyat'!G32</f>
        <v>0</v>
      </c>
      <c r="H98" s="397">
        <f>H8*'Alış Fiyat'!H32</f>
        <v>0</v>
      </c>
      <c r="I98" s="397">
        <f>I8*'Alış Fiyat'!I32</f>
        <v>0</v>
      </c>
      <c r="J98" s="397">
        <f>J8*'Alış Fiyat'!J32</f>
        <v>0</v>
      </c>
      <c r="K98" s="397">
        <f>K8*'Alış Fiyat'!K32</f>
        <v>0</v>
      </c>
      <c r="L98" s="397">
        <f>L8*'Alış Fiyat'!L32</f>
        <v>0</v>
      </c>
      <c r="M98" s="397">
        <f>M8*'Alış Fiyat'!M32</f>
        <v>0</v>
      </c>
      <c r="N98" s="397">
        <f>N8*'Alış Fiyat'!N32</f>
        <v>0</v>
      </c>
      <c r="O98" s="398">
        <f>O8*'Alış Fiyat'!O32</f>
        <v>0</v>
      </c>
      <c r="P98" s="1246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1563">
        <f>D9*'Alış Fiyat'!D33</f>
        <v>0</v>
      </c>
      <c r="E99" s="1560">
        <f>E9*'Alış Fiyat'!E33</f>
        <v>0</v>
      </c>
      <c r="F99" s="1560">
        <f>F9*'Alış Fiyat'!F33</f>
        <v>0</v>
      </c>
      <c r="G99" s="1560">
        <f>G9*'Alış Fiyat'!G33</f>
        <v>0</v>
      </c>
      <c r="H99" s="1560">
        <f>H9*'Alış Fiyat'!H33</f>
        <v>0</v>
      </c>
      <c r="I99" s="1560">
        <f>I9*'Alış Fiyat'!I33</f>
        <v>0</v>
      </c>
      <c r="J99" s="1560">
        <f>J9*'Alış Fiyat'!J33</f>
        <v>0</v>
      </c>
      <c r="K99" s="1560">
        <f>K9*'Alış Fiyat'!K33</f>
        <v>0</v>
      </c>
      <c r="L99" s="1560">
        <f>L9*'Alış Fiyat'!L33</f>
        <v>0</v>
      </c>
      <c r="M99" s="1560">
        <f>M9*'Alış Fiyat'!M33</f>
        <v>0</v>
      </c>
      <c r="N99" s="1560">
        <f>N9*'Alış Fiyat'!N33</f>
        <v>0</v>
      </c>
      <c r="O99" s="387">
        <f>O9*'Alış Fiyat'!O33</f>
        <v>0</v>
      </c>
      <c r="P99" s="1218">
        <f t="shared" si="113"/>
        <v>0</v>
      </c>
      <c r="Q99" s="1240" t="str">
        <f t="shared" si="112"/>
        <v>-</v>
      </c>
    </row>
    <row r="100" spans="1:22" ht="16.5" customHeight="1">
      <c r="A100" s="406" t="s">
        <v>82</v>
      </c>
      <c r="B100" s="394"/>
      <c r="C100" s="395"/>
      <c r="D100" s="396">
        <f>D10*'Alış Fiyat'!D34</f>
        <v>0</v>
      </c>
      <c r="E100" s="397">
        <f>E10*'Alış Fiyat'!E34</f>
        <v>0</v>
      </c>
      <c r="F100" s="397">
        <f>F10*'Alış Fiyat'!F34</f>
        <v>0</v>
      </c>
      <c r="G100" s="397">
        <f>G10*'Alış Fiyat'!G34</f>
        <v>0</v>
      </c>
      <c r="H100" s="397">
        <f>H10*'Alış Fiyat'!H34</f>
        <v>0</v>
      </c>
      <c r="I100" s="397">
        <f>I10*'Alış Fiyat'!I34</f>
        <v>0</v>
      </c>
      <c r="J100" s="397">
        <f>J10*'Alış Fiyat'!J34</f>
        <v>0</v>
      </c>
      <c r="K100" s="397">
        <f>K10*'Alış Fiyat'!K34</f>
        <v>0</v>
      </c>
      <c r="L100" s="397">
        <f>L10*'Alış Fiyat'!L34</f>
        <v>0</v>
      </c>
      <c r="M100" s="397">
        <f>M10*'Alış Fiyat'!M34</f>
        <v>0</v>
      </c>
      <c r="N100" s="397">
        <f>N10*'Alış Fiyat'!N34</f>
        <v>0</v>
      </c>
      <c r="O100" s="398">
        <f>O10*'Alış Fiyat'!O34</f>
        <v>0</v>
      </c>
      <c r="P100" s="1246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4"/>
      <c r="D101" s="402">
        <f>D11*'Alış Fiyat'!D35</f>
        <v>0</v>
      </c>
      <c r="E101" s="403">
        <f>E11*'Alış Fiyat'!E35</f>
        <v>0</v>
      </c>
      <c r="F101" s="403">
        <f>F11*'Alış Fiyat'!F35</f>
        <v>0</v>
      </c>
      <c r="G101" s="403">
        <f>G11*'Alış Fiyat'!G35</f>
        <v>0</v>
      </c>
      <c r="H101" s="403">
        <f>H11*'Alış Fiyat'!H35</f>
        <v>0</v>
      </c>
      <c r="I101" s="403">
        <f>I11*'Alış Fiyat'!I35</f>
        <v>0</v>
      </c>
      <c r="J101" s="403">
        <f>J11*'Alış Fiyat'!J35</f>
        <v>0</v>
      </c>
      <c r="K101" s="403">
        <f>K11*'Alış Fiyat'!K35</f>
        <v>0</v>
      </c>
      <c r="L101" s="403">
        <f>L11*'Alış Fiyat'!L35</f>
        <v>0</v>
      </c>
      <c r="M101" s="403">
        <f>M11*'Alış Fiyat'!M35</f>
        <v>0</v>
      </c>
      <c r="N101" s="403">
        <f>N11*'Alış Fiyat'!N35</f>
        <v>0</v>
      </c>
      <c r="O101" s="404">
        <f>O11*'Alış Fiyat'!O35</f>
        <v>0</v>
      </c>
      <c r="P101" s="1218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Fiyat'!D36</f>
        <v>0</v>
      </c>
      <c r="E102" s="382">
        <f>E12*'Alış Fiyat'!E36</f>
        <v>0</v>
      </c>
      <c r="F102" s="382">
        <f>F12*'Alış Fiyat'!F36</f>
        <v>0</v>
      </c>
      <c r="G102" s="382">
        <f>G12*'Alış Fiyat'!G36</f>
        <v>0</v>
      </c>
      <c r="H102" s="382">
        <f>H12*'Alış Fiyat'!H36</f>
        <v>0</v>
      </c>
      <c r="I102" s="381">
        <f>I12*'Alış Fiyat'!I36</f>
        <v>0</v>
      </c>
      <c r="J102" s="381">
        <f>J12*'Alış Fiyat'!J36</f>
        <v>0</v>
      </c>
      <c r="K102" s="382">
        <f>K12*'Alış Fiyat'!K36</f>
        <v>0</v>
      </c>
      <c r="L102" s="382">
        <f>L12*'Alış Fiyat'!L36</f>
        <v>0</v>
      </c>
      <c r="M102" s="382">
        <f>M12*'Alış Fiyat'!M36</f>
        <v>0</v>
      </c>
      <c r="N102" s="382">
        <f>N12*'Alış Fiyat'!N36</f>
        <v>0</v>
      </c>
      <c r="O102" s="383">
        <f>O12*'Alış Fiyat'!O36</f>
        <v>0</v>
      </c>
      <c r="P102" s="1246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1159">
        <f t="shared" si="115"/>
        <v>0</v>
      </c>
      <c r="Q103" s="1241" t="str">
        <f t="shared" si="112"/>
        <v>-</v>
      </c>
    </row>
    <row r="104" spans="1:22" ht="22.5" customHeight="1" thickBot="1">
      <c r="A104" s="1251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1232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Fiyat'!D39</f>
        <v>0</v>
      </c>
      <c r="E105" s="426">
        <f>E15*'Alış Fiyat'!E39</f>
        <v>0</v>
      </c>
      <c r="F105" s="426">
        <f>F15*'Alış Fiyat'!F39</f>
        <v>0</v>
      </c>
      <c r="G105" s="426">
        <f>G15*'Alış Fiyat'!G39</f>
        <v>0</v>
      </c>
      <c r="H105" s="426">
        <f>H15*'Alış Fiyat'!H39</f>
        <v>0</v>
      </c>
      <c r="I105" s="426">
        <f>I15*'Alış Fiyat'!I39</f>
        <v>0</v>
      </c>
      <c r="J105" s="426">
        <f>J15*'Alış Fiyat'!J39</f>
        <v>0</v>
      </c>
      <c r="K105" s="426">
        <f>K15*'Alış Fiyat'!K39</f>
        <v>0</v>
      </c>
      <c r="L105" s="426">
        <f>L15*'Alış Fiyat'!L39</f>
        <v>0</v>
      </c>
      <c r="M105" s="426">
        <f>M15*'Alış Fiyat'!M39</f>
        <v>0</v>
      </c>
      <c r="N105" s="426">
        <f>N15*'Alış Fiyat'!N39</f>
        <v>0</v>
      </c>
      <c r="O105" s="427">
        <f>O15*'Alış Fiyat'!O39</f>
        <v>0</v>
      </c>
      <c r="P105" s="1247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/>
      <c r="C106" s="404"/>
      <c r="D106" s="433">
        <f>D16*'Alış Fiyat'!D40</f>
        <v>0</v>
      </c>
      <c r="E106" s="434">
        <f>E16*'Alış Fiyat'!E40</f>
        <v>0</v>
      </c>
      <c r="F106" s="434">
        <f>F16*'Alış Fiyat'!F40</f>
        <v>0</v>
      </c>
      <c r="G106" s="434">
        <f>G16*'Alış Fiyat'!G40</f>
        <v>0</v>
      </c>
      <c r="H106" s="434">
        <f>H16*'Alış Fiyat'!H40</f>
        <v>0</v>
      </c>
      <c r="I106" s="434">
        <f>I16*'Alış Fiyat'!I40</f>
        <v>0</v>
      </c>
      <c r="J106" s="434">
        <f>J16*'Alış Fiyat'!J40</f>
        <v>0</v>
      </c>
      <c r="K106" s="434">
        <f>K16*'Alış Fiyat'!K40</f>
        <v>0</v>
      </c>
      <c r="L106" s="434">
        <f>L16*'Alış Fiyat'!L40</f>
        <v>0</v>
      </c>
      <c r="M106" s="434">
        <f>M16*'Alış Fiyat'!M40</f>
        <v>0</v>
      </c>
      <c r="N106" s="434">
        <f>N16*'Alış Fiyat'!N40</f>
        <v>0</v>
      </c>
      <c r="O106" s="435">
        <f>O16*'Alış Fiyat'!O40</f>
        <v>0</v>
      </c>
      <c r="P106" s="1220">
        <f>SUM(D106:O106)</f>
        <v>0</v>
      </c>
      <c r="Q106" s="1244" t="str">
        <f t="shared" si="112"/>
        <v>-</v>
      </c>
    </row>
    <row r="107" spans="1:22" ht="22.5" customHeight="1" thickBot="1">
      <c r="A107" s="1251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1232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Fiyat'!D42</f>
        <v>0</v>
      </c>
      <c r="E108" s="426">
        <f>E18*'Alış Fiyat'!E42</f>
        <v>0</v>
      </c>
      <c r="F108" s="426">
        <f>F18*'Alış Fiyat'!F42</f>
        <v>0</v>
      </c>
      <c r="G108" s="426">
        <f>G18*'Alış Fiyat'!G42</f>
        <v>0</v>
      </c>
      <c r="H108" s="426">
        <f>H18*'Alış Fiyat'!H42</f>
        <v>0</v>
      </c>
      <c r="I108" s="426">
        <f>I18*'Alış Fiyat'!I42</f>
        <v>0</v>
      </c>
      <c r="J108" s="426">
        <f>J18*'Alış Fiyat'!J42</f>
        <v>0</v>
      </c>
      <c r="K108" s="426">
        <f>K18*'Alış Fiyat'!K42</f>
        <v>0</v>
      </c>
      <c r="L108" s="426">
        <f>L18*'Alış Fiyat'!L42</f>
        <v>0</v>
      </c>
      <c r="M108" s="426">
        <f>M18*'Alış Fiyat'!M42</f>
        <v>0</v>
      </c>
      <c r="N108" s="426">
        <f>N18*'Alış Fiyat'!N42</f>
        <v>0</v>
      </c>
      <c r="O108" s="427">
        <f>O18*'Alış Fiyat'!O42</f>
        <v>0</v>
      </c>
      <c r="P108" s="1247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Fiyat'!D43</f>
        <v>0</v>
      </c>
      <c r="E109" s="442">
        <f>E19*'Alış Fiyat'!E43</f>
        <v>0</v>
      </c>
      <c r="F109" s="442">
        <f>F19*'Alış Fiyat'!F43</f>
        <v>0</v>
      </c>
      <c r="G109" s="442">
        <f>G19*'Alış Fiyat'!G43</f>
        <v>0</v>
      </c>
      <c r="H109" s="442">
        <f>H19*'Alış Fiyat'!H43</f>
        <v>0</v>
      </c>
      <c r="I109" s="442">
        <f>I19*'Alış Fiyat'!I43</f>
        <v>0</v>
      </c>
      <c r="J109" s="442">
        <f>J19*'Alış Fiyat'!J43</f>
        <v>0</v>
      </c>
      <c r="K109" s="442">
        <f>K19*'Alış Fiyat'!K43</f>
        <v>0</v>
      </c>
      <c r="L109" s="442">
        <f>L19*'Alış Fiyat'!L43</f>
        <v>0</v>
      </c>
      <c r="M109" s="442">
        <f>M19*'Alış Fiyat'!M43</f>
        <v>0</v>
      </c>
      <c r="N109" s="442">
        <f>N19*'Alış Fiyat'!N43</f>
        <v>0</v>
      </c>
      <c r="O109" s="443">
        <f>O19*'Alış Fiyat'!O43</f>
        <v>0</v>
      </c>
      <c r="P109" s="1248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Fiyat'!D45</f>
        <v>0</v>
      </c>
      <c r="E111" s="366">
        <f>E21*'Alış Fiyat'!E45</f>
        <v>0</v>
      </c>
      <c r="F111" s="366">
        <f>F21*'Alış Fiyat'!F45</f>
        <v>0</v>
      </c>
      <c r="G111" s="366">
        <f>G21*'Alış Fiyat'!G45</f>
        <v>0</v>
      </c>
      <c r="H111" s="366">
        <f>H21*'Alış Fiyat'!H45</f>
        <v>0</v>
      </c>
      <c r="I111" s="366">
        <f>I21*'Alış Fiyat'!I45</f>
        <v>0</v>
      </c>
      <c r="J111" s="366">
        <f>J21*'Alış Fiyat'!J45</f>
        <v>0</v>
      </c>
      <c r="K111" s="366">
        <f>K21*'Alış Fiyat'!K45</f>
        <v>0</v>
      </c>
      <c r="L111" s="366">
        <f>L21*'Alış Fiyat'!L45</f>
        <v>0</v>
      </c>
      <c r="M111" s="366">
        <f>M21*'Alış Fiyat'!M45</f>
        <v>0</v>
      </c>
      <c r="N111" s="366">
        <f>N21*'Alış Fiyat'!N45</f>
        <v>0</v>
      </c>
      <c r="O111" s="448">
        <f>O21*'Alış Fiyat'!O45</f>
        <v>0</v>
      </c>
      <c r="P111" s="456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456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456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1230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1231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1158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1246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1218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1246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1218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1246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1159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1232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1247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1220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1232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1247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1248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456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456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O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1232">
        <f>SUM(P141:P173)</f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1156">
        <f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1157">
        <f>SUM(D142:O142)</f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1158">
        <f t="shared" ref="P143:P173" si="154">SUM(D143:O143)</f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1157">
        <f t="shared" si="154"/>
        <v>0</v>
      </c>
      <c r="Q144" s="1253" t="str">
        <f t="shared" si="153"/>
        <v>-</v>
      </c>
    </row>
    <row r="145" spans="1:17" ht="15" customHeight="1">
      <c r="A145" s="483" t="s">
        <v>41</v>
      </c>
      <c r="B145" s="486"/>
      <c r="C145" s="486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1158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1157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1158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1157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1158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1157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1158">
        <f t="shared" si="154"/>
        <v>0</v>
      </c>
      <c r="Q151" s="1254" t="str">
        <f t="shared" si="153"/>
        <v>-</v>
      </c>
    </row>
    <row r="152" spans="1:17" ht="17.25" customHeight="1">
      <c r="A152" s="476" t="s">
        <v>78</v>
      </c>
      <c r="B152" s="479"/>
      <c r="C152" s="479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1157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1158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1157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1158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1157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1158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1157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1158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1157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1158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1157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1158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1157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1158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1157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1158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1157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1158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1157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1158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1157">
        <f>SUM(D172:O172)</f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125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1156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1164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1157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 t="shared" ref="D180:P180" si="161">D90-D179</f>
        <v>0</v>
      </c>
      <c r="E180" s="487">
        <f t="shared" si="161"/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1158">
        <f t="shared" si="161"/>
        <v>0</v>
      </c>
      <c r="Q180" s="1148" t="str">
        <f t="shared" si="157"/>
        <v>-</v>
      </c>
    </row>
    <row r="181" spans="1:17" ht="21" customHeight="1">
      <c r="A181" s="1164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1157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1158">
        <f t="shared" si="165"/>
        <v>0</v>
      </c>
      <c r="Q182" s="1148" t="str">
        <f t="shared" si="157"/>
        <v>-</v>
      </c>
    </row>
    <row r="183" spans="1:17" ht="21" customHeight="1">
      <c r="A183" s="1265" t="s">
        <v>73</v>
      </c>
      <c r="B183" s="2104" t="e">
        <f t="shared" ref="B183:C183" si="166">B182/B180</f>
        <v>#DIV/0!</v>
      </c>
      <c r="C183" s="2105" t="e">
        <f t="shared" si="166"/>
        <v>#DIV/0!</v>
      </c>
      <c r="D183" s="518" t="e">
        <f t="shared" ref="D183:P183" si="167">D182/D180</f>
        <v>#DIV/0!</v>
      </c>
      <c r="E183" s="519" t="e">
        <f t="shared" si="167"/>
        <v>#DIV/0!</v>
      </c>
      <c r="F183" s="519" t="e">
        <f t="shared" si="167"/>
        <v>#DIV/0!</v>
      </c>
      <c r="G183" s="519" t="e">
        <f t="shared" si="167"/>
        <v>#DIV/0!</v>
      </c>
      <c r="H183" s="519" t="e">
        <f t="shared" si="167"/>
        <v>#DIV/0!</v>
      </c>
      <c r="I183" s="519" t="e">
        <f t="shared" si="167"/>
        <v>#DIV/0!</v>
      </c>
      <c r="J183" s="519" t="e">
        <f t="shared" si="167"/>
        <v>#DIV/0!</v>
      </c>
      <c r="K183" s="519" t="e">
        <f t="shared" si="167"/>
        <v>#DIV/0!</v>
      </c>
      <c r="L183" s="519" t="e">
        <f t="shared" si="167"/>
        <v>#DIV/0!</v>
      </c>
      <c r="M183" s="519" t="e">
        <f t="shared" si="167"/>
        <v>#DIV/0!</v>
      </c>
      <c r="N183" s="519" t="e">
        <f t="shared" si="167"/>
        <v>#DIV/0!</v>
      </c>
      <c r="O183" s="520" t="e">
        <f t="shared" si="167"/>
        <v>#DIV/0!</v>
      </c>
      <c r="P183" s="1262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>F140/1000</f>
        <v>0</v>
      </c>
      <c r="G184" s="487">
        <f t="shared" ref="G184:N184" si="168">G140/1000</f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1158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1263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>D182-D184</f>
        <v>0</v>
      </c>
      <c r="E186" s="536">
        <f t="shared" ref="E186:P186" si="172">E182-E184</f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125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1264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4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V187"/>
  <sheetViews>
    <sheetView zoomScale="85" zoomScaleNormal="85" workbookViewId="0">
      <selection activeCell="B21" sqref="B21"/>
    </sheetView>
  </sheetViews>
  <sheetFormatPr defaultColWidth="9.109375" defaultRowHeight="14.4"/>
  <cols>
    <col min="1" max="1" width="33.8867187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1251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456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1266" t="s">
        <v>15</v>
      </c>
      <c r="B5" s="1444"/>
      <c r="C5" s="1445">
        <f>B5/9*12</f>
        <v>0</v>
      </c>
      <c r="D5" s="371">
        <f>+'SAHA AYLIK ÜRÜN M3'!C17/1000</f>
        <v>0</v>
      </c>
      <c r="E5" s="372">
        <f>+'SAHA AYLIK ÜRÜN M3'!D17/1000</f>
        <v>0</v>
      </c>
      <c r="F5" s="372">
        <f>+'SAHA AYLIK ÜRÜN M3'!E17/1000</f>
        <v>0</v>
      </c>
      <c r="G5" s="372">
        <f>+'SAHA AYLIK ÜRÜN M3'!F17/1000</f>
        <v>0</v>
      </c>
      <c r="H5" s="373">
        <f>+'SAHA AYLIK ÜRÜN M3'!G17/1000</f>
        <v>0</v>
      </c>
      <c r="I5" s="373">
        <f>+'SAHA AYLIK ÜRÜN M3'!H17/1000</f>
        <v>0</v>
      </c>
      <c r="J5" s="373">
        <f>+'SAHA AYLIK ÜRÜN M3'!I17/1000</f>
        <v>0</v>
      </c>
      <c r="K5" s="373">
        <f>+'SAHA AYLIK ÜRÜN M3'!J17/1000</f>
        <v>0</v>
      </c>
      <c r="L5" s="373">
        <f>+'SAHA AYLIK ÜRÜN M3'!K17/1000</f>
        <v>0</v>
      </c>
      <c r="M5" s="373">
        <f>+'SAHA AYLIK ÜRÜN M3'!L17/1000</f>
        <v>0</v>
      </c>
      <c r="N5" s="373">
        <f>+'SAHA AYLIK ÜRÜN M3'!M17/1000</f>
        <v>0</v>
      </c>
      <c r="O5" s="374">
        <f>+'SAHA AYLIK ÜRÜN M3'!N17/1000</f>
        <v>0</v>
      </c>
      <c r="P5" s="1230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126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1231">
        <f t="shared" si="2"/>
        <v>0</v>
      </c>
      <c r="Q6" s="1438" t="str">
        <f t="shared" si="3"/>
        <v>-</v>
      </c>
    </row>
    <row r="7" spans="1:22" s="281" customFormat="1" ht="15" customHeight="1">
      <c r="A7" s="1268" t="s">
        <v>27</v>
      </c>
      <c r="B7" s="386"/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1158">
        <f t="shared" si="2"/>
        <v>0</v>
      </c>
      <c r="Q7" s="392" t="str">
        <f t="shared" si="3"/>
        <v>-</v>
      </c>
    </row>
    <row r="8" spans="1:22" ht="16.5" customHeight="1">
      <c r="A8" s="1269" t="s">
        <v>17</v>
      </c>
      <c r="B8" s="1448">
        <v>0</v>
      </c>
      <c r="C8" s="1459">
        <v>0</v>
      </c>
      <c r="D8" s="396">
        <f>+'SAHA AYLIK ÜRÜN M3'!C18/1000</f>
        <v>0</v>
      </c>
      <c r="E8" s="397">
        <f>+'SAHA AYLIK ÜRÜN M3'!D18/1000</f>
        <v>0</v>
      </c>
      <c r="F8" s="397">
        <f>+'SAHA AYLIK ÜRÜN M3'!E18/1000</f>
        <v>0</v>
      </c>
      <c r="G8" s="397">
        <f>+'SAHA AYLIK ÜRÜN M3'!F18/1000</f>
        <v>0</v>
      </c>
      <c r="H8" s="397">
        <f>+'SAHA AYLIK ÜRÜN M3'!G18/1000</f>
        <v>0</v>
      </c>
      <c r="I8" s="397">
        <f>+'SAHA AYLIK ÜRÜN M3'!H18/1000</f>
        <v>0</v>
      </c>
      <c r="J8" s="397">
        <f>+'SAHA AYLIK ÜRÜN M3'!I18/1000</f>
        <v>0</v>
      </c>
      <c r="K8" s="397">
        <f>+'SAHA AYLIK ÜRÜN M3'!J18/1000</f>
        <v>0</v>
      </c>
      <c r="L8" s="397">
        <f>+'SAHA AYLIK ÜRÜN M3'!K18/1000</f>
        <v>0</v>
      </c>
      <c r="M8" s="397">
        <f>+'SAHA AYLIK ÜRÜN M3'!L18/1000</f>
        <v>0</v>
      </c>
      <c r="N8" s="397">
        <f>+'SAHA AYLIK ÜRÜN M3'!M18/1000</f>
        <v>0</v>
      </c>
      <c r="O8" s="398">
        <f>+'SAHA AYLIK ÜRÜN M3'!N18/1000</f>
        <v>0</v>
      </c>
      <c r="P8" s="1246">
        <f t="shared" si="2"/>
        <v>0</v>
      </c>
      <c r="Q8" s="384" t="str">
        <f t="shared" si="3"/>
        <v>-</v>
      </c>
    </row>
    <row r="9" spans="1:22" ht="16.5" customHeight="1">
      <c r="A9" s="1270" t="s">
        <v>81</v>
      </c>
      <c r="B9" s="386"/>
      <c r="C9" s="404">
        <f>B9/9*12</f>
        <v>0</v>
      </c>
      <c r="D9" s="402">
        <f>+'SAHA AYLIK ÜRÜN M3'!C15/1000</f>
        <v>0</v>
      </c>
      <c r="E9" s="403">
        <f>+'SAHA AYLIK ÜRÜN M3'!D15/1000</f>
        <v>0</v>
      </c>
      <c r="F9" s="403">
        <f>+'SAHA AYLIK ÜRÜN M3'!E15/1000</f>
        <v>0</v>
      </c>
      <c r="G9" s="403">
        <f>+'SAHA AYLIK ÜRÜN M3'!F15/1000</f>
        <v>0</v>
      </c>
      <c r="H9" s="403">
        <f>+'SAHA AYLIK ÜRÜN M3'!G15/1000</f>
        <v>0</v>
      </c>
      <c r="I9" s="403">
        <f>+'SAHA AYLIK ÜRÜN M3'!H15/1000</f>
        <v>0</v>
      </c>
      <c r="J9" s="403">
        <f>+'SAHA AYLIK ÜRÜN M3'!I15/1000</f>
        <v>0</v>
      </c>
      <c r="K9" s="403">
        <f>+'SAHA AYLIK ÜRÜN M3'!J15/1000</f>
        <v>0</v>
      </c>
      <c r="L9" s="403">
        <f>+'SAHA AYLIK ÜRÜN M3'!K15/1000</f>
        <v>0</v>
      </c>
      <c r="M9" s="403">
        <f>+'SAHA AYLIK ÜRÜN M3'!L15/1000</f>
        <v>0</v>
      </c>
      <c r="N9" s="403">
        <f>+'SAHA AYLIK ÜRÜN M3'!M15/1000</f>
        <v>0</v>
      </c>
      <c r="O9" s="404">
        <f>+'SAHA AYLIK ÜRÜN M3'!N15/1000</f>
        <v>0</v>
      </c>
      <c r="P9" s="1218">
        <f t="shared" si="2"/>
        <v>0</v>
      </c>
      <c r="Q9" s="405" t="str">
        <f t="shared" si="3"/>
        <v>-</v>
      </c>
    </row>
    <row r="10" spans="1:22" ht="16.5" hidden="1" customHeight="1">
      <c r="A10" s="1271" t="s">
        <v>82</v>
      </c>
      <c r="B10" s="1441"/>
      <c r="C10" s="1451"/>
      <c r="D10" s="407">
        <f>+'SAHA AYLIK ÜRÜN M3'!C13/1000</f>
        <v>0</v>
      </c>
      <c r="E10" s="382">
        <f>+'SAHA AYLIK ÜRÜN M3'!D13/1000</f>
        <v>0</v>
      </c>
      <c r="F10" s="382">
        <f>+'SAHA AYLIK ÜRÜN M3'!E13/1000</f>
        <v>0</v>
      </c>
      <c r="G10" s="382">
        <f>+'SAHA AYLIK ÜRÜN M3'!F13/1000</f>
        <v>0</v>
      </c>
      <c r="H10" s="382">
        <f>+'SAHA AYLIK ÜRÜN M3'!G13/1000</f>
        <v>0</v>
      </c>
      <c r="I10" s="382">
        <f>+'SAHA AYLIK ÜRÜN M3'!H13/1000</f>
        <v>0</v>
      </c>
      <c r="J10" s="382">
        <f>+'SAHA AYLIK ÜRÜN M3'!I13/1000</f>
        <v>0</v>
      </c>
      <c r="K10" s="382">
        <f>+'SAHA AYLIK ÜRÜN M3'!J13/1000</f>
        <v>0</v>
      </c>
      <c r="L10" s="382">
        <f>+'SAHA AYLIK ÜRÜN M3'!K13/1000</f>
        <v>0</v>
      </c>
      <c r="M10" s="382">
        <f>+'SAHA AYLIK ÜRÜN M3'!L13/1000</f>
        <v>0</v>
      </c>
      <c r="N10" s="382">
        <f>+'SAHA AYLIK ÜRÜN M3'!M13/1000</f>
        <v>0</v>
      </c>
      <c r="O10" s="383">
        <f>+'SAHA AYLIK ÜRÜN M3'!N13/1000</f>
        <v>0</v>
      </c>
      <c r="P10" s="1246">
        <f t="shared" si="2"/>
        <v>0</v>
      </c>
      <c r="Q10" s="1438" t="str">
        <f t="shared" si="3"/>
        <v>-</v>
      </c>
    </row>
    <row r="11" spans="1:22" ht="16.5" customHeight="1">
      <c r="A11" s="1270" t="s">
        <v>83</v>
      </c>
      <c r="B11" s="408"/>
      <c r="C11" s="404"/>
      <c r="D11" s="402">
        <f>+'SAHA AYLIK ÜRÜN M3'!C16/1000</f>
        <v>0</v>
      </c>
      <c r="E11" s="403">
        <f>+'SAHA AYLIK ÜRÜN M3'!D16/1000</f>
        <v>0</v>
      </c>
      <c r="F11" s="403">
        <f>+'SAHA AYLIK ÜRÜN M3'!E16/1000</f>
        <v>0</v>
      </c>
      <c r="G11" s="403">
        <f>+'SAHA AYLIK ÜRÜN M3'!F16/1000</f>
        <v>0</v>
      </c>
      <c r="H11" s="403">
        <f>+'SAHA AYLIK ÜRÜN M3'!G16/1000</f>
        <v>0</v>
      </c>
      <c r="I11" s="403">
        <f>+'SAHA AYLIK ÜRÜN M3'!H16/1000</f>
        <v>0</v>
      </c>
      <c r="J11" s="403">
        <f>+'SAHA AYLIK ÜRÜN M3'!I16/1000</f>
        <v>0</v>
      </c>
      <c r="K11" s="403">
        <f>+'SAHA AYLIK ÜRÜN M3'!J16/1000</f>
        <v>0</v>
      </c>
      <c r="L11" s="403">
        <f>+'SAHA AYLIK ÜRÜN M3'!K16/1000</f>
        <v>0</v>
      </c>
      <c r="M11" s="403">
        <f>+'SAHA AYLIK ÜRÜN M3'!L16/1000</f>
        <v>0</v>
      </c>
      <c r="N11" s="403">
        <f>+'SAHA AYLIK ÜRÜN M3'!M16/1000</f>
        <v>0</v>
      </c>
      <c r="O11" s="404">
        <f>+'SAHA AYLIK ÜRÜN M3'!N16/1000</f>
        <v>0</v>
      </c>
      <c r="P11" s="1218">
        <f t="shared" si="2"/>
        <v>0</v>
      </c>
      <c r="Q11" s="405" t="str">
        <f t="shared" si="3"/>
        <v>-</v>
      </c>
    </row>
    <row r="12" spans="1:22" ht="16.5" hidden="1" customHeight="1">
      <c r="A12" s="1271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1246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1272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1159">
        <f t="shared" si="2"/>
        <v>0</v>
      </c>
      <c r="Q13" s="415" t="str">
        <f t="shared" si="3"/>
        <v>-</v>
      </c>
    </row>
    <row r="14" spans="1:22" ht="22.5" customHeight="1" thickBot="1">
      <c r="A14" s="1251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1232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1247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M3'!C19/1000</f>
        <v>0</v>
      </c>
      <c r="E16" s="434">
        <f>+'SAHA AYLIK ÜRÜN M3'!D19/1000</f>
        <v>0</v>
      </c>
      <c r="F16" s="434">
        <f>+'SAHA AYLIK ÜRÜN M3'!E19/1000</f>
        <v>0</v>
      </c>
      <c r="G16" s="434">
        <f>+'SAHA AYLIK ÜRÜN M3'!F19/1000</f>
        <v>0</v>
      </c>
      <c r="H16" s="434">
        <f>+'SAHA AYLIK ÜRÜN M3'!G19/1000</f>
        <v>0</v>
      </c>
      <c r="I16" s="434">
        <f>+'SAHA AYLIK ÜRÜN M3'!H19/1000</f>
        <v>0</v>
      </c>
      <c r="J16" s="434">
        <f>+'SAHA AYLIK ÜRÜN M3'!I19/1000</f>
        <v>0</v>
      </c>
      <c r="K16" s="434">
        <f>+'SAHA AYLIK ÜRÜN M3'!J19/1000</f>
        <v>0</v>
      </c>
      <c r="L16" s="434">
        <f>+'SAHA AYLIK ÜRÜN M3'!K19/1000</f>
        <v>0</v>
      </c>
      <c r="M16" s="434">
        <f>+'SAHA AYLIK ÜRÜN M3'!L19/1000</f>
        <v>0</v>
      </c>
      <c r="N16" s="434">
        <f>+'SAHA AYLIK ÜRÜN M3'!M19/1000</f>
        <v>0</v>
      </c>
      <c r="O16" s="435">
        <f>+'SAHA AYLIK ÜRÜN M3'!N19/1000</f>
        <v>0</v>
      </c>
      <c r="P16" s="1220">
        <f t="shared" si="2"/>
        <v>0</v>
      </c>
      <c r="Q16" s="437" t="str">
        <f t="shared" si="3"/>
        <v>-</v>
      </c>
    </row>
    <row r="17" spans="1:22" ht="22.5" customHeight="1" thickBot="1">
      <c r="A17" s="1251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1232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+M.Yağ_Adbulue!E5/1000</f>
        <v>0</v>
      </c>
      <c r="E18" s="426">
        <f>+M.Yağ_Adbulue!F5/1000</f>
        <v>0</v>
      </c>
      <c r="F18" s="426">
        <f>+M.Yağ_Adbulue!G5/1000</f>
        <v>0</v>
      </c>
      <c r="G18" s="426">
        <f>+M.Yağ_Adbulue!H5/1000</f>
        <v>0</v>
      </c>
      <c r="H18" s="426">
        <f>+M.Yağ_Adbulue!I5/1000</f>
        <v>0</v>
      </c>
      <c r="I18" s="426">
        <f>+M.Yağ_Adbulue!J5/1000</f>
        <v>0</v>
      </c>
      <c r="J18" s="426">
        <f>+M.Yağ_Adbulue!K5/1000</f>
        <v>0</v>
      </c>
      <c r="K18" s="426">
        <f>+M.Yağ_Adbulue!L5/1000</f>
        <v>0</v>
      </c>
      <c r="L18" s="426">
        <f>+M.Yağ_Adbulue!M5/1000</f>
        <v>0</v>
      </c>
      <c r="M18" s="426">
        <f>+M.Yağ_Adbulue!N5/1000</f>
        <v>0</v>
      </c>
      <c r="N18" s="426">
        <f>+M.Yağ_Adbulue!O5/1000</f>
        <v>0</v>
      </c>
      <c r="O18" s="427">
        <f>+M.Yağ_Adbulue!P5/1000</f>
        <v>0</v>
      </c>
      <c r="P18" s="1247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+M.Yağ_Adbulue!E23/1000</f>
        <v>0</v>
      </c>
      <c r="E19" s="442">
        <f>+M.Yağ_Adbulue!F23/1000</f>
        <v>0</v>
      </c>
      <c r="F19" s="442">
        <f>+M.Yağ_Adbulue!G23/1000</f>
        <v>0</v>
      </c>
      <c r="G19" s="442">
        <f>+M.Yağ_Adbulue!H23/1000</f>
        <v>0</v>
      </c>
      <c r="H19" s="442">
        <f>+M.Yağ_Adbulue!I23/1000</f>
        <v>0</v>
      </c>
      <c r="I19" s="442">
        <f>+M.Yağ_Adbulue!J23/1000</f>
        <v>0</v>
      </c>
      <c r="J19" s="442">
        <f>+M.Yağ_Adbulue!K23/1000</f>
        <v>0</v>
      </c>
      <c r="K19" s="442">
        <f>+M.Yağ_Adbulue!L23/1000</f>
        <v>0</v>
      </c>
      <c r="L19" s="442">
        <f>+M.Yağ_Adbulue!M23/1000</f>
        <v>0</v>
      </c>
      <c r="M19" s="442">
        <f>+M.Yağ_Adbulue!N23/1000</f>
        <v>0</v>
      </c>
      <c r="N19" s="442">
        <f>+M.Yağ_Adbulue!O23/1000</f>
        <v>0</v>
      </c>
      <c r="O19" s="443">
        <f>+M.Yağ_Adbulue!P23/1000</f>
        <v>0</v>
      </c>
      <c r="P19" s="1248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456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1251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456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1266" t="s">
        <v>15</v>
      </c>
      <c r="B26" s="369"/>
      <c r="C26" s="1445">
        <f>B26/9*12</f>
        <v>0</v>
      </c>
      <c r="D26" s="371">
        <f>D5*'Satış Fiyat'!D53</f>
        <v>0</v>
      </c>
      <c r="E26" s="372">
        <f>E5*'Satış Fiyat'!E53</f>
        <v>0</v>
      </c>
      <c r="F26" s="372">
        <f>F5*'Satış Fiyat'!F53</f>
        <v>0</v>
      </c>
      <c r="G26" s="372">
        <f>G5*'Satış Fiyat'!G53</f>
        <v>0</v>
      </c>
      <c r="H26" s="373">
        <f>H5*'Satış Fiyat'!H53</f>
        <v>0</v>
      </c>
      <c r="I26" s="373">
        <f>I5*'Satış Fiyat'!I53</f>
        <v>0</v>
      </c>
      <c r="J26" s="373">
        <f>J5*'Satış Fiyat'!J53</f>
        <v>0</v>
      </c>
      <c r="K26" s="373">
        <f>K5*'Satış Fiyat'!K53</f>
        <v>0</v>
      </c>
      <c r="L26" s="373">
        <f>L5*'Satış Fiyat'!L53</f>
        <v>0</v>
      </c>
      <c r="M26" s="373">
        <f>M5*'Satış Fiyat'!M53</f>
        <v>0</v>
      </c>
      <c r="N26" s="373">
        <f>N5*'Satış Fiyat'!N53</f>
        <v>0</v>
      </c>
      <c r="O26" s="374">
        <f>O5*'Satış Fiyat'!O53</f>
        <v>0</v>
      </c>
      <c r="P26" s="1230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customHeight="1">
      <c r="A27" s="126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Fiyat'!D54</f>
        <v>0</v>
      </c>
      <c r="E27" s="381">
        <f>E6*'Satış Fiyat'!E54</f>
        <v>0</v>
      </c>
      <c r="F27" s="381">
        <f>F6*'Satış Fiyat'!F54</f>
        <v>0</v>
      </c>
      <c r="G27" s="381">
        <f>G6*'Satış Fiyat'!G54</f>
        <v>0</v>
      </c>
      <c r="H27" s="382">
        <f>H6*'Satış Fiyat'!H54</f>
        <v>0</v>
      </c>
      <c r="I27" s="382">
        <f>I6*'Satış Fiyat'!I54</f>
        <v>0</v>
      </c>
      <c r="J27" s="382">
        <f>J6*'Satış Fiyat'!J54</f>
        <v>0</v>
      </c>
      <c r="K27" s="382">
        <f>K6*'Satış Fiyat'!K54</f>
        <v>0</v>
      </c>
      <c r="L27" s="382">
        <f>L6*'Satış Fiyat'!L54</f>
        <v>0</v>
      </c>
      <c r="M27" s="382">
        <f>M6*'Satış Fiyat'!M54</f>
        <v>0</v>
      </c>
      <c r="N27" s="382">
        <f>N6*'Satış Fiyat'!N54</f>
        <v>0</v>
      </c>
      <c r="O27" s="383">
        <f>O6*'Satış Fiyat'!O54</f>
        <v>0</v>
      </c>
      <c r="P27" s="1231">
        <f t="shared" si="12"/>
        <v>0</v>
      </c>
      <c r="Q27" s="1238" t="str">
        <f t="shared" si="13"/>
        <v>-</v>
      </c>
    </row>
    <row r="28" spans="1:22" ht="15" customHeight="1">
      <c r="A28" s="1268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1158">
        <f t="shared" si="12"/>
        <v>0</v>
      </c>
      <c r="Q28" s="1239" t="str">
        <f t="shared" si="13"/>
        <v>-</v>
      </c>
    </row>
    <row r="29" spans="1:22" ht="16.5" customHeight="1">
      <c r="A29" s="1269" t="s">
        <v>17</v>
      </c>
      <c r="B29" s="394"/>
      <c r="C29" s="395"/>
      <c r="D29" s="396">
        <f>D8*'Satış Fiyat'!D56</f>
        <v>0</v>
      </c>
      <c r="E29" s="397">
        <f>E8*'Satış Fiyat'!E56</f>
        <v>0</v>
      </c>
      <c r="F29" s="397">
        <f>F8*'Satış Fiyat'!F56</f>
        <v>0</v>
      </c>
      <c r="G29" s="397">
        <f>G8*'Satış Fiyat'!G56</f>
        <v>0</v>
      </c>
      <c r="H29" s="397">
        <f>H8*'Satış Fiyat'!H56</f>
        <v>0</v>
      </c>
      <c r="I29" s="397">
        <f>I8*'Satış Fiyat'!I56</f>
        <v>0</v>
      </c>
      <c r="J29" s="397">
        <f>J8*'Satış Fiyat'!J56</f>
        <v>0</v>
      </c>
      <c r="K29" s="397">
        <f>K8*'Satış Fiyat'!K56</f>
        <v>0</v>
      </c>
      <c r="L29" s="397">
        <f>L8*'Satış Fiyat'!L56</f>
        <v>0</v>
      </c>
      <c r="M29" s="397">
        <f>M8*'Satış Fiyat'!M56</f>
        <v>0</v>
      </c>
      <c r="N29" s="397">
        <f>N8*'Satış Fiyat'!N56</f>
        <v>0</v>
      </c>
      <c r="O29" s="398">
        <f>O8*'Satış Fiyat'!O56</f>
        <v>0</v>
      </c>
      <c r="P29" s="1246">
        <f t="shared" si="12"/>
        <v>0</v>
      </c>
      <c r="Q29" s="1238" t="str">
        <f t="shared" si="13"/>
        <v>-</v>
      </c>
    </row>
    <row r="30" spans="1:22" ht="16.5" customHeight="1">
      <c r="A30" s="1270" t="s">
        <v>81</v>
      </c>
      <c r="B30" s="386"/>
      <c r="C30" s="404">
        <f>B30/9*12</f>
        <v>0</v>
      </c>
      <c r="D30" s="1563">
        <f>D9*'Satış Fiyat'!D57</f>
        <v>0</v>
      </c>
      <c r="E30" s="1560">
        <f>E9*'Satış Fiyat'!E57</f>
        <v>0</v>
      </c>
      <c r="F30" s="1560">
        <f>F9*'Satış Fiyat'!F57</f>
        <v>0</v>
      </c>
      <c r="G30" s="1560">
        <f>G9*'Satış Fiyat'!G57</f>
        <v>0</v>
      </c>
      <c r="H30" s="1560">
        <f>H9*'Satış Fiyat'!H57</f>
        <v>0</v>
      </c>
      <c r="I30" s="1560">
        <f>I9*'Satış Fiyat'!I57</f>
        <v>0</v>
      </c>
      <c r="J30" s="1560">
        <f>J9*'Satış Fiyat'!J57</f>
        <v>0</v>
      </c>
      <c r="K30" s="1560">
        <f>K9*'Satış Fiyat'!K57</f>
        <v>0</v>
      </c>
      <c r="L30" s="1560">
        <f>L9*'Satış Fiyat'!L57</f>
        <v>0</v>
      </c>
      <c r="M30" s="1560">
        <f>M9*'Satış Fiyat'!M57</f>
        <v>0</v>
      </c>
      <c r="N30" s="1560">
        <f>N9*'Satış Fiyat'!N57</f>
        <v>0</v>
      </c>
      <c r="O30" s="387">
        <f>O9*'Satış Fiyat'!O57</f>
        <v>0</v>
      </c>
      <c r="P30" s="1218">
        <f t="shared" si="12"/>
        <v>0</v>
      </c>
      <c r="Q30" s="1240" t="str">
        <f t="shared" si="13"/>
        <v>-</v>
      </c>
    </row>
    <row r="31" spans="1:22" ht="16.5" hidden="1" customHeight="1">
      <c r="A31" s="1271" t="s">
        <v>82</v>
      </c>
      <c r="B31" s="394"/>
      <c r="C31" s="395"/>
      <c r="D31" s="396">
        <f>D10*'Satış Fiyat'!D58</f>
        <v>0</v>
      </c>
      <c r="E31" s="397">
        <f>E10*'Satış Fiyat'!E58</f>
        <v>0</v>
      </c>
      <c r="F31" s="397">
        <f>F10*'Satış Fiyat'!F58</f>
        <v>0</v>
      </c>
      <c r="G31" s="397">
        <f>G10*'Satış Fiyat'!G58</f>
        <v>0</v>
      </c>
      <c r="H31" s="397">
        <f>H10*'Satış Fiyat'!H58</f>
        <v>0</v>
      </c>
      <c r="I31" s="397">
        <f>I10*'Satış Fiyat'!I58</f>
        <v>0</v>
      </c>
      <c r="J31" s="397">
        <f>J10*'Satış Fiyat'!J58</f>
        <v>0</v>
      </c>
      <c r="K31" s="397">
        <f>K10*'Satış Fiyat'!K58</f>
        <v>0</v>
      </c>
      <c r="L31" s="397">
        <f>L10*'Satış Fiyat'!L58</f>
        <v>0</v>
      </c>
      <c r="M31" s="397">
        <f>M10*'Satış Fiyat'!M58</f>
        <v>0</v>
      </c>
      <c r="N31" s="397">
        <f>N10*'Satış Fiyat'!N58</f>
        <v>0</v>
      </c>
      <c r="O31" s="398">
        <f>O10*'Satış Fiyat'!O58</f>
        <v>0</v>
      </c>
      <c r="P31" s="1246">
        <f t="shared" si="12"/>
        <v>0</v>
      </c>
      <c r="Q31" s="1238" t="str">
        <f t="shared" si="13"/>
        <v>-</v>
      </c>
    </row>
    <row r="32" spans="1:22" ht="16.5" customHeight="1">
      <c r="A32" s="1270" t="s">
        <v>83</v>
      </c>
      <c r="B32" s="408"/>
      <c r="C32" s="409"/>
      <c r="D32" s="402">
        <f>D11*'Satış Fiyat'!D59</f>
        <v>0</v>
      </c>
      <c r="E32" s="403">
        <f>E11*'Satış Fiyat'!E59</f>
        <v>0</v>
      </c>
      <c r="F32" s="389">
        <f>F11*'Satış Fiyat'!F59</f>
        <v>0</v>
      </c>
      <c r="G32" s="403">
        <f>G11*'Satış Fiyat'!G59</f>
        <v>0</v>
      </c>
      <c r="H32" s="403">
        <f>H11*'Satış Fiyat'!H59</f>
        <v>0</v>
      </c>
      <c r="I32" s="403">
        <f>I11*'Satış Fiyat'!I59</f>
        <v>0</v>
      </c>
      <c r="J32" s="403">
        <f>J11*'Satış Fiyat'!J59</f>
        <v>0</v>
      </c>
      <c r="K32" s="403">
        <f>K11*'Satış Fiyat'!K59</f>
        <v>0</v>
      </c>
      <c r="L32" s="403">
        <f>L11*'Satış Fiyat'!L59</f>
        <v>0</v>
      </c>
      <c r="M32" s="403">
        <f>M11*'Satış Fiyat'!M59</f>
        <v>0</v>
      </c>
      <c r="N32" s="403">
        <f>N11*'Satış Fiyat'!N59</f>
        <v>0</v>
      </c>
      <c r="O32" s="404">
        <f>O11*'Satış Fiyat'!O59</f>
        <v>0</v>
      </c>
      <c r="P32" s="1218">
        <f t="shared" si="12"/>
        <v>0</v>
      </c>
      <c r="Q32" s="1240" t="str">
        <f t="shared" si="13"/>
        <v>-</v>
      </c>
    </row>
    <row r="33" spans="1:22" ht="16.5" hidden="1" customHeight="1">
      <c r="A33" s="1271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Fiyat'!D60</f>
        <v>0</v>
      </c>
      <c r="E33" s="382">
        <f>E12*'Satış Fiyat'!E60</f>
        <v>0</v>
      </c>
      <c r="F33" s="382">
        <f>F12*'Satış Fiyat'!F60</f>
        <v>0</v>
      </c>
      <c r="G33" s="382">
        <f>G12*'Satış Fiyat'!G60</f>
        <v>0</v>
      </c>
      <c r="H33" s="382">
        <f>H12*'Satış Fiyat'!H60</f>
        <v>0</v>
      </c>
      <c r="I33" s="381">
        <f>I12*'Satış Fiyat'!I60</f>
        <v>0</v>
      </c>
      <c r="J33" s="381">
        <f>J12*'Satış Fiyat'!J60</f>
        <v>0</v>
      </c>
      <c r="K33" s="382">
        <f>K12*'Satış Fiyat'!K60</f>
        <v>0</v>
      </c>
      <c r="L33" s="382">
        <f>L12*'Satış Fiyat'!L60</f>
        <v>0</v>
      </c>
      <c r="M33" s="382">
        <f>M12*'Satış Fiyat'!M60</f>
        <v>0</v>
      </c>
      <c r="N33" s="382">
        <f>N12*'Satış Fiyat'!N60</f>
        <v>0</v>
      </c>
      <c r="O33" s="383">
        <f>O12*'Satış Fiyat'!O60</f>
        <v>0</v>
      </c>
      <c r="P33" s="1246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1272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1159">
        <f t="shared" si="12"/>
        <v>0</v>
      </c>
      <c r="Q34" s="1241" t="str">
        <f t="shared" si="13"/>
        <v>-</v>
      </c>
    </row>
    <row r="35" spans="1:22" ht="22.5" customHeight="1" thickBot="1">
      <c r="A35" s="1251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1232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Fiyat'!D63</f>
        <v>0</v>
      </c>
      <c r="E36" s="426">
        <f>E15*'Satış Fiyat'!E63</f>
        <v>0</v>
      </c>
      <c r="F36" s="426">
        <f>F15*'Satış Fiyat'!F63</f>
        <v>0</v>
      </c>
      <c r="G36" s="426">
        <f>G15*'Satış Fiyat'!G63</f>
        <v>0</v>
      </c>
      <c r="H36" s="426">
        <f>H15*'Satış Fiyat'!H63</f>
        <v>0</v>
      </c>
      <c r="I36" s="426">
        <f>I15*'Satış Fiyat'!I63</f>
        <v>0</v>
      </c>
      <c r="J36" s="426">
        <f>J15*'Satış Fiyat'!J63</f>
        <v>0</v>
      </c>
      <c r="K36" s="426">
        <f>K15*'Satış Fiyat'!K63</f>
        <v>0</v>
      </c>
      <c r="L36" s="426">
        <f>L15*'Satış Fiyat'!L63</f>
        <v>0</v>
      </c>
      <c r="M36" s="426">
        <f>M15*'Satış Fiyat'!M63</f>
        <v>0</v>
      </c>
      <c r="N36" s="426">
        <f>N15*'Satış Fiyat'!N63</f>
        <v>0</v>
      </c>
      <c r="O36" s="427">
        <f>O15*'Satış Fiyat'!O63</f>
        <v>0</v>
      </c>
      <c r="P36" s="1247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Fiyat'!D64</f>
        <v>0</v>
      </c>
      <c r="E37" s="434">
        <f>E16*'Satış Fiyat'!E64</f>
        <v>0</v>
      </c>
      <c r="F37" s="434">
        <f>F16*'Satış Fiyat'!F64</f>
        <v>0</v>
      </c>
      <c r="G37" s="434">
        <f>G16*'Satış Fiyat'!G64</f>
        <v>0</v>
      </c>
      <c r="H37" s="434">
        <f>H16*'Satış Fiyat'!H64</f>
        <v>0</v>
      </c>
      <c r="I37" s="434">
        <f>I16*'Satış Fiyat'!I64</f>
        <v>0</v>
      </c>
      <c r="J37" s="434">
        <f>J16*'Satış Fiyat'!J64</f>
        <v>0</v>
      </c>
      <c r="K37" s="434">
        <f>K16*'Satış Fiyat'!K64</f>
        <v>0</v>
      </c>
      <c r="L37" s="434">
        <f>L16*'Satış Fiyat'!L64</f>
        <v>0</v>
      </c>
      <c r="M37" s="434">
        <f>M16*'Satış Fiyat'!M64</f>
        <v>0</v>
      </c>
      <c r="N37" s="434">
        <f>N16*'Satış Fiyat'!N64</f>
        <v>0</v>
      </c>
      <c r="O37" s="435">
        <f>O16*'Satış Fiyat'!O64</f>
        <v>0</v>
      </c>
      <c r="P37" s="1220">
        <f t="shared" si="12"/>
        <v>0</v>
      </c>
      <c r="Q37" s="1244" t="str">
        <f t="shared" si="13"/>
        <v>-</v>
      </c>
    </row>
    <row r="38" spans="1:22" ht="22.5" customHeight="1" thickBot="1">
      <c r="A38" s="1251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1232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Fiyat'!D66</f>
        <v>0</v>
      </c>
      <c r="E39" s="426">
        <f>E18*'Satış Fiyat'!E66</f>
        <v>0</v>
      </c>
      <c r="F39" s="426">
        <f>F18*'Satış Fiyat'!F66</f>
        <v>0</v>
      </c>
      <c r="G39" s="426">
        <f>G18*'Satış Fiyat'!G66</f>
        <v>0</v>
      </c>
      <c r="H39" s="426">
        <f>H18*'Satış Fiyat'!H66</f>
        <v>0</v>
      </c>
      <c r="I39" s="426">
        <f>I18*'Satış Fiyat'!I66</f>
        <v>0</v>
      </c>
      <c r="J39" s="426">
        <f>J18*'Satış Fiyat'!J66</f>
        <v>0</v>
      </c>
      <c r="K39" s="426">
        <f>K18*'Satış Fiyat'!K66</f>
        <v>0</v>
      </c>
      <c r="L39" s="426">
        <f>L18*'Satış Fiyat'!L66</f>
        <v>0</v>
      </c>
      <c r="M39" s="426">
        <f>M18*'Satış Fiyat'!M66</f>
        <v>0</v>
      </c>
      <c r="N39" s="426">
        <f>N18*'Satış Fiyat'!N66</f>
        <v>0</v>
      </c>
      <c r="O39" s="427">
        <f>O18*'Satış Fiyat'!O66</f>
        <v>0</v>
      </c>
      <c r="P39" s="1247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Fiyat'!D67</f>
        <v>0</v>
      </c>
      <c r="E40" s="442">
        <f>E19*'Satış Fiyat'!E67</f>
        <v>0</v>
      </c>
      <c r="F40" s="442">
        <f>F19*'Satış Fiyat'!F67</f>
        <v>0</v>
      </c>
      <c r="G40" s="442">
        <f>G19*'Satış Fiyat'!G67</f>
        <v>0</v>
      </c>
      <c r="H40" s="442">
        <f>H19*'Satış Fiyat'!H67</f>
        <v>0</v>
      </c>
      <c r="I40" s="442">
        <f>I19*'Satış Fiyat'!I67</f>
        <v>0</v>
      </c>
      <c r="J40" s="442">
        <f>J19*'Satış Fiyat'!J67</f>
        <v>0</v>
      </c>
      <c r="K40" s="442">
        <f>K19*'Satış Fiyat'!K67</f>
        <v>0</v>
      </c>
      <c r="L40" s="442">
        <f>L19*'Satış Fiyat'!L67</f>
        <v>0</v>
      </c>
      <c r="M40" s="442">
        <f>M19*'Satış Fiyat'!M67</f>
        <v>0</v>
      </c>
      <c r="N40" s="442">
        <f>N19*'Satış Fiyat'!N67</f>
        <v>0</v>
      </c>
      <c r="O40" s="443">
        <f>O19*'Satış Fiyat'!O67</f>
        <v>0</v>
      </c>
      <c r="P40" s="1248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Fiyat'!D69</f>
        <v>0</v>
      </c>
      <c r="E42" s="366">
        <f>E21*'Satış Fiyat'!E69</f>
        <v>0</v>
      </c>
      <c r="F42" s="366">
        <f>F21*'Satış Fiyat'!F69</f>
        <v>0</v>
      </c>
      <c r="G42" s="366">
        <f>G21*'Satış Fiyat'!G69</f>
        <v>0</v>
      </c>
      <c r="H42" s="366">
        <f>H21*'Satış Fiyat'!H69</f>
        <v>0</v>
      </c>
      <c r="I42" s="366">
        <f>I21*'Satış Fiyat'!I69</f>
        <v>0</v>
      </c>
      <c r="J42" s="366">
        <f>J21*'Satış Fiyat'!J69</f>
        <v>0</v>
      </c>
      <c r="K42" s="366">
        <f>K21*'Satış Fiyat'!K69</f>
        <v>0</v>
      </c>
      <c r="L42" s="366">
        <f>L21*'Satış Fiyat'!L69</f>
        <v>0</v>
      </c>
      <c r="M42" s="366">
        <f>M21*'Satış Fiyat'!M69</f>
        <v>0</v>
      </c>
      <c r="N42" s="366">
        <f>N21*'Satış Fiyat'!N69</f>
        <v>0</v>
      </c>
      <c r="O42" s="448">
        <f>O21*'Satış Fiyat'!O69</f>
        <v>0</v>
      </c>
      <c r="P42" s="456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456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1251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456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1266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1230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126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1231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1268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1158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1269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1246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127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1218">
        <f t="shared" si="24"/>
        <v>0</v>
      </c>
      <c r="Q53" s="1240" t="str">
        <f t="shared" si="28"/>
        <v>-</v>
      </c>
      <c r="S53" s="461">
        <v>0.01</v>
      </c>
      <c r="T53" s="461">
        <v>0.01</v>
      </c>
      <c r="U53" s="461">
        <v>0.01</v>
      </c>
      <c r="V53" s="461">
        <v>0.01</v>
      </c>
    </row>
    <row r="54" spans="1:22" ht="16.5" hidden="1" customHeight="1">
      <c r="A54" s="1271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1246">
        <f t="shared" si="24"/>
        <v>0</v>
      </c>
      <c r="Q54" s="1238" t="str">
        <f t="shared" si="28"/>
        <v>-</v>
      </c>
      <c r="S54" s="461">
        <v>0.01</v>
      </c>
      <c r="T54" s="461">
        <v>0.01</v>
      </c>
      <c r="U54" s="461">
        <v>0.01</v>
      </c>
      <c r="V54" s="461">
        <v>0.01</v>
      </c>
    </row>
    <row r="55" spans="1:22" ht="16.5" customHeight="1">
      <c r="A55" s="1270" t="s">
        <v>83</v>
      </c>
      <c r="B55" s="408"/>
      <c r="C55" s="409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1218">
        <f t="shared" si="24"/>
        <v>0</v>
      </c>
      <c r="Q55" s="1240" t="str">
        <f t="shared" si="28"/>
        <v>-</v>
      </c>
      <c r="S55" s="461">
        <v>0.01</v>
      </c>
      <c r="T55" s="461">
        <v>0.01</v>
      </c>
      <c r="U55" s="461">
        <v>0.01</v>
      </c>
      <c r="V55" s="461">
        <v>0.01</v>
      </c>
    </row>
    <row r="56" spans="1:22" ht="16.5" hidden="1" customHeight="1">
      <c r="A56" s="1271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1246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1272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1159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1251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1232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1247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1220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1251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1232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1247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1248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456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456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1251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456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1266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1230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126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1231">
        <f t="shared" si="88"/>
        <v>0</v>
      </c>
      <c r="Q73" s="1238" t="str">
        <f t="shared" si="85"/>
        <v>-</v>
      </c>
    </row>
    <row r="74" spans="1:22" ht="15" customHeight="1">
      <c r="A74" s="1268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1158">
        <f t="shared" si="88"/>
        <v>0</v>
      </c>
      <c r="Q74" s="1239" t="str">
        <f t="shared" si="85"/>
        <v>-</v>
      </c>
    </row>
    <row r="75" spans="1:22" ht="16.5" customHeight="1">
      <c r="A75" s="1269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1246">
        <f t="shared" si="88"/>
        <v>0</v>
      </c>
      <c r="Q75" s="1238" t="str">
        <f t="shared" si="85"/>
        <v>-</v>
      </c>
    </row>
    <row r="76" spans="1:22" ht="16.5" customHeight="1">
      <c r="A76" s="127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1218">
        <f t="shared" si="88"/>
        <v>0</v>
      </c>
      <c r="Q76" s="1240" t="str">
        <f t="shared" si="85"/>
        <v>-</v>
      </c>
    </row>
    <row r="77" spans="1:22" ht="16.5" hidden="1" customHeight="1">
      <c r="A77" s="1271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1246">
        <f>SUM(D77:O77)</f>
        <v>0</v>
      </c>
      <c r="Q77" s="1238" t="str">
        <f t="shared" si="85"/>
        <v>-</v>
      </c>
    </row>
    <row r="78" spans="1:22" ht="16.5" customHeight="1">
      <c r="A78" s="127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1218">
        <f t="shared" si="88"/>
        <v>0</v>
      </c>
      <c r="Q78" s="1240" t="str">
        <f t="shared" si="85"/>
        <v>-</v>
      </c>
    </row>
    <row r="79" spans="1:22" ht="16.5" hidden="1" customHeight="1">
      <c r="A79" s="1271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1246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1272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1159">
        <f t="shared" si="88"/>
        <v>0</v>
      </c>
      <c r="Q80" s="1241" t="str">
        <f t="shared" si="85"/>
        <v>-</v>
      </c>
    </row>
    <row r="81" spans="1:22" ht="22.5" customHeight="1" thickBot="1">
      <c r="A81" s="1251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1232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1247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1220">
        <f t="shared" si="88"/>
        <v>0</v>
      </c>
      <c r="Q83" s="1244" t="str">
        <f t="shared" si="85"/>
        <v>-</v>
      </c>
    </row>
    <row r="84" spans="1:22" ht="22.5" customHeight="1" thickBot="1">
      <c r="A84" s="1251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456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1247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1248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456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456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456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Fiyat'!D53</f>
        <v>0</v>
      </c>
      <c r="E95" s="372">
        <f>E5*'Alış Fiyat'!E53</f>
        <v>0</v>
      </c>
      <c r="F95" s="372">
        <f>F5*'Alış Fiyat'!F53</f>
        <v>0</v>
      </c>
      <c r="G95" s="372">
        <f>G5*'Alış Fiyat'!G53</f>
        <v>0</v>
      </c>
      <c r="H95" s="373">
        <f>H5*'Alış Fiyat'!H53</f>
        <v>0</v>
      </c>
      <c r="I95" s="373">
        <f>I5*'Alış Fiyat'!I53</f>
        <v>0</v>
      </c>
      <c r="J95" s="373">
        <f>J5*'Alış Fiyat'!J53</f>
        <v>0</v>
      </c>
      <c r="K95" s="373">
        <f>K5*'Alış Fiyat'!K53</f>
        <v>0</v>
      </c>
      <c r="L95" s="373">
        <f>L5*'Alış Fiyat'!L53</f>
        <v>0</v>
      </c>
      <c r="M95" s="373">
        <f>M5*'Alış Fiyat'!M53</f>
        <v>0</v>
      </c>
      <c r="N95" s="373">
        <f>N5*'Alış Fiyat'!N53</f>
        <v>0</v>
      </c>
      <c r="O95" s="374">
        <f>O5*'Alış Fiyat'!O53</f>
        <v>0</v>
      </c>
      <c r="P95" s="1230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Fiyat'!D54</f>
        <v>0</v>
      </c>
      <c r="E96" s="381">
        <f>E6*'Alış Fiyat'!E54</f>
        <v>0</v>
      </c>
      <c r="F96" s="381">
        <f>F6*'Alış Fiyat'!F54</f>
        <v>0</v>
      </c>
      <c r="G96" s="381">
        <f>G6*'Alış Fiyat'!G54</f>
        <v>0</v>
      </c>
      <c r="H96" s="382">
        <f>H6*'Alış Fiyat'!H54</f>
        <v>0</v>
      </c>
      <c r="I96" s="382">
        <f>I6*'Alış Fiyat'!I54</f>
        <v>0</v>
      </c>
      <c r="J96" s="382">
        <f>J6*'Alış Fiyat'!J54</f>
        <v>0</v>
      </c>
      <c r="K96" s="382">
        <f>K6*'Alış Fiyat'!K54</f>
        <v>0</v>
      </c>
      <c r="L96" s="382">
        <f>L6*'Alış Fiyat'!L54</f>
        <v>0</v>
      </c>
      <c r="M96" s="382">
        <f>M6*'Alış Fiyat'!M54</f>
        <v>0</v>
      </c>
      <c r="N96" s="382">
        <f>N6*'Alış Fiyat'!N54</f>
        <v>0</v>
      </c>
      <c r="O96" s="383">
        <f>O6*'Alış Fiyat'!O54</f>
        <v>0</v>
      </c>
      <c r="P96" s="1231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1158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Fiyat'!D56</f>
        <v>0</v>
      </c>
      <c r="E98" s="397">
        <f>E8*'Alış Fiyat'!E56</f>
        <v>0</v>
      </c>
      <c r="F98" s="397">
        <f>F8*'Alış Fiyat'!F56</f>
        <v>0</v>
      </c>
      <c r="G98" s="397">
        <f>G8*'Alış Fiyat'!G56</f>
        <v>0</v>
      </c>
      <c r="H98" s="397">
        <f>H8*'Alış Fiyat'!H56</f>
        <v>0</v>
      </c>
      <c r="I98" s="397">
        <f>I8*'Alış Fiyat'!I56</f>
        <v>0</v>
      </c>
      <c r="J98" s="397">
        <f>J8*'Alış Fiyat'!J56</f>
        <v>0</v>
      </c>
      <c r="K98" s="397">
        <f>K8*'Alış Fiyat'!K56</f>
        <v>0</v>
      </c>
      <c r="L98" s="397">
        <f>L8*'Alış Fiyat'!L56</f>
        <v>0</v>
      </c>
      <c r="M98" s="397">
        <f>M8*'Alış Fiyat'!M56</f>
        <v>0</v>
      </c>
      <c r="N98" s="397">
        <f>N8*'Alış Fiyat'!N56</f>
        <v>0</v>
      </c>
      <c r="O98" s="398">
        <f>O8*'Alış Fiyat'!O56</f>
        <v>0</v>
      </c>
      <c r="P98" s="1246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1563">
        <f>D9*'Alış Fiyat'!D57</f>
        <v>0</v>
      </c>
      <c r="E99" s="1560">
        <f>E9*'Alış Fiyat'!E57</f>
        <v>0</v>
      </c>
      <c r="F99" s="1560">
        <f>F9*'Alış Fiyat'!F57</f>
        <v>0</v>
      </c>
      <c r="G99" s="1560">
        <f>G9*'Alış Fiyat'!G57</f>
        <v>0</v>
      </c>
      <c r="H99" s="1560">
        <f>H9*'Alış Fiyat'!H57</f>
        <v>0</v>
      </c>
      <c r="I99" s="1560">
        <f>I9*'Alış Fiyat'!I57</f>
        <v>0</v>
      </c>
      <c r="J99" s="1560">
        <f>J9*'Alış Fiyat'!J57</f>
        <v>0</v>
      </c>
      <c r="K99" s="1560">
        <f>K9*'Alış Fiyat'!K57</f>
        <v>0</v>
      </c>
      <c r="L99" s="1560">
        <f>L9*'Alış Fiyat'!L57</f>
        <v>0</v>
      </c>
      <c r="M99" s="1560">
        <f>M9*'Alış Fiyat'!M57</f>
        <v>0</v>
      </c>
      <c r="N99" s="1560">
        <f>N9*'Alış Fiyat'!N57</f>
        <v>0</v>
      </c>
      <c r="O99" s="387">
        <f>O9*'Alış Fiyat'!O57</f>
        <v>0</v>
      </c>
      <c r="P99" s="1218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Fiyat'!D58</f>
        <v>0</v>
      </c>
      <c r="E100" s="397">
        <f>E10*'Alış Fiyat'!E58</f>
        <v>0</v>
      </c>
      <c r="F100" s="397">
        <f>F10*'Alış Fiyat'!F58</f>
        <v>0</v>
      </c>
      <c r="G100" s="397">
        <f>G10*'Alış Fiyat'!G58</f>
        <v>0</v>
      </c>
      <c r="H100" s="397">
        <f>H10*'Alış Fiyat'!H58</f>
        <v>0</v>
      </c>
      <c r="I100" s="397">
        <f>I10*'Alış Fiyat'!I58</f>
        <v>0</v>
      </c>
      <c r="J100" s="397">
        <f>J10*'Alış Fiyat'!J58</f>
        <v>0</v>
      </c>
      <c r="K100" s="397">
        <f>K10*'Alış Fiyat'!K58</f>
        <v>0</v>
      </c>
      <c r="L100" s="397">
        <f>L10*'Alış Fiyat'!L58</f>
        <v>0</v>
      </c>
      <c r="M100" s="397">
        <f>M10*'Alış Fiyat'!M58</f>
        <v>0</v>
      </c>
      <c r="N100" s="397">
        <f>N10*'Alış Fiyat'!N58</f>
        <v>0</v>
      </c>
      <c r="O100" s="398">
        <f>O10*'Alış Fiyat'!O58</f>
        <v>0</v>
      </c>
      <c r="P100" s="1246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9"/>
      <c r="D101" s="402">
        <f>D11*'Alış Fiyat'!D59</f>
        <v>0</v>
      </c>
      <c r="E101" s="403">
        <f>E11*'Alış Fiyat'!E59</f>
        <v>0</v>
      </c>
      <c r="F101" s="403">
        <f>F11*'Alış Fiyat'!F59</f>
        <v>0</v>
      </c>
      <c r="G101" s="403">
        <f>G11*'Alış Fiyat'!G59</f>
        <v>0</v>
      </c>
      <c r="H101" s="403">
        <f>H11*'Alış Fiyat'!H59</f>
        <v>0</v>
      </c>
      <c r="I101" s="403">
        <f>I11*'Alış Fiyat'!I59</f>
        <v>0</v>
      </c>
      <c r="J101" s="403">
        <f>J11*'Alış Fiyat'!J59</f>
        <v>0</v>
      </c>
      <c r="K101" s="403">
        <f>K11*'Alış Fiyat'!K59</f>
        <v>0</v>
      </c>
      <c r="L101" s="403">
        <f>L11*'Alış Fiyat'!L59</f>
        <v>0</v>
      </c>
      <c r="M101" s="403">
        <f>M11*'Alış Fiyat'!M59</f>
        <v>0</v>
      </c>
      <c r="N101" s="403">
        <f>N11*'Alış Fiyat'!N59</f>
        <v>0</v>
      </c>
      <c r="O101" s="404">
        <f>O11*'Alış Fiyat'!O59</f>
        <v>0</v>
      </c>
      <c r="P101" s="1218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Fiyat'!D60</f>
        <v>0</v>
      </c>
      <c r="E102" s="382">
        <f>E12*'Alış Fiyat'!E60</f>
        <v>0</v>
      </c>
      <c r="F102" s="382">
        <f>F12*'Alış Fiyat'!F60</f>
        <v>0</v>
      </c>
      <c r="G102" s="382">
        <f>G12*'Alış Fiyat'!G60</f>
        <v>0</v>
      </c>
      <c r="H102" s="382">
        <f>H12*'Alış Fiyat'!H60</f>
        <v>0</v>
      </c>
      <c r="I102" s="381">
        <f>I12*'Alış Fiyat'!I60</f>
        <v>0</v>
      </c>
      <c r="J102" s="381">
        <f>J12*'Alış Fiyat'!J60</f>
        <v>0</v>
      </c>
      <c r="K102" s="382">
        <f>K12*'Alış Fiyat'!K60</f>
        <v>0</v>
      </c>
      <c r="L102" s="382">
        <f>L12*'Alış Fiyat'!L60</f>
        <v>0</v>
      </c>
      <c r="M102" s="382">
        <f>M12*'Alış Fiyat'!M60</f>
        <v>0</v>
      </c>
      <c r="N102" s="382">
        <f>N12*'Alış Fiyat'!N60</f>
        <v>0</v>
      </c>
      <c r="O102" s="383">
        <f>O12*'Alış Fiyat'!O60</f>
        <v>0</v>
      </c>
      <c r="P102" s="1246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1159">
        <f t="shared" si="115"/>
        <v>0</v>
      </c>
      <c r="Q103" s="1241" t="str">
        <f t="shared" si="112"/>
        <v>-</v>
      </c>
    </row>
    <row r="104" spans="1:22" ht="22.5" customHeight="1" thickBot="1">
      <c r="A104" s="1251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1232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Fiyat'!D63</f>
        <v>0</v>
      </c>
      <c r="E105" s="426">
        <f>E15*'Alış Fiyat'!E63</f>
        <v>0</v>
      </c>
      <c r="F105" s="426">
        <f>F15*'Alış Fiyat'!F63</f>
        <v>0</v>
      </c>
      <c r="G105" s="426">
        <f>G15*'Alış Fiyat'!G63</f>
        <v>0</v>
      </c>
      <c r="H105" s="426">
        <f>H15*'Alış Fiyat'!H63</f>
        <v>0</v>
      </c>
      <c r="I105" s="426">
        <f>I15*'Alış Fiyat'!I63</f>
        <v>0</v>
      </c>
      <c r="J105" s="426">
        <f>J15*'Alış Fiyat'!J63</f>
        <v>0</v>
      </c>
      <c r="K105" s="426">
        <f>K15*'Alış Fiyat'!K63</f>
        <v>0</v>
      </c>
      <c r="L105" s="426">
        <f>L15*'Alış Fiyat'!L63</f>
        <v>0</v>
      </c>
      <c r="M105" s="426">
        <f>M15*'Alış Fiyat'!M63</f>
        <v>0</v>
      </c>
      <c r="N105" s="426">
        <f>N15*'Alış Fiyat'!N63</f>
        <v>0</v>
      </c>
      <c r="O105" s="427">
        <f>O15*'Alış Fiyat'!O63</f>
        <v>0</v>
      </c>
      <c r="P105" s="1247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Fiyat'!D64</f>
        <v>0</v>
      </c>
      <c r="E106" s="434">
        <f>E16*'Alış Fiyat'!E64</f>
        <v>0</v>
      </c>
      <c r="F106" s="434">
        <f>F16*'Alış Fiyat'!F64</f>
        <v>0</v>
      </c>
      <c r="G106" s="434">
        <f>G16*'Alış Fiyat'!G64</f>
        <v>0</v>
      </c>
      <c r="H106" s="434">
        <f>H16*'Alış Fiyat'!H64</f>
        <v>0</v>
      </c>
      <c r="I106" s="434">
        <f>I16*'Alış Fiyat'!I64</f>
        <v>0</v>
      </c>
      <c r="J106" s="434">
        <f>J16*'Alış Fiyat'!J64</f>
        <v>0</v>
      </c>
      <c r="K106" s="434">
        <f>K16*'Alış Fiyat'!K64</f>
        <v>0</v>
      </c>
      <c r="L106" s="434">
        <f>L16*'Alış Fiyat'!L64</f>
        <v>0</v>
      </c>
      <c r="M106" s="434">
        <f>M16*'Alış Fiyat'!M64</f>
        <v>0</v>
      </c>
      <c r="N106" s="434">
        <f>N16*'Alış Fiyat'!N64</f>
        <v>0</v>
      </c>
      <c r="O106" s="435">
        <f>O16*'Alış Fiyat'!O64</f>
        <v>0</v>
      </c>
      <c r="P106" s="1220">
        <f>SUM(D106:O106)</f>
        <v>0</v>
      </c>
      <c r="Q106" s="1244" t="str">
        <f t="shared" si="112"/>
        <v>-</v>
      </c>
    </row>
    <row r="107" spans="1:22" ht="22.5" customHeight="1" thickBot="1">
      <c r="A107" s="1251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1232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Fiyat'!D66</f>
        <v>0</v>
      </c>
      <c r="E108" s="426">
        <f>E18*'Alış Fiyat'!E66</f>
        <v>0</v>
      </c>
      <c r="F108" s="426">
        <f>F18*'Alış Fiyat'!F66</f>
        <v>0</v>
      </c>
      <c r="G108" s="426">
        <f>G18*'Alış Fiyat'!G66</f>
        <v>0</v>
      </c>
      <c r="H108" s="426">
        <f>H18*'Alış Fiyat'!H66</f>
        <v>0</v>
      </c>
      <c r="I108" s="426">
        <f>I18*'Alış Fiyat'!I66</f>
        <v>0</v>
      </c>
      <c r="J108" s="426">
        <f>J18*'Alış Fiyat'!J66</f>
        <v>0</v>
      </c>
      <c r="K108" s="426">
        <f>K18*'Alış Fiyat'!K66</f>
        <v>0</v>
      </c>
      <c r="L108" s="426">
        <f>L18*'Alış Fiyat'!L66</f>
        <v>0</v>
      </c>
      <c r="M108" s="426">
        <f>M18*'Alış Fiyat'!M66</f>
        <v>0</v>
      </c>
      <c r="N108" s="426">
        <f>N18*'Alış Fiyat'!N66</f>
        <v>0</v>
      </c>
      <c r="O108" s="427">
        <f>O18*'Alış Fiyat'!O66</f>
        <v>0</v>
      </c>
      <c r="P108" s="1247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Fiyat'!D67</f>
        <v>0</v>
      </c>
      <c r="E109" s="442">
        <f>E19*'Alış Fiyat'!E67</f>
        <v>0</v>
      </c>
      <c r="F109" s="442">
        <f>F19*'Alış Fiyat'!F67</f>
        <v>0</v>
      </c>
      <c r="G109" s="442">
        <f>G19*'Alış Fiyat'!G67</f>
        <v>0</v>
      </c>
      <c r="H109" s="442">
        <f>H19*'Alış Fiyat'!H67</f>
        <v>0</v>
      </c>
      <c r="I109" s="442">
        <f>I19*'Alış Fiyat'!I67</f>
        <v>0</v>
      </c>
      <c r="J109" s="442">
        <f>J19*'Alış Fiyat'!J67</f>
        <v>0</v>
      </c>
      <c r="K109" s="442">
        <f>K19*'Alış Fiyat'!K67</f>
        <v>0</v>
      </c>
      <c r="L109" s="442">
        <f>L19*'Alış Fiyat'!L67</f>
        <v>0</v>
      </c>
      <c r="M109" s="442">
        <f>M19*'Alış Fiyat'!M67</f>
        <v>0</v>
      </c>
      <c r="N109" s="442">
        <f>N19*'Alış Fiyat'!N67</f>
        <v>0</v>
      </c>
      <c r="O109" s="443">
        <f>O19*'Alış Fiyat'!O67</f>
        <v>0</v>
      </c>
      <c r="P109" s="1248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Fiyat'!D69</f>
        <v>0</v>
      </c>
      <c r="E111" s="366">
        <f>E21*'Alış Fiyat'!E69</f>
        <v>0</v>
      </c>
      <c r="F111" s="366">
        <f>F21*'Alış Fiyat'!F69</f>
        <v>0</v>
      </c>
      <c r="G111" s="366">
        <f>G21*'Alış Fiyat'!G69</f>
        <v>0</v>
      </c>
      <c r="H111" s="366">
        <f>H21*'Alış Fiyat'!H69</f>
        <v>0</v>
      </c>
      <c r="I111" s="366">
        <f>I21*'Alış Fiyat'!I69</f>
        <v>0</v>
      </c>
      <c r="J111" s="366">
        <f>J21*'Alış Fiyat'!J69</f>
        <v>0</v>
      </c>
      <c r="K111" s="366">
        <f>K21*'Alış Fiyat'!K69</f>
        <v>0</v>
      </c>
      <c r="L111" s="366">
        <f>L21*'Alış Fiyat'!L69</f>
        <v>0</v>
      </c>
      <c r="M111" s="366">
        <f>M21*'Alış Fiyat'!M69</f>
        <v>0</v>
      </c>
      <c r="N111" s="366">
        <f>N21*'Alış Fiyat'!N69</f>
        <v>0</v>
      </c>
      <c r="O111" s="448">
        <f>O21*'Alış Fiyat'!O69</f>
        <v>0</v>
      </c>
      <c r="P111" s="456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456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456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1230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1231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1158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1246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1218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1246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1218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1246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1159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1232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1247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1220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1232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1247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1248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456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456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1232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85"/>
      <c r="E141" s="1886"/>
      <c r="F141" s="1886"/>
      <c r="G141" s="1886"/>
      <c r="H141" s="1886"/>
      <c r="I141" s="1886"/>
      <c r="J141" s="1886"/>
      <c r="K141" s="1886"/>
      <c r="L141" s="1886"/>
      <c r="M141" s="1886"/>
      <c r="N141" s="1886"/>
      <c r="O141" s="1887"/>
      <c r="P141" s="1156"/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8"/>
      <c r="E142" s="1889"/>
      <c r="F142" s="1889"/>
      <c r="G142" s="1889"/>
      <c r="H142" s="1889"/>
      <c r="I142" s="1889"/>
      <c r="J142" s="1889"/>
      <c r="K142" s="1889"/>
      <c r="L142" s="1889"/>
      <c r="M142" s="1889"/>
      <c r="N142" s="1889"/>
      <c r="O142" s="1890"/>
      <c r="P142" s="1157"/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91"/>
      <c r="E143" s="1892"/>
      <c r="F143" s="1892"/>
      <c r="G143" s="1892"/>
      <c r="H143" s="1892"/>
      <c r="I143" s="1892"/>
      <c r="J143" s="1892"/>
      <c r="K143" s="1892"/>
      <c r="L143" s="1892"/>
      <c r="M143" s="1892"/>
      <c r="N143" s="1892"/>
      <c r="O143" s="1893"/>
      <c r="P143" s="1158"/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8"/>
      <c r="E144" s="1889"/>
      <c r="F144" s="1889"/>
      <c r="G144" s="1889"/>
      <c r="H144" s="1889"/>
      <c r="I144" s="1889"/>
      <c r="J144" s="1889"/>
      <c r="K144" s="1889"/>
      <c r="L144" s="1889"/>
      <c r="M144" s="1889"/>
      <c r="N144" s="1889"/>
      <c r="O144" s="1890"/>
      <c r="P144" s="1157"/>
      <c r="Q144" s="1253" t="str">
        <f t="shared" si="153"/>
        <v>-</v>
      </c>
    </row>
    <row r="145" spans="1:17">
      <c r="A145" s="483" t="s">
        <v>41</v>
      </c>
      <c r="B145" s="486"/>
      <c r="C145" s="486"/>
      <c r="D145" s="1891"/>
      <c r="E145" s="1892"/>
      <c r="F145" s="1892"/>
      <c r="G145" s="1892"/>
      <c r="H145" s="1892"/>
      <c r="I145" s="1892"/>
      <c r="J145" s="1892"/>
      <c r="K145" s="1892"/>
      <c r="L145" s="1892"/>
      <c r="M145" s="1892"/>
      <c r="N145" s="1892"/>
      <c r="O145" s="1893"/>
      <c r="P145" s="1158"/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8"/>
      <c r="E146" s="1889"/>
      <c r="F146" s="1889"/>
      <c r="G146" s="1889"/>
      <c r="H146" s="1889"/>
      <c r="I146" s="1889"/>
      <c r="J146" s="1889"/>
      <c r="K146" s="1889"/>
      <c r="L146" s="1889"/>
      <c r="M146" s="1889"/>
      <c r="N146" s="1889"/>
      <c r="O146" s="1890"/>
      <c r="P146" s="1157"/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91"/>
      <c r="E147" s="1892"/>
      <c r="F147" s="1892"/>
      <c r="G147" s="1892"/>
      <c r="H147" s="1892"/>
      <c r="I147" s="1892"/>
      <c r="J147" s="1892"/>
      <c r="K147" s="1892"/>
      <c r="L147" s="1892"/>
      <c r="M147" s="1892"/>
      <c r="N147" s="1892"/>
      <c r="O147" s="1893"/>
      <c r="P147" s="1158"/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8"/>
      <c r="E148" s="1889"/>
      <c r="F148" s="1889"/>
      <c r="G148" s="1889"/>
      <c r="H148" s="1889"/>
      <c r="I148" s="1889"/>
      <c r="J148" s="1889"/>
      <c r="K148" s="1889"/>
      <c r="L148" s="1889"/>
      <c r="M148" s="1889"/>
      <c r="N148" s="1889"/>
      <c r="O148" s="1890"/>
      <c r="P148" s="1157"/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91"/>
      <c r="E149" s="1892"/>
      <c r="F149" s="1892"/>
      <c r="G149" s="1892"/>
      <c r="H149" s="1892"/>
      <c r="I149" s="1892"/>
      <c r="J149" s="1892"/>
      <c r="K149" s="1892"/>
      <c r="L149" s="1892"/>
      <c r="M149" s="1892"/>
      <c r="N149" s="1892"/>
      <c r="O149" s="1893"/>
      <c r="P149" s="1158"/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8"/>
      <c r="E150" s="1889"/>
      <c r="F150" s="1889"/>
      <c r="G150" s="1889"/>
      <c r="H150" s="1889"/>
      <c r="I150" s="1889"/>
      <c r="J150" s="1889"/>
      <c r="K150" s="1889"/>
      <c r="L150" s="1889"/>
      <c r="M150" s="1889"/>
      <c r="N150" s="1889"/>
      <c r="O150" s="1890"/>
      <c r="P150" s="1157"/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91"/>
      <c r="E151" s="1892"/>
      <c r="F151" s="1892"/>
      <c r="G151" s="1892"/>
      <c r="H151" s="1892"/>
      <c r="I151" s="1892"/>
      <c r="J151" s="1892"/>
      <c r="K151" s="1892"/>
      <c r="L151" s="1892"/>
      <c r="M151" s="1892"/>
      <c r="N151" s="1892"/>
      <c r="O151" s="1893"/>
      <c r="P151" s="1158"/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8"/>
      <c r="E152" s="1889"/>
      <c r="F152" s="1889"/>
      <c r="G152" s="1889"/>
      <c r="H152" s="1889"/>
      <c r="I152" s="1889"/>
      <c r="J152" s="1889"/>
      <c r="K152" s="1889"/>
      <c r="L152" s="1889"/>
      <c r="M152" s="1889"/>
      <c r="N152" s="1889"/>
      <c r="O152" s="1890"/>
      <c r="P152" s="1157"/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91"/>
      <c r="E153" s="1892"/>
      <c r="F153" s="1892"/>
      <c r="G153" s="1892"/>
      <c r="H153" s="1892"/>
      <c r="I153" s="1892"/>
      <c r="J153" s="1892"/>
      <c r="K153" s="1892"/>
      <c r="L153" s="1892"/>
      <c r="M153" s="1892"/>
      <c r="N153" s="1892"/>
      <c r="O153" s="1893"/>
      <c r="P153" s="1158"/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8"/>
      <c r="E154" s="1889"/>
      <c r="F154" s="1889"/>
      <c r="G154" s="1889"/>
      <c r="H154" s="1889"/>
      <c r="I154" s="1889"/>
      <c r="J154" s="1889"/>
      <c r="K154" s="1889"/>
      <c r="L154" s="1889"/>
      <c r="M154" s="1889"/>
      <c r="N154" s="1889"/>
      <c r="O154" s="1890"/>
      <c r="P154" s="1157"/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91"/>
      <c r="E155" s="1892"/>
      <c r="F155" s="1892"/>
      <c r="G155" s="1892"/>
      <c r="H155" s="1892"/>
      <c r="I155" s="1892"/>
      <c r="J155" s="1892"/>
      <c r="K155" s="1892"/>
      <c r="L155" s="1892"/>
      <c r="M155" s="1892"/>
      <c r="N155" s="1892"/>
      <c r="O155" s="1893"/>
      <c r="P155" s="1158"/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8"/>
      <c r="E156" s="1889"/>
      <c r="F156" s="1889"/>
      <c r="G156" s="1889"/>
      <c r="H156" s="1889"/>
      <c r="I156" s="1889"/>
      <c r="J156" s="1889"/>
      <c r="K156" s="1889"/>
      <c r="L156" s="1889"/>
      <c r="M156" s="1889"/>
      <c r="N156" s="1889"/>
      <c r="O156" s="1890"/>
      <c r="P156" s="1157"/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91"/>
      <c r="E157" s="1892"/>
      <c r="F157" s="1892"/>
      <c r="G157" s="1892"/>
      <c r="H157" s="1892"/>
      <c r="I157" s="1892"/>
      <c r="J157" s="1892"/>
      <c r="K157" s="1892"/>
      <c r="L157" s="1892"/>
      <c r="M157" s="1892"/>
      <c r="N157" s="1892"/>
      <c r="O157" s="1893"/>
      <c r="P157" s="1158"/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8"/>
      <c r="E158" s="1889"/>
      <c r="F158" s="1889"/>
      <c r="G158" s="1889"/>
      <c r="H158" s="1889"/>
      <c r="I158" s="1889"/>
      <c r="J158" s="1889"/>
      <c r="K158" s="1889"/>
      <c r="L158" s="1889"/>
      <c r="M158" s="1889"/>
      <c r="N158" s="1889"/>
      <c r="O158" s="1890"/>
      <c r="P158" s="1157"/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91"/>
      <c r="E159" s="1892"/>
      <c r="F159" s="1892"/>
      <c r="G159" s="1892"/>
      <c r="H159" s="1892"/>
      <c r="I159" s="1892"/>
      <c r="J159" s="1892"/>
      <c r="K159" s="1892"/>
      <c r="L159" s="1892"/>
      <c r="M159" s="1892"/>
      <c r="N159" s="1892"/>
      <c r="O159" s="1893"/>
      <c r="P159" s="1158"/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8"/>
      <c r="E160" s="1889"/>
      <c r="F160" s="1889"/>
      <c r="G160" s="1889"/>
      <c r="H160" s="1889"/>
      <c r="I160" s="1889"/>
      <c r="J160" s="1889"/>
      <c r="K160" s="1889"/>
      <c r="L160" s="1889"/>
      <c r="M160" s="1889"/>
      <c r="N160" s="1889"/>
      <c r="O160" s="1890"/>
      <c r="P160" s="1157"/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91"/>
      <c r="E161" s="1892"/>
      <c r="F161" s="1892"/>
      <c r="G161" s="1892"/>
      <c r="H161" s="1892"/>
      <c r="I161" s="1892"/>
      <c r="J161" s="1892"/>
      <c r="K161" s="1892"/>
      <c r="L161" s="1892"/>
      <c r="M161" s="1892"/>
      <c r="N161" s="1892"/>
      <c r="O161" s="1893"/>
      <c r="P161" s="1158"/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8"/>
      <c r="E162" s="1889"/>
      <c r="F162" s="1889"/>
      <c r="G162" s="1889"/>
      <c r="H162" s="1889"/>
      <c r="I162" s="1889"/>
      <c r="J162" s="1889"/>
      <c r="K162" s="1889"/>
      <c r="L162" s="1889"/>
      <c r="M162" s="1889"/>
      <c r="N162" s="1889"/>
      <c r="O162" s="1890"/>
      <c r="P162" s="1157"/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91"/>
      <c r="E163" s="1892"/>
      <c r="F163" s="1892"/>
      <c r="G163" s="1892"/>
      <c r="H163" s="1892"/>
      <c r="I163" s="1892"/>
      <c r="J163" s="1892"/>
      <c r="K163" s="1892"/>
      <c r="L163" s="1892"/>
      <c r="M163" s="1892"/>
      <c r="N163" s="1892"/>
      <c r="O163" s="1893"/>
      <c r="P163" s="1158"/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8"/>
      <c r="E164" s="1889"/>
      <c r="F164" s="1889"/>
      <c r="G164" s="1889"/>
      <c r="H164" s="1889"/>
      <c r="I164" s="1889"/>
      <c r="J164" s="1889"/>
      <c r="K164" s="1889"/>
      <c r="L164" s="1889"/>
      <c r="M164" s="1889"/>
      <c r="N164" s="1889"/>
      <c r="O164" s="1890"/>
      <c r="P164" s="1157"/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91"/>
      <c r="E165" s="1892"/>
      <c r="F165" s="1892"/>
      <c r="G165" s="1892"/>
      <c r="H165" s="1892"/>
      <c r="I165" s="1892"/>
      <c r="J165" s="1892"/>
      <c r="K165" s="1892"/>
      <c r="L165" s="1892"/>
      <c r="M165" s="1892"/>
      <c r="N165" s="1892"/>
      <c r="O165" s="1893"/>
      <c r="P165" s="1158"/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8"/>
      <c r="E166" s="1889"/>
      <c r="F166" s="1889"/>
      <c r="G166" s="1889"/>
      <c r="H166" s="1889"/>
      <c r="I166" s="1889"/>
      <c r="J166" s="1889"/>
      <c r="K166" s="1889"/>
      <c r="L166" s="1889"/>
      <c r="M166" s="1889"/>
      <c r="N166" s="1889"/>
      <c r="O166" s="1890"/>
      <c r="P166" s="1157"/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91"/>
      <c r="E167" s="1892"/>
      <c r="F167" s="1892"/>
      <c r="G167" s="1892"/>
      <c r="H167" s="1892"/>
      <c r="I167" s="1892"/>
      <c r="J167" s="1892"/>
      <c r="K167" s="1892"/>
      <c r="L167" s="1892"/>
      <c r="M167" s="1892"/>
      <c r="N167" s="1892"/>
      <c r="O167" s="1893"/>
      <c r="P167" s="1158"/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8"/>
      <c r="E168" s="1889"/>
      <c r="F168" s="1889"/>
      <c r="G168" s="1889"/>
      <c r="H168" s="1889"/>
      <c r="I168" s="1889"/>
      <c r="J168" s="1889"/>
      <c r="K168" s="1889"/>
      <c r="L168" s="1889"/>
      <c r="M168" s="1889"/>
      <c r="N168" s="1889"/>
      <c r="O168" s="1890"/>
      <c r="P168" s="1157"/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91"/>
      <c r="E169" s="1892"/>
      <c r="F169" s="1892"/>
      <c r="G169" s="1892"/>
      <c r="H169" s="1892"/>
      <c r="I169" s="1892"/>
      <c r="J169" s="1892"/>
      <c r="K169" s="1892"/>
      <c r="L169" s="1892"/>
      <c r="M169" s="1892"/>
      <c r="N169" s="1892"/>
      <c r="O169" s="1893"/>
      <c r="P169" s="1158"/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8"/>
      <c r="E170" s="1889"/>
      <c r="F170" s="1889"/>
      <c r="G170" s="1889"/>
      <c r="H170" s="1889"/>
      <c r="I170" s="1889"/>
      <c r="J170" s="1889"/>
      <c r="K170" s="1889"/>
      <c r="L170" s="1889"/>
      <c r="M170" s="1889"/>
      <c r="N170" s="1889"/>
      <c r="O170" s="1890"/>
      <c r="P170" s="1157"/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91"/>
      <c r="E171" s="1892"/>
      <c r="F171" s="1892"/>
      <c r="G171" s="1892"/>
      <c r="H171" s="1892"/>
      <c r="I171" s="1892"/>
      <c r="J171" s="1892"/>
      <c r="K171" s="1892"/>
      <c r="L171" s="1892"/>
      <c r="M171" s="1892"/>
      <c r="N171" s="1892"/>
      <c r="O171" s="1893"/>
      <c r="P171" s="1158"/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8"/>
      <c r="E172" s="1889"/>
      <c r="F172" s="1889"/>
      <c r="G172" s="1889"/>
      <c r="H172" s="1889"/>
      <c r="I172" s="1889"/>
      <c r="J172" s="1889"/>
      <c r="K172" s="1889"/>
      <c r="L172" s="1889"/>
      <c r="M172" s="1889"/>
      <c r="N172" s="1889"/>
      <c r="O172" s="1890"/>
      <c r="P172" s="1157"/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94"/>
      <c r="E173" s="1895"/>
      <c r="F173" s="1895"/>
      <c r="G173" s="1895"/>
      <c r="H173" s="1895"/>
      <c r="I173" s="1895"/>
      <c r="J173" s="1895"/>
      <c r="K173" s="1895"/>
      <c r="L173" s="1895"/>
      <c r="M173" s="1895"/>
      <c r="N173" s="1895"/>
      <c r="O173" s="1896"/>
      <c r="P173" s="1256"/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4">C44</f>
        <v>0</v>
      </c>
      <c r="D177" s="505">
        <f t="shared" ref="D177:P177" si="155">D44</f>
        <v>0</v>
      </c>
      <c r="E177" s="472">
        <f t="shared" si="155"/>
        <v>0</v>
      </c>
      <c r="F177" s="472">
        <f t="shared" si="155"/>
        <v>0</v>
      </c>
      <c r="G177" s="472">
        <f t="shared" si="155"/>
        <v>0</v>
      </c>
      <c r="H177" s="472">
        <f t="shared" si="155"/>
        <v>0</v>
      </c>
      <c r="I177" s="472">
        <f t="shared" si="155"/>
        <v>0</v>
      </c>
      <c r="J177" s="472">
        <f t="shared" si="155"/>
        <v>0</v>
      </c>
      <c r="K177" s="472">
        <f t="shared" si="155"/>
        <v>0</v>
      </c>
      <c r="L177" s="472">
        <f t="shared" si="155"/>
        <v>0</v>
      </c>
      <c r="M177" s="472">
        <f t="shared" si="155"/>
        <v>0</v>
      </c>
      <c r="N177" s="472">
        <f t="shared" si="155"/>
        <v>0</v>
      </c>
      <c r="O177" s="473">
        <f t="shared" si="155"/>
        <v>0</v>
      </c>
      <c r="P177" s="1156">
        <f t="shared" si="155"/>
        <v>0</v>
      </c>
      <c r="Q177" s="1257" t="str">
        <f t="shared" ref="Q177:Q187" si="156">IF(P177=0,"-",P177/C177-1)</f>
        <v>-</v>
      </c>
    </row>
    <row r="178" spans="1:17" ht="21" customHeight="1">
      <c r="A178" s="1164" t="s">
        <v>69</v>
      </c>
      <c r="B178" s="1921">
        <f>B67</f>
        <v>0</v>
      </c>
      <c r="C178" s="508">
        <f t="shared" ref="C178" si="157">C67</f>
        <v>0</v>
      </c>
      <c r="D178" s="509">
        <f t="shared" ref="D178:P178" si="158">D67</f>
        <v>0</v>
      </c>
      <c r="E178" s="480">
        <f t="shared" si="158"/>
        <v>0</v>
      </c>
      <c r="F178" s="480">
        <f t="shared" si="158"/>
        <v>0</v>
      </c>
      <c r="G178" s="480">
        <f t="shared" si="158"/>
        <v>0</v>
      </c>
      <c r="H178" s="480">
        <f t="shared" si="158"/>
        <v>0</v>
      </c>
      <c r="I178" s="480">
        <f t="shared" si="158"/>
        <v>0</v>
      </c>
      <c r="J178" s="480">
        <f t="shared" si="158"/>
        <v>0</v>
      </c>
      <c r="K178" s="480">
        <f t="shared" si="158"/>
        <v>0</v>
      </c>
      <c r="L178" s="480">
        <f t="shared" si="158"/>
        <v>0</v>
      </c>
      <c r="M178" s="480">
        <f t="shared" si="158"/>
        <v>0</v>
      </c>
      <c r="N178" s="480">
        <f t="shared" si="158"/>
        <v>0</v>
      </c>
      <c r="O178" s="481">
        <f t="shared" si="158"/>
        <v>0</v>
      </c>
      <c r="P178" s="1157">
        <f t="shared" si="158"/>
        <v>0</v>
      </c>
      <c r="Q178" s="1149" t="str">
        <f t="shared" si="156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6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59">C90-C179</f>
        <v>0</v>
      </c>
      <c r="D180" s="513">
        <f t="shared" ref="D180:P180" si="160">D90-D179</f>
        <v>0</v>
      </c>
      <c r="E180" s="487">
        <f t="shared" si="160"/>
        <v>0</v>
      </c>
      <c r="F180" s="487">
        <f t="shared" si="160"/>
        <v>0</v>
      </c>
      <c r="G180" s="487">
        <f t="shared" si="160"/>
        <v>0</v>
      </c>
      <c r="H180" s="487">
        <f t="shared" si="160"/>
        <v>0</v>
      </c>
      <c r="I180" s="487">
        <f t="shared" si="160"/>
        <v>0</v>
      </c>
      <c r="J180" s="487">
        <f t="shared" si="160"/>
        <v>0</v>
      </c>
      <c r="K180" s="487">
        <f t="shared" si="160"/>
        <v>0</v>
      </c>
      <c r="L180" s="487">
        <f t="shared" si="160"/>
        <v>0</v>
      </c>
      <c r="M180" s="487">
        <f t="shared" si="160"/>
        <v>0</v>
      </c>
      <c r="N180" s="487">
        <f t="shared" si="160"/>
        <v>0</v>
      </c>
      <c r="O180" s="488">
        <f t="shared" si="160"/>
        <v>0</v>
      </c>
      <c r="P180" s="1158">
        <f t="shared" si="160"/>
        <v>0</v>
      </c>
      <c r="Q180" s="1148" t="str">
        <f t="shared" si="156"/>
        <v>-</v>
      </c>
    </row>
    <row r="181" spans="1:17" ht="21" customHeight="1">
      <c r="A181" s="1164" t="s">
        <v>71</v>
      </c>
      <c r="B181" s="1921">
        <f t="shared" ref="B181:C181" si="161">B113</f>
        <v>0</v>
      </c>
      <c r="C181" s="508">
        <f t="shared" si="161"/>
        <v>0</v>
      </c>
      <c r="D181" s="509">
        <f t="shared" ref="D181:P181" si="162">D113</f>
        <v>0</v>
      </c>
      <c r="E181" s="480">
        <f t="shared" si="162"/>
        <v>0</v>
      </c>
      <c r="F181" s="480">
        <f t="shared" si="162"/>
        <v>0</v>
      </c>
      <c r="G181" s="480">
        <f t="shared" si="162"/>
        <v>0</v>
      </c>
      <c r="H181" s="480">
        <f t="shared" si="162"/>
        <v>0</v>
      </c>
      <c r="I181" s="480">
        <f t="shared" si="162"/>
        <v>0</v>
      </c>
      <c r="J181" s="480">
        <f t="shared" si="162"/>
        <v>0</v>
      </c>
      <c r="K181" s="480">
        <f t="shared" si="162"/>
        <v>0</v>
      </c>
      <c r="L181" s="480">
        <f t="shared" si="162"/>
        <v>0</v>
      </c>
      <c r="M181" s="480">
        <f t="shared" si="162"/>
        <v>0</v>
      </c>
      <c r="N181" s="480">
        <f t="shared" si="162"/>
        <v>0</v>
      </c>
      <c r="O181" s="481">
        <f t="shared" si="162"/>
        <v>0</v>
      </c>
      <c r="P181" s="1157">
        <f t="shared" si="162"/>
        <v>0</v>
      </c>
      <c r="Q181" s="1149" t="str">
        <f t="shared" si="156"/>
        <v>-</v>
      </c>
    </row>
    <row r="182" spans="1:17" ht="21" customHeight="1">
      <c r="A182" s="483" t="s">
        <v>36</v>
      </c>
      <c r="B182" s="1922">
        <f t="shared" ref="B182:C182" si="163">B136</f>
        <v>0</v>
      </c>
      <c r="C182" s="512">
        <f t="shared" si="163"/>
        <v>0</v>
      </c>
      <c r="D182" s="513">
        <f t="shared" ref="D182:P182" si="164">D136</f>
        <v>0</v>
      </c>
      <c r="E182" s="487">
        <f t="shared" si="164"/>
        <v>0</v>
      </c>
      <c r="F182" s="487">
        <f t="shared" si="164"/>
        <v>0</v>
      </c>
      <c r="G182" s="487">
        <f t="shared" si="164"/>
        <v>0</v>
      </c>
      <c r="H182" s="487">
        <f t="shared" si="164"/>
        <v>0</v>
      </c>
      <c r="I182" s="487">
        <f t="shared" si="164"/>
        <v>0</v>
      </c>
      <c r="J182" s="487">
        <f t="shared" si="164"/>
        <v>0</v>
      </c>
      <c r="K182" s="487">
        <f t="shared" si="164"/>
        <v>0</v>
      </c>
      <c r="L182" s="487">
        <f t="shared" si="164"/>
        <v>0</v>
      </c>
      <c r="M182" s="487">
        <f t="shared" si="164"/>
        <v>0</v>
      </c>
      <c r="N182" s="487">
        <f t="shared" si="164"/>
        <v>0</v>
      </c>
      <c r="O182" s="488">
        <f t="shared" si="164"/>
        <v>0</v>
      </c>
      <c r="P182" s="1158">
        <f t="shared" si="164"/>
        <v>0</v>
      </c>
      <c r="Q182" s="1148" t="str">
        <f t="shared" si="156"/>
        <v>-</v>
      </c>
    </row>
    <row r="183" spans="1:17" ht="21" customHeight="1">
      <c r="A183" s="1265" t="s">
        <v>73</v>
      </c>
      <c r="B183" s="2104" t="e">
        <f t="shared" ref="B183:C183" si="165">B182/B180</f>
        <v>#DIV/0!</v>
      </c>
      <c r="C183" s="2105" t="e">
        <f t="shared" si="165"/>
        <v>#DIV/0!</v>
      </c>
      <c r="D183" s="518" t="e">
        <f t="shared" ref="D183:P183" si="166">D182/D180</f>
        <v>#DIV/0!</v>
      </c>
      <c r="E183" s="519" t="e">
        <f t="shared" si="166"/>
        <v>#DIV/0!</v>
      </c>
      <c r="F183" s="519" t="e">
        <f t="shared" si="166"/>
        <v>#DIV/0!</v>
      </c>
      <c r="G183" s="519" t="e">
        <f t="shared" si="166"/>
        <v>#DIV/0!</v>
      </c>
      <c r="H183" s="519" t="e">
        <f t="shared" si="166"/>
        <v>#DIV/0!</v>
      </c>
      <c r="I183" s="519" t="e">
        <f t="shared" si="166"/>
        <v>#DIV/0!</v>
      </c>
      <c r="J183" s="519" t="e">
        <f t="shared" si="166"/>
        <v>#DIV/0!</v>
      </c>
      <c r="K183" s="519" t="e">
        <f t="shared" si="166"/>
        <v>#DIV/0!</v>
      </c>
      <c r="L183" s="519" t="e">
        <f t="shared" si="166"/>
        <v>#DIV/0!</v>
      </c>
      <c r="M183" s="519" t="e">
        <f t="shared" si="166"/>
        <v>#DIV/0!</v>
      </c>
      <c r="N183" s="519" t="e">
        <f t="shared" si="166"/>
        <v>#DIV/0!</v>
      </c>
      <c r="O183" s="520" t="e">
        <f t="shared" si="166"/>
        <v>#DIV/0!</v>
      </c>
      <c r="P183" s="1262" t="e">
        <f t="shared" si="166"/>
        <v>#DIV/0!</v>
      </c>
      <c r="Q183" s="1258" t="e">
        <f t="shared" si="156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7">F140/1000</f>
        <v>0</v>
      </c>
      <c r="G184" s="487">
        <f t="shared" si="167"/>
        <v>0</v>
      </c>
      <c r="H184" s="487">
        <f t="shared" si="167"/>
        <v>0</v>
      </c>
      <c r="I184" s="487">
        <f t="shared" si="167"/>
        <v>0</v>
      </c>
      <c r="J184" s="487">
        <f t="shared" si="167"/>
        <v>0</v>
      </c>
      <c r="K184" s="487">
        <f t="shared" si="167"/>
        <v>0</v>
      </c>
      <c r="L184" s="487">
        <f t="shared" si="167"/>
        <v>0</v>
      </c>
      <c r="M184" s="487">
        <f t="shared" si="167"/>
        <v>0</v>
      </c>
      <c r="N184" s="487">
        <f t="shared" si="167"/>
        <v>0</v>
      </c>
      <c r="O184" s="487">
        <f>O140/1000</f>
        <v>0</v>
      </c>
      <c r="P184" s="1158">
        <f>P140/1000</f>
        <v>0</v>
      </c>
      <c r="Q184" s="1148" t="str">
        <f t="shared" si="156"/>
        <v>-</v>
      </c>
    </row>
    <row r="185" spans="1:17" s="531" customFormat="1" ht="21" customHeight="1">
      <c r="A185" s="523" t="s">
        <v>74</v>
      </c>
      <c r="B185" s="526" t="e">
        <f t="shared" ref="B185:C185" si="168">B184/B180</f>
        <v>#DIV/0!</v>
      </c>
      <c r="C185" s="1425" t="e">
        <f t="shared" si="168"/>
        <v>#DIV/0!</v>
      </c>
      <c r="D185" s="526" t="e">
        <f t="shared" ref="D185:P185" si="169">D184/D180</f>
        <v>#DIV/0!</v>
      </c>
      <c r="E185" s="527" t="e">
        <f t="shared" si="169"/>
        <v>#DIV/0!</v>
      </c>
      <c r="F185" s="527" t="e">
        <f t="shared" si="169"/>
        <v>#DIV/0!</v>
      </c>
      <c r="G185" s="527" t="e">
        <f t="shared" si="169"/>
        <v>#DIV/0!</v>
      </c>
      <c r="H185" s="527" t="e">
        <f t="shared" si="169"/>
        <v>#DIV/0!</v>
      </c>
      <c r="I185" s="527" t="e">
        <f t="shared" si="169"/>
        <v>#DIV/0!</v>
      </c>
      <c r="J185" s="527" t="e">
        <f t="shared" si="169"/>
        <v>#DIV/0!</v>
      </c>
      <c r="K185" s="527" t="e">
        <f t="shared" si="169"/>
        <v>#DIV/0!</v>
      </c>
      <c r="L185" s="527" t="e">
        <f t="shared" si="169"/>
        <v>#DIV/0!</v>
      </c>
      <c r="M185" s="527" t="e">
        <f t="shared" si="169"/>
        <v>#DIV/0!</v>
      </c>
      <c r="N185" s="527" t="e">
        <f t="shared" si="169"/>
        <v>#DIV/0!</v>
      </c>
      <c r="O185" s="528" t="e">
        <f t="shared" si="169"/>
        <v>#DIV/0!</v>
      </c>
      <c r="P185" s="1263" t="e">
        <f t="shared" si="169"/>
        <v>#DIV/0!</v>
      </c>
      <c r="Q185" s="1259" t="e">
        <f t="shared" si="156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0">C182-C184</f>
        <v>0</v>
      </c>
      <c r="D186" s="535">
        <f t="shared" ref="D186:O186" si="171">D182-D184</f>
        <v>0</v>
      </c>
      <c r="E186" s="536">
        <f t="shared" si="171"/>
        <v>0</v>
      </c>
      <c r="F186" s="536">
        <f t="shared" si="171"/>
        <v>0</v>
      </c>
      <c r="G186" s="536">
        <f t="shared" si="171"/>
        <v>0</v>
      </c>
      <c r="H186" s="536">
        <f t="shared" si="171"/>
        <v>0</v>
      </c>
      <c r="I186" s="536">
        <f t="shared" si="171"/>
        <v>0</v>
      </c>
      <c r="J186" s="536">
        <f t="shared" si="171"/>
        <v>0</v>
      </c>
      <c r="K186" s="536">
        <f t="shared" si="171"/>
        <v>0</v>
      </c>
      <c r="L186" s="536">
        <f t="shared" si="171"/>
        <v>0</v>
      </c>
      <c r="M186" s="536">
        <f t="shared" si="171"/>
        <v>0</v>
      </c>
      <c r="N186" s="536">
        <f t="shared" si="171"/>
        <v>0</v>
      </c>
      <c r="O186" s="537">
        <f t="shared" si="171"/>
        <v>0</v>
      </c>
      <c r="P186" s="1256">
        <f>P182-P184</f>
        <v>0</v>
      </c>
      <c r="Q186" s="1260" t="str">
        <f t="shared" si="156"/>
        <v>-</v>
      </c>
    </row>
    <row r="187" spans="1:17" s="281" customFormat="1" ht="21" customHeight="1" thickBot="1">
      <c r="A187" s="539" t="s">
        <v>80</v>
      </c>
      <c r="B187" s="2240" t="e">
        <f t="shared" ref="B187:C187" si="172">B186/B180</f>
        <v>#DIV/0!</v>
      </c>
      <c r="C187" s="2242" t="e">
        <f t="shared" si="172"/>
        <v>#DIV/0!</v>
      </c>
      <c r="D187" s="2240" t="e">
        <f t="shared" ref="D187:P187" si="173">D186/D180</f>
        <v>#DIV/0!</v>
      </c>
      <c r="E187" s="2247" t="e">
        <f t="shared" si="173"/>
        <v>#DIV/0!</v>
      </c>
      <c r="F187" s="2247" t="e">
        <f t="shared" si="173"/>
        <v>#DIV/0!</v>
      </c>
      <c r="G187" s="2247" t="e">
        <f t="shared" si="173"/>
        <v>#DIV/0!</v>
      </c>
      <c r="H187" s="2247" t="e">
        <f t="shared" si="173"/>
        <v>#DIV/0!</v>
      </c>
      <c r="I187" s="2247" t="e">
        <f t="shared" si="173"/>
        <v>#DIV/0!</v>
      </c>
      <c r="J187" s="2247" t="e">
        <f t="shared" si="173"/>
        <v>#DIV/0!</v>
      </c>
      <c r="K187" s="2247" t="e">
        <f t="shared" si="173"/>
        <v>#DIV/0!</v>
      </c>
      <c r="L187" s="2247" t="e">
        <f t="shared" si="173"/>
        <v>#DIV/0!</v>
      </c>
      <c r="M187" s="2247" t="e">
        <f t="shared" si="173"/>
        <v>#DIV/0!</v>
      </c>
      <c r="N187" s="2247" t="e">
        <f t="shared" si="173"/>
        <v>#DIV/0!</v>
      </c>
      <c r="O187" s="2248" t="e">
        <f t="shared" si="173"/>
        <v>#DIV/0!</v>
      </c>
      <c r="P187" s="1264" t="e">
        <f t="shared" si="173"/>
        <v>#DIV/0!</v>
      </c>
      <c r="Q187" s="1261" t="e">
        <f t="shared" si="156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4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V187"/>
  <sheetViews>
    <sheetView zoomScale="85" zoomScaleNormal="85" workbookViewId="0">
      <selection activeCell="B111" sqref="B111"/>
    </sheetView>
  </sheetViews>
  <sheetFormatPr defaultColWidth="9.109375" defaultRowHeight="14.4"/>
  <cols>
    <col min="1" max="1" width="34.332031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705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M3'!C41/1000</f>
        <v>0</v>
      </c>
      <c r="E5" s="372">
        <f>+'SAHA AYLIK ÜRÜN M3'!D41/1000</f>
        <v>0</v>
      </c>
      <c r="F5" s="372">
        <f>+'SAHA AYLIK ÜRÜN M3'!E41/1000</f>
        <v>0</v>
      </c>
      <c r="G5" s="372">
        <f>+'SAHA AYLIK ÜRÜN M3'!F41/1000</f>
        <v>0</v>
      </c>
      <c r="H5" s="373">
        <f>+'SAHA AYLIK ÜRÜN M3'!G41/1000</f>
        <v>0</v>
      </c>
      <c r="I5" s="373">
        <f>+'SAHA AYLIK ÜRÜN M3'!H41/1000</f>
        <v>0</v>
      </c>
      <c r="J5" s="373">
        <f>+'SAHA AYLIK ÜRÜN M3'!I41/1000</f>
        <v>0</v>
      </c>
      <c r="K5" s="373">
        <f>+'SAHA AYLIK ÜRÜN M3'!J41/1000</f>
        <v>0</v>
      </c>
      <c r="L5" s="373">
        <f>+'SAHA AYLIK ÜRÜN M3'!K41/1000</f>
        <v>0</v>
      </c>
      <c r="M5" s="373">
        <f>+'SAHA AYLIK ÜRÜN M3'!L41/1000</f>
        <v>0</v>
      </c>
      <c r="N5" s="373">
        <f>+'SAHA AYLIK ÜRÜN M3'!M41/1000</f>
        <v>0</v>
      </c>
      <c r="O5" s="374">
        <f>+'SAHA AYLIK ÜRÜN M3'!N41/1000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M3'!C42/1000</f>
        <v>0</v>
      </c>
      <c r="E8" s="397">
        <f>+'SAHA AYLIK ÜRÜN M3'!D42/1000</f>
        <v>0</v>
      </c>
      <c r="F8" s="397">
        <f>+'SAHA AYLIK ÜRÜN M3'!E42/1000</f>
        <v>0</v>
      </c>
      <c r="G8" s="397">
        <f>+'SAHA AYLIK ÜRÜN M3'!F42/1000</f>
        <v>0</v>
      </c>
      <c r="H8" s="397">
        <f>+'SAHA AYLIK ÜRÜN M3'!G42/1000</f>
        <v>0</v>
      </c>
      <c r="I8" s="397">
        <f>+'SAHA AYLIK ÜRÜN M3'!H42/1000</f>
        <v>0</v>
      </c>
      <c r="J8" s="397">
        <f>+'SAHA AYLIK ÜRÜN M3'!I42/1000</f>
        <v>0</v>
      </c>
      <c r="K8" s="397">
        <f>+'SAHA AYLIK ÜRÜN M3'!J42/1000</f>
        <v>0</v>
      </c>
      <c r="L8" s="397">
        <f>+'SAHA AYLIK ÜRÜN M3'!K42/1000</f>
        <v>0</v>
      </c>
      <c r="M8" s="397">
        <f>+'SAHA AYLIK ÜRÜN M3'!L42/1000</f>
        <v>0</v>
      </c>
      <c r="N8" s="397">
        <f>+'SAHA AYLIK ÜRÜN M3'!M42/1000</f>
        <v>0</v>
      </c>
      <c r="O8" s="398">
        <f>+'SAHA AYLIK ÜRÜN M3'!N42/1000</f>
        <v>0</v>
      </c>
      <c r="P8" s="399">
        <f t="shared" si="2"/>
        <v>0</v>
      </c>
      <c r="Q8" s="384" t="str">
        <f t="shared" si="3"/>
        <v>-</v>
      </c>
    </row>
    <row r="9" spans="1:22" ht="16.5" customHeight="1" thickBot="1">
      <c r="A9" s="400" t="s">
        <v>81</v>
      </c>
      <c r="B9" s="386"/>
      <c r="C9" s="404">
        <f>B9/9*12</f>
        <v>0</v>
      </c>
      <c r="D9" s="402">
        <f>+'SAHA AYLIK ÜRÜN M3'!C39/1000</f>
        <v>0</v>
      </c>
      <c r="E9" s="403">
        <f>+'SAHA AYLIK ÜRÜN M3'!D39/1000</f>
        <v>0</v>
      </c>
      <c r="F9" s="403">
        <f>+'SAHA AYLIK ÜRÜN M3'!E39/1000</f>
        <v>0</v>
      </c>
      <c r="G9" s="403">
        <f>+'SAHA AYLIK ÜRÜN M3'!F39/1000</f>
        <v>0</v>
      </c>
      <c r="H9" s="403">
        <f>+'SAHA AYLIK ÜRÜN M3'!G39/1000</f>
        <v>0</v>
      </c>
      <c r="I9" s="403">
        <f>+'SAHA AYLIK ÜRÜN M3'!H39/1000</f>
        <v>0</v>
      </c>
      <c r="J9" s="403">
        <f>+'SAHA AYLIK ÜRÜN M3'!I39/1000</f>
        <v>0</v>
      </c>
      <c r="K9" s="403">
        <f>+'SAHA AYLIK ÜRÜN M3'!J39/1000</f>
        <v>0</v>
      </c>
      <c r="L9" s="403">
        <f>+'SAHA AYLIK ÜRÜN M3'!K39/1000</f>
        <v>0</v>
      </c>
      <c r="M9" s="403">
        <f>+'SAHA AYLIK ÜRÜN M3'!L39/1000</f>
        <v>0</v>
      </c>
      <c r="N9" s="403">
        <f>+'SAHA AYLIK ÜRÜN M3'!M39/1000</f>
        <v>0</v>
      </c>
      <c r="O9" s="404">
        <f>+'SAHA AYLIK ÜRÜN M3'!N39/1000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1445"/>
      <c r="D11" s="402">
        <f>+'SAHA AYLIK ÜRÜN M3'!C40/1000</f>
        <v>0</v>
      </c>
      <c r="E11" s="403">
        <f>+'SAHA AYLIK ÜRÜN M3'!D40/1000</f>
        <v>0</v>
      </c>
      <c r="F11" s="403">
        <f>+'SAHA AYLIK ÜRÜN M3'!E40/1000</f>
        <v>0</v>
      </c>
      <c r="G11" s="403">
        <f>+'SAHA AYLIK ÜRÜN M3'!F40/1000</f>
        <v>0</v>
      </c>
      <c r="H11" s="403">
        <f>+'SAHA AYLIK ÜRÜN M3'!G40/1000</f>
        <v>0</v>
      </c>
      <c r="I11" s="403">
        <f>+'SAHA AYLIK ÜRÜN M3'!H40/1000</f>
        <v>0</v>
      </c>
      <c r="J11" s="403">
        <f>+'SAHA AYLIK ÜRÜN M3'!I40/1000</f>
        <v>0</v>
      </c>
      <c r="K11" s="403">
        <f>+'SAHA AYLIK ÜRÜN M3'!J40/1000</f>
        <v>0</v>
      </c>
      <c r="L11" s="403">
        <f>+'SAHA AYLIK ÜRÜN M3'!K40/1000</f>
        <v>0</v>
      </c>
      <c r="M11" s="403">
        <f>+'SAHA AYLIK ÜRÜN M3'!L40/1000</f>
        <v>0</v>
      </c>
      <c r="N11" s="403">
        <f>+'SAHA AYLIK ÜRÜN M3'!M40/1000</f>
        <v>0</v>
      </c>
      <c r="O11" s="404">
        <f>+'SAHA AYLIK ÜRÜN M3'!N40/1000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>
        <f>B16/9*12</f>
        <v>0</v>
      </c>
      <c r="D16" s="433">
        <f>+'SAHA AYLIK ÜRÜN M3'!C43/1000</f>
        <v>0</v>
      </c>
      <c r="E16" s="434">
        <f>+'SAHA AYLIK ÜRÜN M3'!D43/1000</f>
        <v>0</v>
      </c>
      <c r="F16" s="434">
        <f>+'SAHA AYLIK ÜRÜN M3'!E43/1000</f>
        <v>0</v>
      </c>
      <c r="G16" s="434">
        <f>+'SAHA AYLIK ÜRÜN M3'!F43/1000</f>
        <v>0</v>
      </c>
      <c r="H16" s="434">
        <f>+'SAHA AYLIK ÜRÜN M3'!G43/1000</f>
        <v>0</v>
      </c>
      <c r="I16" s="434">
        <f>+'SAHA AYLIK ÜRÜN M3'!H43/1000</f>
        <v>0</v>
      </c>
      <c r="J16" s="434">
        <f>+'SAHA AYLIK ÜRÜN M3'!I43/1000</f>
        <v>0</v>
      </c>
      <c r="K16" s="434">
        <f>+'SAHA AYLIK ÜRÜN M3'!J43/1000</f>
        <v>0</v>
      </c>
      <c r="L16" s="434">
        <f>+'SAHA AYLIK ÜRÜN M3'!K43/1000</f>
        <v>0</v>
      </c>
      <c r="M16" s="434">
        <f>+'SAHA AYLIK ÜRÜN M3'!L43/1000</f>
        <v>0</v>
      </c>
      <c r="N16" s="434">
        <f>+'SAHA AYLIK ÜRÜN M3'!M43/1000</f>
        <v>0</v>
      </c>
      <c r="O16" s="435">
        <f>+'SAHA AYLIK ÜRÜN M3'!N43/1000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+M.Yağ_Adbulue!E9/1000</f>
        <v>0</v>
      </c>
      <c r="E18" s="426">
        <f>+M.Yağ_Adbulue!F9/1000</f>
        <v>0</v>
      </c>
      <c r="F18" s="426">
        <f>+M.Yağ_Adbulue!G9/1000</f>
        <v>0</v>
      </c>
      <c r="G18" s="426">
        <f>+M.Yağ_Adbulue!H9/1000</f>
        <v>0</v>
      </c>
      <c r="H18" s="426">
        <f>+M.Yağ_Adbulue!I9/1000</f>
        <v>0</v>
      </c>
      <c r="I18" s="426">
        <f>+M.Yağ_Adbulue!J9/1000</f>
        <v>0</v>
      </c>
      <c r="J18" s="426">
        <f>+M.Yağ_Adbulue!K9/1000</f>
        <v>0</v>
      </c>
      <c r="K18" s="426">
        <f>+M.Yağ_Adbulue!L9/1000</f>
        <v>0</v>
      </c>
      <c r="L18" s="426">
        <f>+M.Yağ_Adbulue!M9/1000</f>
        <v>0</v>
      </c>
      <c r="M18" s="426">
        <f>+M.Yağ_Adbulue!N9/1000</f>
        <v>0</v>
      </c>
      <c r="N18" s="426">
        <f>+M.Yağ_Adbulue!O9/1000</f>
        <v>0</v>
      </c>
      <c r="O18" s="427">
        <f>+M.Yağ_Adbulue!P9/1000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+M.Yağ_Adbulue!E27/1000</f>
        <v>0</v>
      </c>
      <c r="E19" s="442">
        <f>+M.Yağ_Adbulue!F27/1000</f>
        <v>0</v>
      </c>
      <c r="F19" s="442">
        <f>+M.Yağ_Adbulue!G27/1000</f>
        <v>0</v>
      </c>
      <c r="G19" s="442">
        <f>+M.Yağ_Adbulue!H27/1000</f>
        <v>0</v>
      </c>
      <c r="H19" s="442">
        <f>+M.Yağ_Adbulue!I27/1000</f>
        <v>0</v>
      </c>
      <c r="I19" s="442">
        <f>+M.Yağ_Adbulue!J27/1000</f>
        <v>0</v>
      </c>
      <c r="J19" s="442">
        <f>+M.Yağ_Adbulue!K27/1000</f>
        <v>0</v>
      </c>
      <c r="K19" s="442">
        <f>+M.Yağ_Adbulue!L27/1000</f>
        <v>0</v>
      </c>
      <c r="L19" s="442">
        <f>+M.Yağ_Adbulue!M27/1000</f>
        <v>0</v>
      </c>
      <c r="M19" s="442">
        <f>+M.Yağ_Adbulue!N27/1000</f>
        <v>0</v>
      </c>
      <c r="N19" s="442">
        <f>+M.Yağ_Adbulue!O27/1000</f>
        <v>0</v>
      </c>
      <c r="O19" s="443">
        <f>+M.Yağ_Adbulue!P27/1000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701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0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370">
        <f>B26/9*12</f>
        <v>0</v>
      </c>
      <c r="D26" s="371">
        <f>D5*'Satış Fiyat'!D125</f>
        <v>0</v>
      </c>
      <c r="E26" s="372">
        <f>E5*'Satış Fiyat'!E125</f>
        <v>0</v>
      </c>
      <c r="F26" s="372">
        <f>F5*'Satış Fiyat'!F125</f>
        <v>0</v>
      </c>
      <c r="G26" s="372">
        <f>G5*'Satış Fiyat'!G125</f>
        <v>0</v>
      </c>
      <c r="H26" s="373">
        <f>H5*'Satış Fiyat'!H125</f>
        <v>0</v>
      </c>
      <c r="I26" s="373">
        <f>I5*'Satış Fiyat'!I125</f>
        <v>0</v>
      </c>
      <c r="J26" s="373">
        <f>J5*'Satış Fiyat'!J125</f>
        <v>0</v>
      </c>
      <c r="K26" s="373">
        <f>K5*'Satış Fiyat'!K125</f>
        <v>0</v>
      </c>
      <c r="L26" s="373">
        <f>L5*'Satış Fiyat'!L125</f>
        <v>0</v>
      </c>
      <c r="M26" s="373">
        <f>M5*'Satış Fiyat'!M125</f>
        <v>0</v>
      </c>
      <c r="N26" s="373">
        <f>N5*'Satış Fiyat'!N125</f>
        <v>0</v>
      </c>
      <c r="O26" s="374">
        <f>O5*'Satış Fiyat'!O125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Fiyat'!D126</f>
        <v>0</v>
      </c>
      <c r="E27" s="381">
        <f>E6*'Satış Fiyat'!E126</f>
        <v>0</v>
      </c>
      <c r="F27" s="381">
        <f>F6*'Satış Fiyat'!F126</f>
        <v>0</v>
      </c>
      <c r="G27" s="381">
        <f>G6*'Satış Fiyat'!G126</f>
        <v>0</v>
      </c>
      <c r="H27" s="382">
        <f>H6*'Satış Fiyat'!H126</f>
        <v>0</v>
      </c>
      <c r="I27" s="382">
        <f>I6*'Satış Fiyat'!I126</f>
        <v>0</v>
      </c>
      <c r="J27" s="382">
        <f>J6*'Satış Fiyat'!J126</f>
        <v>0</v>
      </c>
      <c r="K27" s="382">
        <f>K6*'Satış Fiyat'!K126</f>
        <v>0</v>
      </c>
      <c r="L27" s="382">
        <f>L6*'Satış Fiyat'!L126</f>
        <v>0</v>
      </c>
      <c r="M27" s="382">
        <f>M6*'Satış Fiyat'!M126</f>
        <v>0</v>
      </c>
      <c r="N27" s="382">
        <f>N6*'Satış Fiyat'!N126</f>
        <v>0</v>
      </c>
      <c r="O27" s="383">
        <f>O6*'Satış Fiyat'!O126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Fiyat'!D128</f>
        <v>0</v>
      </c>
      <c r="E29" s="397">
        <f>E8*'Satış Fiyat'!E128</f>
        <v>0</v>
      </c>
      <c r="F29" s="397">
        <f>F8*'Satış Fiyat'!F128</f>
        <v>0</v>
      </c>
      <c r="G29" s="397">
        <f>G8*'Satış Fiyat'!G128</f>
        <v>0</v>
      </c>
      <c r="H29" s="397">
        <f>H8*'Satış Fiyat'!H128</f>
        <v>0</v>
      </c>
      <c r="I29" s="397">
        <f>I8*'Satış Fiyat'!I128</f>
        <v>0</v>
      </c>
      <c r="J29" s="397">
        <f>J8*'Satış Fiyat'!J128</f>
        <v>0</v>
      </c>
      <c r="K29" s="397">
        <f>K8*'Satış Fiyat'!K128</f>
        <v>0</v>
      </c>
      <c r="L29" s="397">
        <f>L8*'Satış Fiyat'!L128</f>
        <v>0</v>
      </c>
      <c r="M29" s="397">
        <f>M8*'Satış Fiyat'!M128</f>
        <v>0</v>
      </c>
      <c r="N29" s="397">
        <f>N8*'Satış Fiyat'!N128</f>
        <v>0</v>
      </c>
      <c r="O29" s="398">
        <f>O8*'Satış Fiyat'!O128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1">
        <f>B30/9*12</f>
        <v>0</v>
      </c>
      <c r="D30" s="388">
        <f>D9*'Satış Fiyat'!D129</f>
        <v>0</v>
      </c>
      <c r="E30" s="389">
        <f>E9*'Satış Fiyat'!E129</f>
        <v>0</v>
      </c>
      <c r="F30" s="389">
        <f>F9*'Satış Fiyat'!F129</f>
        <v>0</v>
      </c>
      <c r="G30" s="389">
        <f>G9*'Satış Fiyat'!G129</f>
        <v>0</v>
      </c>
      <c r="H30" s="389">
        <f>H9*'Satış Fiyat'!H129</f>
        <v>0</v>
      </c>
      <c r="I30" s="389">
        <f>I9*'Satış Fiyat'!I129</f>
        <v>0</v>
      </c>
      <c r="J30" s="389">
        <f>J9*'Satış Fiyat'!J129</f>
        <v>0</v>
      </c>
      <c r="K30" s="389">
        <f>K9*'Satış Fiyat'!K129</f>
        <v>0</v>
      </c>
      <c r="L30" s="389">
        <f>L9*'Satış Fiyat'!L129</f>
        <v>0</v>
      </c>
      <c r="M30" s="389">
        <f>M9*'Satış Fiyat'!M129</f>
        <v>0</v>
      </c>
      <c r="N30" s="389">
        <f>N9*'Satış Fiyat'!N129</f>
        <v>0</v>
      </c>
      <c r="O30" s="390">
        <f>O9*'Satış Fiyat'!O129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Fiyat'!D130</f>
        <v>0</v>
      </c>
      <c r="E31" s="397">
        <f>E10*'Satış Fiyat'!E130</f>
        <v>0</v>
      </c>
      <c r="F31" s="397">
        <f>F10*'Satış Fiyat'!F130</f>
        <v>0</v>
      </c>
      <c r="G31" s="397">
        <f>G10*'Satış Fiyat'!G130</f>
        <v>0</v>
      </c>
      <c r="H31" s="397">
        <f>H10*'Satış Fiyat'!H130</f>
        <v>0</v>
      </c>
      <c r="I31" s="397">
        <f>I10*'Satış Fiyat'!I130</f>
        <v>0</v>
      </c>
      <c r="J31" s="397">
        <f>J10*'Satış Fiyat'!J130</f>
        <v>0</v>
      </c>
      <c r="K31" s="397">
        <f>K10*'Satış Fiyat'!K130</f>
        <v>0</v>
      </c>
      <c r="L31" s="397">
        <f>L10*'Satış Fiyat'!L130</f>
        <v>0</v>
      </c>
      <c r="M31" s="397">
        <f>M10*'Satış Fiyat'!M130</f>
        <v>0</v>
      </c>
      <c r="N31" s="397">
        <f>N10*'Satış Fiyat'!N130</f>
        <v>0</v>
      </c>
      <c r="O31" s="398">
        <f>O10*'Satış Fiyat'!O130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9"/>
      <c r="D32" s="402">
        <f>D11*'Satış Fiyat'!D131</f>
        <v>0</v>
      </c>
      <c r="E32" s="403">
        <f>E11*'Satış Fiyat'!E131</f>
        <v>0</v>
      </c>
      <c r="F32" s="389">
        <f>F11*'Satış Fiyat'!F131</f>
        <v>0</v>
      </c>
      <c r="G32" s="403">
        <f>G11*'Satış Fiyat'!G131</f>
        <v>0</v>
      </c>
      <c r="H32" s="403">
        <f>H11*'Satış Fiyat'!H131</f>
        <v>0</v>
      </c>
      <c r="I32" s="403">
        <f>I11*'Satış Fiyat'!I131</f>
        <v>0</v>
      </c>
      <c r="J32" s="403">
        <f>J11*'Satış Fiyat'!J131</f>
        <v>0</v>
      </c>
      <c r="K32" s="403">
        <f>K11*'Satış Fiyat'!K131</f>
        <v>0</v>
      </c>
      <c r="L32" s="403">
        <f>L11*'Satış Fiyat'!L131</f>
        <v>0</v>
      </c>
      <c r="M32" s="403">
        <f>M11*'Satış Fiyat'!M131</f>
        <v>0</v>
      </c>
      <c r="N32" s="403">
        <f>N11*'Satış Fiyat'!N131</f>
        <v>0</v>
      </c>
      <c r="O32" s="404">
        <f>O11*'Satış Fiyat'!O131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Fiyat'!D132</f>
        <v>0</v>
      </c>
      <c r="E33" s="382">
        <f>E12*'Satış Fiyat'!E132</f>
        <v>0</v>
      </c>
      <c r="F33" s="382">
        <f>F12*'Satış Fiyat'!F132</f>
        <v>0</v>
      </c>
      <c r="G33" s="382">
        <f>G12*'Satış Fiyat'!G132</f>
        <v>0</v>
      </c>
      <c r="H33" s="382">
        <f>H12*'Satış Fiyat'!H132</f>
        <v>0</v>
      </c>
      <c r="I33" s="381">
        <f>I12*'Satış Fiyat'!I132</f>
        <v>0</v>
      </c>
      <c r="J33" s="381">
        <f>J12*'Satış Fiyat'!J132</f>
        <v>0</v>
      </c>
      <c r="K33" s="382">
        <f>K12*'Satış Fiyat'!K132</f>
        <v>0</v>
      </c>
      <c r="L33" s="382">
        <f>L12*'Satış Fiyat'!L132</f>
        <v>0</v>
      </c>
      <c r="M33" s="382">
        <f>M12*'Satış Fiyat'!M132</f>
        <v>0</v>
      </c>
      <c r="N33" s="382">
        <f>N12*'Satış Fiyat'!N132</f>
        <v>0</v>
      </c>
      <c r="O33" s="383">
        <f>O12*'Satış Fiyat'!O132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Fiyat'!D135</f>
        <v>0</v>
      </c>
      <c r="E36" s="426">
        <f>E15*'Satış Fiyat'!E135</f>
        <v>0</v>
      </c>
      <c r="F36" s="426">
        <f>F15*'Satış Fiyat'!F135</f>
        <v>0</v>
      </c>
      <c r="G36" s="426">
        <f>G15*'Satış Fiyat'!G135</f>
        <v>0</v>
      </c>
      <c r="H36" s="426">
        <f>H15*'Satış Fiyat'!H135</f>
        <v>0</v>
      </c>
      <c r="I36" s="426">
        <f>I15*'Satış Fiyat'!I135</f>
        <v>0</v>
      </c>
      <c r="J36" s="426">
        <f>J15*'Satış Fiyat'!J135</f>
        <v>0</v>
      </c>
      <c r="K36" s="426">
        <f>K15*'Satış Fiyat'!K135</f>
        <v>0</v>
      </c>
      <c r="L36" s="426">
        <f>L15*'Satış Fiyat'!L135</f>
        <v>0</v>
      </c>
      <c r="M36" s="426">
        <f>M15*'Satış Fiyat'!M135</f>
        <v>0</v>
      </c>
      <c r="N36" s="426">
        <f>N15*'Satış Fiyat'!N135</f>
        <v>0</v>
      </c>
      <c r="O36" s="427">
        <f>O15*'Satış Fiyat'!O135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/>
      <c r="C37" s="432">
        <f>B37/9*12</f>
        <v>0</v>
      </c>
      <c r="D37" s="433">
        <f>D16*'Satış Fiyat'!D136</f>
        <v>0</v>
      </c>
      <c r="E37" s="434">
        <f>E16*'Satış Fiyat'!E136</f>
        <v>0</v>
      </c>
      <c r="F37" s="434">
        <f>F16*'Satış Fiyat'!F136</f>
        <v>0</v>
      </c>
      <c r="G37" s="434">
        <f>G16*'Satış Fiyat'!G136</f>
        <v>0</v>
      </c>
      <c r="H37" s="434">
        <f>H16*'Satış Fiyat'!H136</f>
        <v>0</v>
      </c>
      <c r="I37" s="434">
        <f>I16*'Satış Fiyat'!I136</f>
        <v>0</v>
      </c>
      <c r="J37" s="434">
        <f>J16*'Satış Fiyat'!J136</f>
        <v>0</v>
      </c>
      <c r="K37" s="434">
        <f>K16*'Satış Fiyat'!K136</f>
        <v>0</v>
      </c>
      <c r="L37" s="434">
        <f>L16*'Satış Fiyat'!L136</f>
        <v>0</v>
      </c>
      <c r="M37" s="434">
        <f>M16*'Satış Fiyat'!M136</f>
        <v>0</v>
      </c>
      <c r="N37" s="434">
        <f>N16*'Satış Fiyat'!N136</f>
        <v>0</v>
      </c>
      <c r="O37" s="435">
        <f>O16*'Satış Fiyat'!O136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Fiyat'!D138</f>
        <v>0</v>
      </c>
      <c r="E39" s="426">
        <f>E18*'Satış Fiyat'!E138</f>
        <v>0</v>
      </c>
      <c r="F39" s="426">
        <f>F18*'Satış Fiyat'!F138</f>
        <v>0</v>
      </c>
      <c r="G39" s="426">
        <f>G18*'Satış Fiyat'!G138</f>
        <v>0</v>
      </c>
      <c r="H39" s="426">
        <f>H18*'Satış Fiyat'!H138</f>
        <v>0</v>
      </c>
      <c r="I39" s="426">
        <f>I18*'Satış Fiyat'!I138</f>
        <v>0</v>
      </c>
      <c r="J39" s="426">
        <f>J18*'Satış Fiyat'!J138</f>
        <v>0</v>
      </c>
      <c r="K39" s="426">
        <f>K18*'Satış Fiyat'!K138</f>
        <v>0</v>
      </c>
      <c r="L39" s="426">
        <f>L18*'Satış Fiyat'!L138</f>
        <v>0</v>
      </c>
      <c r="M39" s="426">
        <f>M18*'Satış Fiyat'!M138</f>
        <v>0</v>
      </c>
      <c r="N39" s="426">
        <f>N18*'Satış Fiyat'!N138</f>
        <v>0</v>
      </c>
      <c r="O39" s="427">
        <f>O18*'Satış Fiyat'!O138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Fiyat'!D139</f>
        <v>0</v>
      </c>
      <c r="E40" s="442">
        <f>E19*'Satış Fiyat'!E139</f>
        <v>0</v>
      </c>
      <c r="F40" s="442">
        <f>F19*'Satış Fiyat'!F139</f>
        <v>0</v>
      </c>
      <c r="G40" s="442">
        <f>G19*'Satış Fiyat'!G139</f>
        <v>0</v>
      </c>
      <c r="H40" s="442">
        <f>H19*'Satış Fiyat'!H139</f>
        <v>0</v>
      </c>
      <c r="I40" s="442">
        <f>I19*'Satış Fiyat'!I139</f>
        <v>0</v>
      </c>
      <c r="J40" s="442">
        <f>J19*'Satış Fiyat'!J139</f>
        <v>0</v>
      </c>
      <c r="K40" s="442">
        <f>K19*'Satış Fiyat'!K139</f>
        <v>0</v>
      </c>
      <c r="L40" s="442">
        <f>L19*'Satış Fiyat'!L139</f>
        <v>0</v>
      </c>
      <c r="M40" s="442">
        <f>M19*'Satış Fiyat'!M139</f>
        <v>0</v>
      </c>
      <c r="N40" s="442">
        <f>N19*'Satış Fiyat'!N139</f>
        <v>0</v>
      </c>
      <c r="O40" s="443">
        <f>O19*'Satış Fiyat'!O139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Fiyat'!D141</f>
        <v>0</v>
      </c>
      <c r="E42" s="366">
        <f>E21*'Satış Fiyat'!E141</f>
        <v>0</v>
      </c>
      <c r="F42" s="366">
        <f>F21*'Satış Fiyat'!F141</f>
        <v>0</v>
      </c>
      <c r="G42" s="366">
        <f>G21*'Satış Fiyat'!G141</f>
        <v>0</v>
      </c>
      <c r="H42" s="366">
        <f>H21*'Satış Fiyat'!H141</f>
        <v>0</v>
      </c>
      <c r="I42" s="366">
        <f>I21*'Satış Fiyat'!I141</f>
        <v>0</v>
      </c>
      <c r="J42" s="366">
        <f>J21*'Satış Fiyat'!J141</f>
        <v>0</v>
      </c>
      <c r="K42" s="366">
        <f>K21*'Satış Fiyat'!K141</f>
        <v>0</v>
      </c>
      <c r="L42" s="366">
        <f>L21*'Satış Fiyat'!L141</f>
        <v>0</v>
      </c>
      <c r="M42" s="366">
        <f>M21*'Satış Fiyat'!M141</f>
        <v>0</v>
      </c>
      <c r="N42" s="366">
        <f>N21*'Satış Fiyat'!N141</f>
        <v>0</v>
      </c>
      <c r="O42" s="448">
        <f>O21*'Satış Fiyat'!O141</f>
        <v>0</v>
      </c>
      <c r="P42" s="363">
        <f>SUM(D42:O42)</f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>SUM(D43:O43)</f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>SUM(D44:O44)</f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3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1">
        <f>B53/9*12</f>
        <v>0</v>
      </c>
      <c r="D53" s="402">
        <f>+$S$53*D30</f>
        <v>0</v>
      </c>
      <c r="E53" s="403">
        <f t="shared" ref="E53:F53" si="36">+$S$53*E30</f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0.01</v>
      </c>
      <c r="T53" s="461">
        <v>0.01</v>
      </c>
      <c r="U53" s="461">
        <v>0.01</v>
      </c>
      <c r="V53" s="461">
        <v>0.01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0.01</v>
      </c>
      <c r="T54" s="461">
        <v>0.01</v>
      </c>
      <c r="U54" s="461">
        <v>0.01</v>
      </c>
      <c r="V54" s="461">
        <v>0.01</v>
      </c>
    </row>
    <row r="55" spans="1:22" ht="16.5" customHeight="1">
      <c r="A55" s="400" t="s">
        <v>83</v>
      </c>
      <c r="B55" s="408"/>
      <c r="C55" s="409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0.01</v>
      </c>
      <c r="T55" s="461">
        <v>0.01</v>
      </c>
      <c r="U55" s="461">
        <v>0.01</v>
      </c>
      <c r="V55" s="461">
        <v>0.01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>
        <v>0</v>
      </c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>SUM(D65:O65)</f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>SUM(D66:O66)</f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363">
        <f>SUM(D67:O67)</f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706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 t="shared" ref="P71:P86" si="85">SUM(D71:O71)</f>
        <v>0</v>
      </c>
      <c r="Q71" s="1236" t="str">
        <f t="shared" ref="Q71:Q86" si="86">IF(P71=0,"-",P71/C71-1)</f>
        <v>-</v>
      </c>
    </row>
    <row r="72" spans="1:22" ht="16.5" customHeight="1">
      <c r="A72" s="368" t="s">
        <v>15</v>
      </c>
      <c r="B72" s="369">
        <f t="shared" ref="B72:C73" si="87">+B26-B49</f>
        <v>0</v>
      </c>
      <c r="C72" s="370">
        <f t="shared" si="87"/>
        <v>0</v>
      </c>
      <c r="D72" s="371">
        <f t="shared" ref="D72:O72" si="88">+D26-D49</f>
        <v>0</v>
      </c>
      <c r="E72" s="372">
        <f t="shared" si="88"/>
        <v>0</v>
      </c>
      <c r="F72" s="372">
        <f t="shared" si="88"/>
        <v>0</v>
      </c>
      <c r="G72" s="372">
        <f t="shared" si="88"/>
        <v>0</v>
      </c>
      <c r="H72" s="373">
        <f t="shared" si="88"/>
        <v>0</v>
      </c>
      <c r="I72" s="373">
        <f t="shared" si="88"/>
        <v>0</v>
      </c>
      <c r="J72" s="373">
        <f t="shared" si="88"/>
        <v>0</v>
      </c>
      <c r="K72" s="373">
        <f t="shared" si="88"/>
        <v>0</v>
      </c>
      <c r="L72" s="373">
        <f t="shared" si="88"/>
        <v>0</v>
      </c>
      <c r="M72" s="373">
        <f t="shared" si="88"/>
        <v>0</v>
      </c>
      <c r="N72" s="373">
        <f t="shared" si="88"/>
        <v>0</v>
      </c>
      <c r="O72" s="374">
        <f t="shared" si="88"/>
        <v>0</v>
      </c>
      <c r="P72" s="369">
        <f t="shared" si="85"/>
        <v>0</v>
      </c>
      <c r="Q72" s="1237" t="str">
        <f t="shared" si="86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7"/>
        <v>0</v>
      </c>
      <c r="C73" s="379">
        <f t="shared" si="87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5"/>
        <v>0</v>
      </c>
      <c r="Q73" s="1238" t="str">
        <f t="shared" si="86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5"/>
        <v>0</v>
      </c>
      <c r="Q74" s="1239" t="str">
        <f t="shared" si="86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5"/>
        <v>0</v>
      </c>
      <c r="Q75" s="1238" t="str">
        <f t="shared" si="86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5"/>
        <v>0</v>
      </c>
      <c r="Q76" s="1240" t="str">
        <f t="shared" si="86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 t="shared" si="85"/>
        <v>0</v>
      </c>
      <c r="Q77" s="1238" t="str">
        <f t="shared" si="86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5"/>
        <v>0</v>
      </c>
      <c r="Q78" s="1240" t="str">
        <f t="shared" si="86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5"/>
        <v>0</v>
      </c>
      <c r="Q79" s="1238" t="str">
        <f t="shared" si="86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5"/>
        <v>0</v>
      </c>
      <c r="Q80" s="1241" t="str">
        <f t="shared" si="86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5"/>
        <v>0</v>
      </c>
      <c r="Q81" s="1242" t="str">
        <f t="shared" si="86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5"/>
        <v>0</v>
      </c>
      <c r="Q82" s="1243" t="str">
        <f t="shared" si="86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5"/>
        <v>0</v>
      </c>
      <c r="Q83" s="1244" t="str">
        <f t="shared" si="86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5"/>
        <v>0</v>
      </c>
      <c r="Q84" s="1236" t="str">
        <f t="shared" si="86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5"/>
        <v>0</v>
      </c>
      <c r="Q85" s="1243" t="str">
        <f t="shared" si="86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5"/>
        <v>0</v>
      </c>
      <c r="Q86" s="1245" t="str">
        <f t="shared" si="86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>SUM(D88:O88)</f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>SUM(D89:O89)</f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>SUM(D90:O90)</f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707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370">
        <f>B95/9*12</f>
        <v>0</v>
      </c>
      <c r="D95" s="371">
        <f>D5*'Alış Fiyat'!D125</f>
        <v>0</v>
      </c>
      <c r="E95" s="372">
        <f>E5*'Alış Fiyat'!E125</f>
        <v>0</v>
      </c>
      <c r="F95" s="372">
        <f>F5*'Alış Fiyat'!F125</f>
        <v>0</v>
      </c>
      <c r="G95" s="372">
        <f>G5*'Alış Fiyat'!G125</f>
        <v>0</v>
      </c>
      <c r="H95" s="373">
        <f>H5*'Alış Fiyat'!H125</f>
        <v>0</v>
      </c>
      <c r="I95" s="373">
        <f>I5*'Alış Fiyat'!I125</f>
        <v>0</v>
      </c>
      <c r="J95" s="373">
        <f>J5*'Alış Fiyat'!J125</f>
        <v>0</v>
      </c>
      <c r="K95" s="373">
        <f>K5*'Alış Fiyat'!K125</f>
        <v>0</v>
      </c>
      <c r="L95" s="373">
        <f>L5*'Alış Fiyat'!L125</f>
        <v>0</v>
      </c>
      <c r="M95" s="373">
        <f>M5*'Alış Fiyat'!M125</f>
        <v>0</v>
      </c>
      <c r="N95" s="373">
        <f>N5*'Alış Fiyat'!N125</f>
        <v>0</v>
      </c>
      <c r="O95" s="374">
        <f>O5*'Alış Fiyat'!O125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Fiyat'!D126</f>
        <v>0</v>
      </c>
      <c r="E96" s="381">
        <f>E6*'Alış Fiyat'!E126</f>
        <v>0</v>
      </c>
      <c r="F96" s="381">
        <f>F6*'Alış Fiyat'!F126</f>
        <v>0</v>
      </c>
      <c r="G96" s="381">
        <f>G6*'Alış Fiyat'!G126</f>
        <v>0</v>
      </c>
      <c r="H96" s="382">
        <f>H6*'Alış Fiyat'!H126</f>
        <v>0</v>
      </c>
      <c r="I96" s="382">
        <f>I6*'Alış Fiyat'!I126</f>
        <v>0</v>
      </c>
      <c r="J96" s="382">
        <f>J6*'Alış Fiyat'!J126</f>
        <v>0</v>
      </c>
      <c r="K96" s="382">
        <f>K6*'Alış Fiyat'!K126</f>
        <v>0</v>
      </c>
      <c r="L96" s="382">
        <f>L6*'Alış Fiyat'!L126</f>
        <v>0</v>
      </c>
      <c r="M96" s="382">
        <f>M6*'Alış Fiyat'!M126</f>
        <v>0</v>
      </c>
      <c r="N96" s="382">
        <f>N6*'Alış Fiyat'!N126</f>
        <v>0</v>
      </c>
      <c r="O96" s="383">
        <f>O6*'Alış Fiyat'!O126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Fiyat'!D128</f>
        <v>0</v>
      </c>
      <c r="E98" s="397">
        <f>E8*'Alış Fiyat'!E128</f>
        <v>0</v>
      </c>
      <c r="F98" s="397">
        <f>F8*'Alış Fiyat'!F128</f>
        <v>0</v>
      </c>
      <c r="G98" s="397">
        <f>G8*'Alış Fiyat'!G128</f>
        <v>0</v>
      </c>
      <c r="H98" s="397">
        <f>H8*'Alış Fiyat'!H128</f>
        <v>0</v>
      </c>
      <c r="I98" s="397">
        <f>I8*'Alış Fiyat'!I128</f>
        <v>0</v>
      </c>
      <c r="J98" s="397">
        <f>J8*'Alış Fiyat'!J128</f>
        <v>0</v>
      </c>
      <c r="K98" s="397">
        <f>K8*'Alış Fiyat'!K128</f>
        <v>0</v>
      </c>
      <c r="L98" s="397">
        <f>L8*'Alış Fiyat'!L128</f>
        <v>0</v>
      </c>
      <c r="M98" s="397">
        <f>M8*'Alış Fiyat'!M128</f>
        <v>0</v>
      </c>
      <c r="N98" s="397">
        <f>N8*'Alış Fiyat'!N128</f>
        <v>0</v>
      </c>
      <c r="O98" s="398">
        <f>O8*'Alış Fiyat'!O128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1">
        <f>B99/9*12</f>
        <v>0</v>
      </c>
      <c r="D99" s="388">
        <f>D9*'Alış Fiyat'!D129</f>
        <v>0</v>
      </c>
      <c r="E99" s="389">
        <f>E9*'Alış Fiyat'!E129</f>
        <v>0</v>
      </c>
      <c r="F99" s="389">
        <f>F9*'Alış Fiyat'!F129</f>
        <v>0</v>
      </c>
      <c r="G99" s="389">
        <f>G9*'Alış Fiyat'!G129</f>
        <v>0</v>
      </c>
      <c r="H99" s="389">
        <f>H9*'Alış Fiyat'!H129</f>
        <v>0</v>
      </c>
      <c r="I99" s="389">
        <f>I9*'Alış Fiyat'!I129</f>
        <v>0</v>
      </c>
      <c r="J99" s="389">
        <f>J9*'Alış Fiyat'!J129</f>
        <v>0</v>
      </c>
      <c r="K99" s="389">
        <f>K9*'Alış Fiyat'!K129</f>
        <v>0</v>
      </c>
      <c r="L99" s="389">
        <f>L9*'Alış Fiyat'!L129</f>
        <v>0</v>
      </c>
      <c r="M99" s="389">
        <f>M9*'Alış Fiyat'!M129</f>
        <v>0</v>
      </c>
      <c r="N99" s="389">
        <f>N9*'Alış Fiyat'!N129</f>
        <v>0</v>
      </c>
      <c r="O99" s="390">
        <f>O9*'Alış Fiyat'!O129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Fiyat'!D130</f>
        <v>0</v>
      </c>
      <c r="E100" s="397">
        <f>E10*'Alış Fiyat'!E130</f>
        <v>0</v>
      </c>
      <c r="F100" s="397">
        <f>F10*'Alış Fiyat'!F130</f>
        <v>0</v>
      </c>
      <c r="G100" s="397">
        <f>G10*'Alış Fiyat'!G130</f>
        <v>0</v>
      </c>
      <c r="H100" s="397">
        <f>H10*'Alış Fiyat'!H130</f>
        <v>0</v>
      </c>
      <c r="I100" s="397">
        <f>I10*'Alış Fiyat'!I130</f>
        <v>0</v>
      </c>
      <c r="J100" s="397">
        <f>J10*'Alış Fiyat'!J130</f>
        <v>0</v>
      </c>
      <c r="K100" s="397">
        <f>K10*'Alış Fiyat'!K130</f>
        <v>0</v>
      </c>
      <c r="L100" s="397">
        <f>L10*'Alış Fiyat'!L130</f>
        <v>0</v>
      </c>
      <c r="M100" s="397">
        <f>M10*'Alış Fiyat'!M130</f>
        <v>0</v>
      </c>
      <c r="N100" s="397">
        <f>N10*'Alış Fiyat'!N130</f>
        <v>0</v>
      </c>
      <c r="O100" s="398">
        <f>O10*'Alış Fiyat'!O130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9"/>
      <c r="D101" s="402">
        <f>D11*'Alış Fiyat'!D131</f>
        <v>0</v>
      </c>
      <c r="E101" s="403">
        <f>E11*'Alış Fiyat'!E131</f>
        <v>0</v>
      </c>
      <c r="F101" s="403">
        <f>F11*'Alış Fiyat'!F131</f>
        <v>0</v>
      </c>
      <c r="G101" s="403">
        <f>G11*'Alış Fiyat'!G131</f>
        <v>0</v>
      </c>
      <c r="H101" s="403">
        <f>H11*'Alış Fiyat'!H131</f>
        <v>0</v>
      </c>
      <c r="I101" s="403">
        <f>I11*'Alış Fiyat'!I131</f>
        <v>0</v>
      </c>
      <c r="J101" s="403">
        <f>J11*'Alış Fiyat'!J131</f>
        <v>0</v>
      </c>
      <c r="K101" s="403">
        <f>K11*'Alış Fiyat'!K131</f>
        <v>0</v>
      </c>
      <c r="L101" s="403">
        <f>L11*'Alış Fiyat'!L131</f>
        <v>0</v>
      </c>
      <c r="M101" s="403">
        <f>M11*'Alış Fiyat'!M131</f>
        <v>0</v>
      </c>
      <c r="N101" s="403">
        <f>N11*'Alış Fiyat'!N131</f>
        <v>0</v>
      </c>
      <c r="O101" s="404">
        <f>O11*'Alış Fiyat'!O131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Fiyat'!D132</f>
        <v>0</v>
      </c>
      <c r="E102" s="382">
        <f>E12*'Alış Fiyat'!E132</f>
        <v>0</v>
      </c>
      <c r="F102" s="382">
        <f>F12*'Alış Fiyat'!F132</f>
        <v>0</v>
      </c>
      <c r="G102" s="382">
        <f>G12*'Alış Fiyat'!G132</f>
        <v>0</v>
      </c>
      <c r="H102" s="382">
        <f>H12*'Alış Fiyat'!H132</f>
        <v>0</v>
      </c>
      <c r="I102" s="381">
        <f>I12*'Alış Fiyat'!I132</f>
        <v>0</v>
      </c>
      <c r="J102" s="381">
        <f>J12*'Alış Fiyat'!J132</f>
        <v>0</v>
      </c>
      <c r="K102" s="382">
        <f>K12*'Alış Fiyat'!K132</f>
        <v>0</v>
      </c>
      <c r="L102" s="382">
        <f>L12*'Alış Fiyat'!L132</f>
        <v>0</v>
      </c>
      <c r="M102" s="382">
        <f>M12*'Alış Fiyat'!M132</f>
        <v>0</v>
      </c>
      <c r="N102" s="382">
        <f>N12*'Alış Fiyat'!N132</f>
        <v>0</v>
      </c>
      <c r="O102" s="383">
        <f>O12*'Alış Fiyat'!O132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Fiyat'!D135</f>
        <v>0</v>
      </c>
      <c r="E105" s="426">
        <f>E15*'Alış Fiyat'!E135</f>
        <v>0</v>
      </c>
      <c r="F105" s="426">
        <f>F15*'Alış Fiyat'!F135</f>
        <v>0</v>
      </c>
      <c r="G105" s="426">
        <f>G15*'Alış Fiyat'!G135</f>
        <v>0</v>
      </c>
      <c r="H105" s="426">
        <f>H15*'Alış Fiyat'!H135</f>
        <v>0</v>
      </c>
      <c r="I105" s="426">
        <f>I15*'Alış Fiyat'!I135</f>
        <v>0</v>
      </c>
      <c r="J105" s="426">
        <f>J15*'Alış Fiyat'!J135</f>
        <v>0</v>
      </c>
      <c r="K105" s="426">
        <f>K15*'Alış Fiyat'!K135</f>
        <v>0</v>
      </c>
      <c r="L105" s="426">
        <f>L15*'Alış Fiyat'!L135</f>
        <v>0</v>
      </c>
      <c r="M105" s="426">
        <f>M15*'Alış Fiyat'!M135</f>
        <v>0</v>
      </c>
      <c r="N105" s="426">
        <f>N15*'Alış Fiyat'!N135</f>
        <v>0</v>
      </c>
      <c r="O105" s="427">
        <f>O15*'Alış Fiyat'!O135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/>
      <c r="C106" s="432">
        <f>B106/9*12</f>
        <v>0</v>
      </c>
      <c r="D106" s="433">
        <f>D16*'Alış Fiyat'!D136</f>
        <v>0</v>
      </c>
      <c r="E106" s="434">
        <f>E16*'Alış Fiyat'!E136</f>
        <v>0</v>
      </c>
      <c r="F106" s="434">
        <f>F16*'Alış Fiyat'!F136</f>
        <v>0</v>
      </c>
      <c r="G106" s="434">
        <f>G16*'Alış Fiyat'!G136</f>
        <v>0</v>
      </c>
      <c r="H106" s="434">
        <f>H16*'Alış Fiyat'!H136</f>
        <v>0</v>
      </c>
      <c r="I106" s="434">
        <f>I16*'Alış Fiyat'!I136</f>
        <v>0</v>
      </c>
      <c r="J106" s="434">
        <f>J16*'Alış Fiyat'!J136</f>
        <v>0</v>
      </c>
      <c r="K106" s="434">
        <f>K16*'Alış Fiyat'!K136</f>
        <v>0</v>
      </c>
      <c r="L106" s="434">
        <f>L16*'Alış Fiyat'!L136</f>
        <v>0</v>
      </c>
      <c r="M106" s="434">
        <f>M16*'Alış Fiyat'!M136</f>
        <v>0</v>
      </c>
      <c r="N106" s="434">
        <f>N16*'Alış Fiyat'!N136</f>
        <v>0</v>
      </c>
      <c r="O106" s="435">
        <f>O16*'Alış Fiyat'!O136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Fiyat'!D138</f>
        <v>0</v>
      </c>
      <c r="E108" s="426">
        <f>E18*'Alış Fiyat'!E138</f>
        <v>0</v>
      </c>
      <c r="F108" s="426">
        <f>F18*'Alış Fiyat'!F138</f>
        <v>0</v>
      </c>
      <c r="G108" s="426">
        <f>G18*'Alış Fiyat'!G138</f>
        <v>0</v>
      </c>
      <c r="H108" s="426">
        <f>H18*'Alış Fiyat'!H138</f>
        <v>0</v>
      </c>
      <c r="I108" s="426">
        <f>I18*'Alış Fiyat'!I138</f>
        <v>0</v>
      </c>
      <c r="J108" s="426">
        <f>J18*'Alış Fiyat'!J138</f>
        <v>0</v>
      </c>
      <c r="K108" s="426">
        <f>K18*'Alış Fiyat'!K138</f>
        <v>0</v>
      </c>
      <c r="L108" s="426">
        <f>L18*'Alış Fiyat'!L138</f>
        <v>0</v>
      </c>
      <c r="M108" s="426">
        <f>M18*'Alış Fiyat'!M138</f>
        <v>0</v>
      </c>
      <c r="N108" s="426">
        <f>N18*'Alış Fiyat'!N138</f>
        <v>0</v>
      </c>
      <c r="O108" s="427">
        <f>O18*'Alış Fiyat'!O138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Fiyat'!D139</f>
        <v>0</v>
      </c>
      <c r="E109" s="442">
        <f>E19*'Alış Fiyat'!E139</f>
        <v>0</v>
      </c>
      <c r="F109" s="442">
        <f>F19*'Alış Fiyat'!F139</f>
        <v>0</v>
      </c>
      <c r="G109" s="442">
        <f>G19*'Alış Fiyat'!G139</f>
        <v>0</v>
      </c>
      <c r="H109" s="442">
        <f>H19*'Alış Fiyat'!H139</f>
        <v>0</v>
      </c>
      <c r="I109" s="442">
        <f>I19*'Alış Fiyat'!I139</f>
        <v>0</v>
      </c>
      <c r="J109" s="442">
        <f>J19*'Alış Fiyat'!J139</f>
        <v>0</v>
      </c>
      <c r="K109" s="442">
        <f>K19*'Alış Fiyat'!K139</f>
        <v>0</v>
      </c>
      <c r="L109" s="442">
        <f>L19*'Alış Fiyat'!L139</f>
        <v>0</v>
      </c>
      <c r="M109" s="442">
        <f>M19*'Alış Fiyat'!M139</f>
        <v>0</v>
      </c>
      <c r="N109" s="442">
        <f>N19*'Alış Fiyat'!N139</f>
        <v>0</v>
      </c>
      <c r="O109" s="443">
        <f>O19*'Alış Fiyat'!O139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Fiyat'!D141</f>
        <v>0</v>
      </c>
      <c r="E111" s="366">
        <f>E21*'Alış Fiyat'!E141</f>
        <v>0</v>
      </c>
      <c r="F111" s="366">
        <f>F21*'Alış Fiyat'!F141</f>
        <v>0</v>
      </c>
      <c r="G111" s="366">
        <f>G21*'Alış Fiyat'!G141</f>
        <v>0</v>
      </c>
      <c r="H111" s="366">
        <f>H21*'Alış Fiyat'!H141</f>
        <v>0</v>
      </c>
      <c r="I111" s="366">
        <f>I21*'Alış Fiyat'!I141</f>
        <v>0</v>
      </c>
      <c r="J111" s="366">
        <f>J21*'Alış Fiyat'!J141</f>
        <v>0</v>
      </c>
      <c r="K111" s="366">
        <f>K21*'Alış Fiyat'!K141</f>
        <v>0</v>
      </c>
      <c r="L111" s="366">
        <f>L21*'Alış Fiyat'!L141</f>
        <v>0</v>
      </c>
      <c r="M111" s="366">
        <f>M21*'Alış Fiyat'!M141</f>
        <v>0</v>
      </c>
      <c r="N111" s="366">
        <f>N21*'Alış Fiyat'!N141</f>
        <v>0</v>
      </c>
      <c r="O111" s="448">
        <f>O21*'Alış Fiyat'!O141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708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 t="shared" si="127"/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709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 ht="27.75" customHeight="1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 t="shared" si="154"/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710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:O177" si="155">C44</f>
        <v>0</v>
      </c>
      <c r="D177" s="505">
        <f t="shared" si="155"/>
        <v>0</v>
      </c>
      <c r="E177" s="472">
        <f t="shared" si="155"/>
        <v>0</v>
      </c>
      <c r="F177" s="472">
        <f t="shared" si="155"/>
        <v>0</v>
      </c>
      <c r="G177" s="472">
        <f t="shared" si="155"/>
        <v>0</v>
      </c>
      <c r="H177" s="472">
        <f t="shared" si="155"/>
        <v>0</v>
      </c>
      <c r="I177" s="472">
        <f t="shared" si="155"/>
        <v>0</v>
      </c>
      <c r="J177" s="472">
        <f t="shared" si="155"/>
        <v>0</v>
      </c>
      <c r="K177" s="472">
        <f t="shared" si="155"/>
        <v>0</v>
      </c>
      <c r="L177" s="472">
        <f t="shared" si="155"/>
        <v>0</v>
      </c>
      <c r="M177" s="472">
        <f t="shared" si="155"/>
        <v>0</v>
      </c>
      <c r="N177" s="472">
        <f t="shared" si="155"/>
        <v>0</v>
      </c>
      <c r="O177" s="473">
        <f t="shared" si="155"/>
        <v>0</v>
      </c>
      <c r="P177" s="474">
        <f>P44</f>
        <v>0</v>
      </c>
      <c r="Q177" s="1257" t="str">
        <f t="shared" ref="Q177:Q187" si="156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7">C67</f>
        <v>0</v>
      </c>
      <c r="D178" s="509">
        <f t="shared" ref="D178:O178" si="158">D67</f>
        <v>0</v>
      </c>
      <c r="E178" s="480">
        <f t="shared" si="158"/>
        <v>0</v>
      </c>
      <c r="F178" s="480">
        <f t="shared" si="158"/>
        <v>0</v>
      </c>
      <c r="G178" s="480">
        <f t="shared" si="158"/>
        <v>0</v>
      </c>
      <c r="H178" s="480">
        <f t="shared" si="158"/>
        <v>0</v>
      </c>
      <c r="I178" s="480">
        <f t="shared" si="158"/>
        <v>0</v>
      </c>
      <c r="J178" s="480">
        <f t="shared" si="158"/>
        <v>0</v>
      </c>
      <c r="K178" s="480">
        <f t="shared" si="158"/>
        <v>0</v>
      </c>
      <c r="L178" s="480">
        <f t="shared" si="158"/>
        <v>0</v>
      </c>
      <c r="M178" s="480">
        <f t="shared" si="158"/>
        <v>0</v>
      </c>
      <c r="N178" s="480">
        <f t="shared" si="158"/>
        <v>0</v>
      </c>
      <c r="O178" s="481">
        <f t="shared" si="158"/>
        <v>0</v>
      </c>
      <c r="P178" s="394">
        <f>P67</f>
        <v>0</v>
      </c>
      <c r="Q178" s="1149" t="str">
        <f t="shared" si="156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6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59">C90-C179</f>
        <v>0</v>
      </c>
      <c r="D180" s="513">
        <f t="shared" ref="D180:P180" si="160">D90-D179</f>
        <v>0</v>
      </c>
      <c r="E180" s="487">
        <f t="shared" si="160"/>
        <v>0</v>
      </c>
      <c r="F180" s="487">
        <f t="shared" si="160"/>
        <v>0</v>
      </c>
      <c r="G180" s="487">
        <f t="shared" si="160"/>
        <v>0</v>
      </c>
      <c r="H180" s="487">
        <f t="shared" si="160"/>
        <v>0</v>
      </c>
      <c r="I180" s="487">
        <f t="shared" si="160"/>
        <v>0</v>
      </c>
      <c r="J180" s="487">
        <f t="shared" si="160"/>
        <v>0</v>
      </c>
      <c r="K180" s="487">
        <f t="shared" si="160"/>
        <v>0</v>
      </c>
      <c r="L180" s="487">
        <f t="shared" si="160"/>
        <v>0</v>
      </c>
      <c r="M180" s="487">
        <f t="shared" si="160"/>
        <v>0</v>
      </c>
      <c r="N180" s="487">
        <f t="shared" si="160"/>
        <v>0</v>
      </c>
      <c r="O180" s="488">
        <f t="shared" si="160"/>
        <v>0</v>
      </c>
      <c r="P180" s="391">
        <f t="shared" si="160"/>
        <v>0</v>
      </c>
      <c r="Q180" s="1148" t="str">
        <f t="shared" si="156"/>
        <v>-</v>
      </c>
    </row>
    <row r="181" spans="1:17" ht="21" customHeight="1">
      <c r="A181" s="476" t="s">
        <v>71</v>
      </c>
      <c r="B181" s="1921">
        <f t="shared" ref="B181:C181" si="161">B113</f>
        <v>0</v>
      </c>
      <c r="C181" s="508">
        <f t="shared" si="161"/>
        <v>0</v>
      </c>
      <c r="D181" s="509">
        <f t="shared" ref="D181:P181" si="162">D113</f>
        <v>0</v>
      </c>
      <c r="E181" s="480">
        <f t="shared" si="162"/>
        <v>0</v>
      </c>
      <c r="F181" s="480">
        <f t="shared" si="162"/>
        <v>0</v>
      </c>
      <c r="G181" s="480">
        <f t="shared" si="162"/>
        <v>0</v>
      </c>
      <c r="H181" s="480">
        <f t="shared" si="162"/>
        <v>0</v>
      </c>
      <c r="I181" s="480">
        <f t="shared" si="162"/>
        <v>0</v>
      </c>
      <c r="J181" s="480">
        <f t="shared" si="162"/>
        <v>0</v>
      </c>
      <c r="K181" s="480">
        <f t="shared" si="162"/>
        <v>0</v>
      </c>
      <c r="L181" s="480">
        <f t="shared" si="162"/>
        <v>0</v>
      </c>
      <c r="M181" s="480">
        <f t="shared" si="162"/>
        <v>0</v>
      </c>
      <c r="N181" s="480">
        <f t="shared" si="162"/>
        <v>0</v>
      </c>
      <c r="O181" s="481">
        <f t="shared" si="162"/>
        <v>0</v>
      </c>
      <c r="P181" s="394">
        <f t="shared" si="162"/>
        <v>0</v>
      </c>
      <c r="Q181" s="1149" t="str">
        <f t="shared" si="156"/>
        <v>-</v>
      </c>
    </row>
    <row r="182" spans="1:17" ht="21" customHeight="1">
      <c r="A182" s="483" t="s">
        <v>36</v>
      </c>
      <c r="B182" s="1922">
        <f t="shared" ref="B182:C182" si="163">B136</f>
        <v>0</v>
      </c>
      <c r="C182" s="512">
        <f t="shared" si="163"/>
        <v>0</v>
      </c>
      <c r="D182" s="513">
        <f t="shared" ref="D182:P182" si="164">D136</f>
        <v>0</v>
      </c>
      <c r="E182" s="487">
        <f t="shared" si="164"/>
        <v>0</v>
      </c>
      <c r="F182" s="487">
        <f t="shared" si="164"/>
        <v>0</v>
      </c>
      <c r="G182" s="487">
        <f t="shared" si="164"/>
        <v>0</v>
      </c>
      <c r="H182" s="487">
        <f t="shared" si="164"/>
        <v>0</v>
      </c>
      <c r="I182" s="487">
        <f t="shared" si="164"/>
        <v>0</v>
      </c>
      <c r="J182" s="487">
        <f t="shared" si="164"/>
        <v>0</v>
      </c>
      <c r="K182" s="487">
        <f t="shared" si="164"/>
        <v>0</v>
      </c>
      <c r="L182" s="487">
        <f t="shared" si="164"/>
        <v>0</v>
      </c>
      <c r="M182" s="487">
        <f t="shared" si="164"/>
        <v>0</v>
      </c>
      <c r="N182" s="487">
        <f t="shared" si="164"/>
        <v>0</v>
      </c>
      <c r="O182" s="488">
        <f t="shared" si="164"/>
        <v>0</v>
      </c>
      <c r="P182" s="391">
        <f t="shared" si="164"/>
        <v>0</v>
      </c>
      <c r="Q182" s="1148" t="str">
        <f t="shared" si="156"/>
        <v>-</v>
      </c>
    </row>
    <row r="183" spans="1:17" ht="21" customHeight="1">
      <c r="A183" s="515" t="s">
        <v>73</v>
      </c>
      <c r="B183" s="634" t="e">
        <f t="shared" ref="B183:C183" si="165">B182/B180</f>
        <v>#DIV/0!</v>
      </c>
      <c r="C183" s="2243" t="e">
        <f t="shared" si="165"/>
        <v>#DIV/0!</v>
      </c>
      <c r="D183" s="634" t="e">
        <f t="shared" ref="D183:P183" si="166">D182/D180</f>
        <v>#DIV/0!</v>
      </c>
      <c r="E183" s="635" t="e">
        <f t="shared" si="166"/>
        <v>#DIV/0!</v>
      </c>
      <c r="F183" s="635" t="e">
        <f t="shared" si="166"/>
        <v>#DIV/0!</v>
      </c>
      <c r="G183" s="635" t="e">
        <f t="shared" si="166"/>
        <v>#DIV/0!</v>
      </c>
      <c r="H183" s="635" t="e">
        <f t="shared" si="166"/>
        <v>#DIV/0!</v>
      </c>
      <c r="I183" s="635" t="e">
        <f t="shared" si="166"/>
        <v>#DIV/0!</v>
      </c>
      <c r="J183" s="635" t="e">
        <f t="shared" si="166"/>
        <v>#DIV/0!</v>
      </c>
      <c r="K183" s="635" t="e">
        <f t="shared" si="166"/>
        <v>#DIV/0!</v>
      </c>
      <c r="L183" s="635" t="e">
        <f t="shared" si="166"/>
        <v>#DIV/0!</v>
      </c>
      <c r="M183" s="635" t="e">
        <f t="shared" si="166"/>
        <v>#DIV/0!</v>
      </c>
      <c r="N183" s="635" t="e">
        <f t="shared" si="166"/>
        <v>#DIV/0!</v>
      </c>
      <c r="O183" s="636" t="e">
        <f t="shared" si="166"/>
        <v>#DIV/0!</v>
      </c>
      <c r="P183" s="521" t="e">
        <f t="shared" si="166"/>
        <v>#DIV/0!</v>
      </c>
      <c r="Q183" s="1258" t="e">
        <f t="shared" si="156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O184" si="167">F140/1000</f>
        <v>0</v>
      </c>
      <c r="G184" s="487">
        <f t="shared" si="167"/>
        <v>0</v>
      </c>
      <c r="H184" s="487">
        <f t="shared" si="167"/>
        <v>0</v>
      </c>
      <c r="I184" s="487">
        <f t="shared" si="167"/>
        <v>0</v>
      </c>
      <c r="J184" s="487">
        <f t="shared" si="167"/>
        <v>0</v>
      </c>
      <c r="K184" s="487">
        <f t="shared" si="167"/>
        <v>0</v>
      </c>
      <c r="L184" s="487">
        <f t="shared" si="167"/>
        <v>0</v>
      </c>
      <c r="M184" s="487">
        <f t="shared" si="167"/>
        <v>0</v>
      </c>
      <c r="N184" s="487">
        <f t="shared" si="167"/>
        <v>0</v>
      </c>
      <c r="O184" s="487">
        <f t="shared" si="167"/>
        <v>0</v>
      </c>
      <c r="P184" s="391">
        <f>P140/1000</f>
        <v>0</v>
      </c>
      <c r="Q184" s="1148" t="str">
        <f t="shared" si="156"/>
        <v>-</v>
      </c>
    </row>
    <row r="185" spans="1:17" s="531" customFormat="1" ht="21" customHeight="1">
      <c r="A185" s="523" t="s">
        <v>74</v>
      </c>
      <c r="B185" s="526" t="e">
        <f t="shared" ref="B185:C185" si="168">B184/B180</f>
        <v>#DIV/0!</v>
      </c>
      <c r="C185" s="1425" t="e">
        <f t="shared" si="168"/>
        <v>#DIV/0!</v>
      </c>
      <c r="D185" s="526" t="e">
        <f t="shared" ref="D185:P185" si="169">D184/D180</f>
        <v>#DIV/0!</v>
      </c>
      <c r="E185" s="527" t="e">
        <f t="shared" si="169"/>
        <v>#DIV/0!</v>
      </c>
      <c r="F185" s="527" t="e">
        <f t="shared" si="169"/>
        <v>#DIV/0!</v>
      </c>
      <c r="G185" s="527" t="e">
        <f t="shared" si="169"/>
        <v>#DIV/0!</v>
      </c>
      <c r="H185" s="527" t="e">
        <f t="shared" si="169"/>
        <v>#DIV/0!</v>
      </c>
      <c r="I185" s="527" t="e">
        <f t="shared" si="169"/>
        <v>#DIV/0!</v>
      </c>
      <c r="J185" s="527" t="e">
        <f t="shared" si="169"/>
        <v>#DIV/0!</v>
      </c>
      <c r="K185" s="527" t="e">
        <f t="shared" si="169"/>
        <v>#DIV/0!</v>
      </c>
      <c r="L185" s="527" t="e">
        <f t="shared" si="169"/>
        <v>#DIV/0!</v>
      </c>
      <c r="M185" s="527" t="e">
        <f t="shared" si="169"/>
        <v>#DIV/0!</v>
      </c>
      <c r="N185" s="527" t="e">
        <f t="shared" si="169"/>
        <v>#DIV/0!</v>
      </c>
      <c r="O185" s="528" t="e">
        <f t="shared" si="169"/>
        <v>#DIV/0!</v>
      </c>
      <c r="P185" s="529" t="e">
        <f t="shared" si="169"/>
        <v>#DIV/0!</v>
      </c>
      <c r="Q185" s="1259" t="e">
        <f t="shared" si="156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0">C182-C184</f>
        <v>0</v>
      </c>
      <c r="D186" s="535">
        <f t="shared" ref="D186:P186" si="171">D182-D184</f>
        <v>0</v>
      </c>
      <c r="E186" s="536">
        <f t="shared" si="171"/>
        <v>0</v>
      </c>
      <c r="F186" s="536">
        <f t="shared" si="171"/>
        <v>0</v>
      </c>
      <c r="G186" s="536">
        <f t="shared" si="171"/>
        <v>0</v>
      </c>
      <c r="H186" s="536">
        <f t="shared" si="171"/>
        <v>0</v>
      </c>
      <c r="I186" s="536">
        <f t="shared" si="171"/>
        <v>0</v>
      </c>
      <c r="J186" s="536">
        <f t="shared" si="171"/>
        <v>0</v>
      </c>
      <c r="K186" s="536">
        <f t="shared" si="171"/>
        <v>0</v>
      </c>
      <c r="L186" s="536">
        <f t="shared" si="171"/>
        <v>0</v>
      </c>
      <c r="M186" s="536">
        <f t="shared" si="171"/>
        <v>0</v>
      </c>
      <c r="N186" s="536">
        <f t="shared" si="171"/>
        <v>0</v>
      </c>
      <c r="O186" s="537">
        <f t="shared" si="171"/>
        <v>0</v>
      </c>
      <c r="P186" s="496">
        <f t="shared" si="171"/>
        <v>0</v>
      </c>
      <c r="Q186" s="1260" t="str">
        <f t="shared" si="156"/>
        <v>-</v>
      </c>
    </row>
    <row r="187" spans="1:17" s="281" customFormat="1" ht="21" customHeight="1" thickBot="1">
      <c r="A187" s="539" t="s">
        <v>80</v>
      </c>
      <c r="B187" s="2240" t="e">
        <f t="shared" ref="B187:C187" si="172">B186/B180</f>
        <v>#DIV/0!</v>
      </c>
      <c r="C187" s="2242" t="e">
        <f t="shared" si="172"/>
        <v>#DIV/0!</v>
      </c>
      <c r="D187" s="2240" t="e">
        <f t="shared" ref="D187:P187" si="173">D186/D180</f>
        <v>#DIV/0!</v>
      </c>
      <c r="E187" s="2247" t="e">
        <f t="shared" si="173"/>
        <v>#DIV/0!</v>
      </c>
      <c r="F187" s="2247" t="e">
        <f t="shared" si="173"/>
        <v>#DIV/0!</v>
      </c>
      <c r="G187" s="2247" t="e">
        <f t="shared" si="173"/>
        <v>#DIV/0!</v>
      </c>
      <c r="H187" s="2247" t="e">
        <f t="shared" si="173"/>
        <v>#DIV/0!</v>
      </c>
      <c r="I187" s="2247" t="e">
        <f t="shared" si="173"/>
        <v>#DIV/0!</v>
      </c>
      <c r="J187" s="2247" t="e">
        <f t="shared" si="173"/>
        <v>#DIV/0!</v>
      </c>
      <c r="K187" s="2247" t="e">
        <f t="shared" si="173"/>
        <v>#DIV/0!</v>
      </c>
      <c r="L187" s="2247" t="e">
        <f t="shared" si="173"/>
        <v>#DIV/0!</v>
      </c>
      <c r="M187" s="2247" t="e">
        <f t="shared" si="173"/>
        <v>#DIV/0!</v>
      </c>
      <c r="N187" s="2247" t="e">
        <f t="shared" si="173"/>
        <v>#DIV/0!</v>
      </c>
      <c r="O187" s="2248" t="e">
        <f t="shared" si="173"/>
        <v>#DIV/0!</v>
      </c>
      <c r="P187" s="545" t="e">
        <f t="shared" si="173"/>
        <v>#DIV/0!</v>
      </c>
      <c r="Q187" s="1261" t="e">
        <f t="shared" si="156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3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6" max="16" man="1"/>
    <brk id="137" max="16" man="1"/>
    <brk id="173" max="16" man="1"/>
  </rowBreaks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V187"/>
  <sheetViews>
    <sheetView zoomScale="85" zoomScaleNormal="85" workbookViewId="0">
      <selection activeCell="B21" sqref="B21"/>
    </sheetView>
  </sheetViews>
  <sheetFormatPr defaultColWidth="9.109375" defaultRowHeight="14.4"/>
  <cols>
    <col min="1" max="1" width="32.441406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7" width="9.109375" style="352"/>
    <col min="18" max="21" width="9.5546875" style="352" bestFit="1" customWidth="1"/>
    <col min="22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705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M3'!C23/1000</f>
        <v>0</v>
      </c>
      <c r="E5" s="372">
        <f>+'SAHA AYLIK ÜRÜN M3'!D23/1000</f>
        <v>0</v>
      </c>
      <c r="F5" s="372">
        <f>+'SAHA AYLIK ÜRÜN M3'!E23/1000</f>
        <v>0</v>
      </c>
      <c r="G5" s="372">
        <f>+'SAHA AYLIK ÜRÜN M3'!F23/1000</f>
        <v>0</v>
      </c>
      <c r="H5" s="373">
        <f>+'SAHA AYLIK ÜRÜN M3'!G23/1000</f>
        <v>0</v>
      </c>
      <c r="I5" s="373">
        <f>+'SAHA AYLIK ÜRÜN M3'!H23/1000</f>
        <v>0</v>
      </c>
      <c r="J5" s="373">
        <f>+'SAHA AYLIK ÜRÜN M3'!I23/1000</f>
        <v>0</v>
      </c>
      <c r="K5" s="373">
        <f>+'SAHA AYLIK ÜRÜN M3'!J23/1000</f>
        <v>0</v>
      </c>
      <c r="L5" s="373">
        <f>+'SAHA AYLIK ÜRÜN M3'!K23/1000</f>
        <v>0</v>
      </c>
      <c r="M5" s="373">
        <f>+'SAHA AYLIK ÜRÜN M3'!L23/1000</f>
        <v>0</v>
      </c>
      <c r="N5" s="373">
        <f>+'SAHA AYLIK ÜRÜN M3'!M23/1000</f>
        <v>0</v>
      </c>
      <c r="O5" s="374">
        <f>+'SAHA AYLIK ÜRÜN M3'!N23/1000</f>
        <v>0</v>
      </c>
      <c r="P5" s="369">
        <f t="shared" si="2"/>
        <v>0</v>
      </c>
      <c r="Q5" s="375" t="str">
        <f t="shared" si="3"/>
        <v>-</v>
      </c>
      <c r="R5" s="1428"/>
      <c r="S5" s="1428"/>
      <c r="T5" s="1428"/>
      <c r="U5" s="1428"/>
      <c r="V5" s="1428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M3'!C24/1000</f>
        <v>0</v>
      </c>
      <c r="E8" s="397">
        <f>+'SAHA AYLIK ÜRÜN M3'!D24/1000</f>
        <v>0</v>
      </c>
      <c r="F8" s="397">
        <f>+'SAHA AYLIK ÜRÜN M3'!E24/1000</f>
        <v>0</v>
      </c>
      <c r="G8" s="397">
        <f>+'SAHA AYLIK ÜRÜN M3'!F24/1000</f>
        <v>0</v>
      </c>
      <c r="H8" s="397">
        <f>+'SAHA AYLIK ÜRÜN M3'!G24/1000</f>
        <v>0</v>
      </c>
      <c r="I8" s="397">
        <f>+'SAHA AYLIK ÜRÜN M3'!H24/1000</f>
        <v>0</v>
      </c>
      <c r="J8" s="397">
        <f>+'SAHA AYLIK ÜRÜN M3'!I24/1000</f>
        <v>0</v>
      </c>
      <c r="K8" s="397">
        <f>+'SAHA AYLIK ÜRÜN M3'!J24/1000</f>
        <v>0</v>
      </c>
      <c r="L8" s="397">
        <f>+'SAHA AYLIK ÜRÜN M3'!K24/1000</f>
        <v>0</v>
      </c>
      <c r="M8" s="397">
        <f>+'SAHA AYLIK ÜRÜN M3'!L24/1000</f>
        <v>0</v>
      </c>
      <c r="N8" s="397">
        <f>+'SAHA AYLIK ÜRÜN M3'!M24/1000</f>
        <v>0</v>
      </c>
      <c r="O8" s="398">
        <f>+'SAHA AYLIK ÜRÜN M3'!N24/1000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M3'!C21/1000</f>
        <v>0</v>
      </c>
      <c r="E9" s="403">
        <f>+'SAHA AYLIK ÜRÜN M3'!D21/1000</f>
        <v>0</v>
      </c>
      <c r="F9" s="403">
        <f>+'SAHA AYLIK ÜRÜN M3'!E21/1000</f>
        <v>0</v>
      </c>
      <c r="G9" s="403">
        <f>+'SAHA AYLIK ÜRÜN M3'!F21/1000</f>
        <v>0</v>
      </c>
      <c r="H9" s="403">
        <f>+'SAHA AYLIK ÜRÜN M3'!G21/1000</f>
        <v>0</v>
      </c>
      <c r="I9" s="403">
        <f>+'SAHA AYLIK ÜRÜN M3'!H21/1000</f>
        <v>0</v>
      </c>
      <c r="J9" s="403">
        <f>+'SAHA AYLIK ÜRÜN M3'!I21/1000</f>
        <v>0</v>
      </c>
      <c r="K9" s="403">
        <f>+'SAHA AYLIK ÜRÜN M3'!J21/1000</f>
        <v>0</v>
      </c>
      <c r="L9" s="403">
        <f>+'SAHA AYLIK ÜRÜN M3'!K21/1000</f>
        <v>0</v>
      </c>
      <c r="M9" s="403">
        <f>+'SAHA AYLIK ÜRÜN M3'!L21/1000</f>
        <v>0</v>
      </c>
      <c r="N9" s="403">
        <f>+'SAHA AYLIK ÜRÜN M3'!M21/1000</f>
        <v>0</v>
      </c>
      <c r="O9" s="404">
        <f>+'SAHA AYLIK ÜRÜN M3'!N21/1000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M3'!C22/1000</f>
        <v>0</v>
      </c>
      <c r="E11" s="403">
        <f>+'SAHA AYLIK ÜRÜN M3'!D22/1000</f>
        <v>0</v>
      </c>
      <c r="F11" s="403">
        <f>+'SAHA AYLIK ÜRÜN M3'!E22/1000</f>
        <v>0</v>
      </c>
      <c r="G11" s="403">
        <f>+'SAHA AYLIK ÜRÜN M3'!F22/1000</f>
        <v>0</v>
      </c>
      <c r="H11" s="403">
        <f>+'SAHA AYLIK ÜRÜN M3'!G22/1000</f>
        <v>0</v>
      </c>
      <c r="I11" s="403">
        <f>+'SAHA AYLIK ÜRÜN M3'!H22/1000</f>
        <v>0</v>
      </c>
      <c r="J11" s="403">
        <f>+'SAHA AYLIK ÜRÜN M3'!I22/1000</f>
        <v>0</v>
      </c>
      <c r="K11" s="403">
        <f>+'SAHA AYLIK ÜRÜN M3'!J22/1000</f>
        <v>0</v>
      </c>
      <c r="L11" s="403">
        <f>+'SAHA AYLIK ÜRÜN M3'!K22/1000</f>
        <v>0</v>
      </c>
      <c r="M11" s="403">
        <f>+'SAHA AYLIK ÜRÜN M3'!L22/1000</f>
        <v>0</v>
      </c>
      <c r="N11" s="403">
        <f>+'SAHA AYLIK ÜRÜN M3'!M22/1000</f>
        <v>0</v>
      </c>
      <c r="O11" s="404">
        <f>+'SAHA AYLIK ÜRÜN M3'!N22/1000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M3'!C25/1000</f>
        <v>0</v>
      </c>
      <c r="E16" s="434">
        <f>+'SAHA AYLIK ÜRÜN M3'!D25/1000</f>
        <v>0</v>
      </c>
      <c r="F16" s="434">
        <f>+'SAHA AYLIK ÜRÜN M3'!E25/1000</f>
        <v>0</v>
      </c>
      <c r="G16" s="434">
        <f>+'SAHA AYLIK ÜRÜN M3'!F25/1000</f>
        <v>0</v>
      </c>
      <c r="H16" s="434">
        <f>+'SAHA AYLIK ÜRÜN M3'!G25/1000</f>
        <v>0</v>
      </c>
      <c r="I16" s="434">
        <f>+'SAHA AYLIK ÜRÜN M3'!H25/1000</f>
        <v>0</v>
      </c>
      <c r="J16" s="434">
        <f>+'SAHA AYLIK ÜRÜN M3'!I25/1000</f>
        <v>0</v>
      </c>
      <c r="K16" s="434">
        <f>+'SAHA AYLIK ÜRÜN M3'!J25/1000</f>
        <v>0</v>
      </c>
      <c r="L16" s="434">
        <f>+'SAHA AYLIK ÜRÜN M3'!K25/1000</f>
        <v>0</v>
      </c>
      <c r="M16" s="434">
        <f>+'SAHA AYLIK ÜRÜN M3'!L25/1000</f>
        <v>0</v>
      </c>
      <c r="N16" s="434">
        <f>+'SAHA AYLIK ÜRÜN M3'!M25/1000</f>
        <v>0</v>
      </c>
      <c r="O16" s="435">
        <f>+'SAHA AYLIK ÜRÜN M3'!N25/1000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+M.Yağ_Adbulue!E6/1000</f>
        <v>0</v>
      </c>
      <c r="E18" s="426">
        <f>+M.Yağ_Adbulue!F6/1000</f>
        <v>0</v>
      </c>
      <c r="F18" s="426">
        <f>+M.Yağ_Adbulue!G6/1000</f>
        <v>0</v>
      </c>
      <c r="G18" s="426">
        <f>+M.Yağ_Adbulue!H6/1000</f>
        <v>0</v>
      </c>
      <c r="H18" s="426">
        <f>+M.Yağ_Adbulue!I6/1000</f>
        <v>0</v>
      </c>
      <c r="I18" s="426">
        <f>+M.Yağ_Adbulue!J6/1000</f>
        <v>0</v>
      </c>
      <c r="J18" s="426">
        <f>+M.Yağ_Adbulue!K6/1000</f>
        <v>0</v>
      </c>
      <c r="K18" s="426">
        <f>+M.Yağ_Adbulue!L6/1000</f>
        <v>0</v>
      </c>
      <c r="L18" s="426">
        <f>+M.Yağ_Adbulue!M6/1000</f>
        <v>0</v>
      </c>
      <c r="M18" s="426">
        <f>+M.Yağ_Adbulue!N6/1000</f>
        <v>0</v>
      </c>
      <c r="N18" s="426">
        <f>+M.Yağ_Adbulue!O6/1000</f>
        <v>0</v>
      </c>
      <c r="O18" s="427">
        <f>+M.Yağ_Adbulue!P6/1000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+M.Yağ_Adbulue!E24/1000</f>
        <v>0</v>
      </c>
      <c r="E19" s="442">
        <f>+M.Yağ_Adbulue!F24/1000</f>
        <v>0</v>
      </c>
      <c r="F19" s="442">
        <f>+M.Yağ_Adbulue!G24/1000</f>
        <v>0</v>
      </c>
      <c r="G19" s="442">
        <f>+M.Yağ_Adbulue!H24/1000</f>
        <v>0</v>
      </c>
      <c r="H19" s="442">
        <f>+M.Yağ_Adbulue!I24/1000</f>
        <v>0</v>
      </c>
      <c r="I19" s="442">
        <f>+M.Yağ_Adbulue!J24/1000</f>
        <v>0</v>
      </c>
      <c r="J19" s="442">
        <f>+M.Yağ_Adbulue!K24/1000</f>
        <v>0</v>
      </c>
      <c r="K19" s="442">
        <f>+M.Yağ_Adbulue!L24/1000</f>
        <v>0</v>
      </c>
      <c r="L19" s="442">
        <f>+M.Yağ_Adbulue!M24/1000</f>
        <v>0</v>
      </c>
      <c r="M19" s="442">
        <f>+M.Yağ_Adbulue!N24/1000</f>
        <v>0</v>
      </c>
      <c r="N19" s="442">
        <f>+M.Yağ_Adbulue!O24/1000</f>
        <v>0</v>
      </c>
      <c r="O19" s="443">
        <f>+M.Yağ_Adbulue!P24/1000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701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370">
        <f>B26/9*12</f>
        <v>0</v>
      </c>
      <c r="D26" s="371">
        <f>D5*'Satış Fiyat'!D77</f>
        <v>0</v>
      </c>
      <c r="E26" s="372">
        <f>E5*'Satış Fiyat'!E77</f>
        <v>0</v>
      </c>
      <c r="F26" s="372">
        <f>F5*'Satış Fiyat'!F77</f>
        <v>0</v>
      </c>
      <c r="G26" s="372">
        <f>G5*'Satış Fiyat'!G77</f>
        <v>0</v>
      </c>
      <c r="H26" s="373">
        <f>H5*'Satış Fiyat'!H77</f>
        <v>0</v>
      </c>
      <c r="I26" s="373">
        <f>I5*'Satış Fiyat'!I77</f>
        <v>0</v>
      </c>
      <c r="J26" s="373">
        <f>J5*'Satış Fiyat'!J77</f>
        <v>0</v>
      </c>
      <c r="K26" s="373">
        <f>K5*'Satış Fiyat'!K77</f>
        <v>0</v>
      </c>
      <c r="L26" s="373">
        <f>L5*'Satış Fiyat'!L77</f>
        <v>0</v>
      </c>
      <c r="M26" s="373">
        <f>M5*'Satış Fiyat'!M77</f>
        <v>0</v>
      </c>
      <c r="N26" s="373">
        <f>N5*'Satış Fiyat'!N77</f>
        <v>0</v>
      </c>
      <c r="O26" s="374">
        <f>O5*'Satış Fiyat'!O77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Fiyat'!D78</f>
        <v>0</v>
      </c>
      <c r="E27" s="381">
        <f>E6*'Satış Fiyat'!E78</f>
        <v>0</v>
      </c>
      <c r="F27" s="381">
        <f>F6*'Satış Fiyat'!F78</f>
        <v>0</v>
      </c>
      <c r="G27" s="381">
        <f>G6*'Satış Fiyat'!G78</f>
        <v>0</v>
      </c>
      <c r="H27" s="382">
        <f>H6*'Satış Fiyat'!H78</f>
        <v>0</v>
      </c>
      <c r="I27" s="382">
        <f>I6*'Satış Fiyat'!I78</f>
        <v>0</v>
      </c>
      <c r="J27" s="382">
        <f>J6*'Satış Fiyat'!J78</f>
        <v>0</v>
      </c>
      <c r="K27" s="382">
        <f>K6*'Satış Fiyat'!K78</f>
        <v>0</v>
      </c>
      <c r="L27" s="382">
        <f>L6*'Satış Fiyat'!L78</f>
        <v>0</v>
      </c>
      <c r="M27" s="382">
        <f>M6*'Satış Fiyat'!M78</f>
        <v>0</v>
      </c>
      <c r="N27" s="382">
        <f>N6*'Satış Fiyat'!N78</f>
        <v>0</v>
      </c>
      <c r="O27" s="383">
        <f>O6*'Satış Fiyat'!O78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Fiyat'!D80</f>
        <v>0</v>
      </c>
      <c r="E29" s="397">
        <f>E8*'Satış Fiyat'!E80</f>
        <v>0</v>
      </c>
      <c r="F29" s="397">
        <f>F8*'Satış Fiyat'!F80</f>
        <v>0</v>
      </c>
      <c r="G29" s="397">
        <f>G8*'Satış Fiyat'!G80</f>
        <v>0</v>
      </c>
      <c r="H29" s="397">
        <f>H8*'Satış Fiyat'!H80</f>
        <v>0</v>
      </c>
      <c r="I29" s="397">
        <f>I8*'Satış Fiyat'!I80</f>
        <v>0</v>
      </c>
      <c r="J29" s="397">
        <f>J8*'Satış Fiyat'!J80</f>
        <v>0</v>
      </c>
      <c r="K29" s="397">
        <f>K8*'Satış Fiyat'!K80</f>
        <v>0</v>
      </c>
      <c r="L29" s="397">
        <f>L8*'Satış Fiyat'!L80</f>
        <v>0</v>
      </c>
      <c r="M29" s="397">
        <f>M8*'Satış Fiyat'!M80</f>
        <v>0</v>
      </c>
      <c r="N29" s="397">
        <f>N8*'Satış Fiyat'!N80</f>
        <v>0</v>
      </c>
      <c r="O29" s="398">
        <f>O8*'Satış Fiyat'!O80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1">
        <f>B30/9*12</f>
        <v>0</v>
      </c>
      <c r="D30" s="1563">
        <f>D9*'Satış Fiyat'!D81</f>
        <v>0</v>
      </c>
      <c r="E30" s="1560">
        <f>E9*'Satış Fiyat'!E81</f>
        <v>0</v>
      </c>
      <c r="F30" s="1560">
        <f>F9*'Satış Fiyat'!F81</f>
        <v>0</v>
      </c>
      <c r="G30" s="1560">
        <f>G9*'Satış Fiyat'!G81</f>
        <v>0</v>
      </c>
      <c r="H30" s="1560">
        <f>H9*'Satış Fiyat'!H81</f>
        <v>0</v>
      </c>
      <c r="I30" s="1560">
        <f>I9*'Satış Fiyat'!I81</f>
        <v>0</v>
      </c>
      <c r="J30" s="1560">
        <f>J9*'Satış Fiyat'!J81</f>
        <v>0</v>
      </c>
      <c r="K30" s="1560">
        <f>K9*'Satış Fiyat'!K81</f>
        <v>0</v>
      </c>
      <c r="L30" s="1560">
        <f>L9*'Satış Fiyat'!L81</f>
        <v>0</v>
      </c>
      <c r="M30" s="1560">
        <f>M9*'Satış Fiyat'!M81</f>
        <v>0</v>
      </c>
      <c r="N30" s="1560">
        <f>N9*'Satış Fiyat'!N81</f>
        <v>0</v>
      </c>
      <c r="O30" s="387">
        <f>O9*'Satış Fiyat'!O81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Fiyat'!D82</f>
        <v>0</v>
      </c>
      <c r="E31" s="397">
        <f>E10*'Satış Fiyat'!E82</f>
        <v>0</v>
      </c>
      <c r="F31" s="397">
        <f>F10*'Satış Fiyat'!F82</f>
        <v>0</v>
      </c>
      <c r="G31" s="397">
        <f>G10*'Satış Fiyat'!G82</f>
        <v>0</v>
      </c>
      <c r="H31" s="397">
        <f>H10*'Satış Fiyat'!H82</f>
        <v>0</v>
      </c>
      <c r="I31" s="397">
        <f>I10*'Satış Fiyat'!I82</f>
        <v>0</v>
      </c>
      <c r="J31" s="397">
        <f>J10*'Satış Fiyat'!J82</f>
        <v>0</v>
      </c>
      <c r="K31" s="397">
        <f>K10*'Satış Fiyat'!K82</f>
        <v>0</v>
      </c>
      <c r="L31" s="397">
        <f>L10*'Satış Fiyat'!L82</f>
        <v>0</v>
      </c>
      <c r="M31" s="397">
        <f>M10*'Satış Fiyat'!M82</f>
        <v>0</v>
      </c>
      <c r="N31" s="397">
        <f>N10*'Satış Fiyat'!N82</f>
        <v>0</v>
      </c>
      <c r="O31" s="398">
        <f>O10*'Satış Fiyat'!O82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9"/>
      <c r="D32" s="402">
        <f>D11*'Satış Fiyat'!D83</f>
        <v>0</v>
      </c>
      <c r="E32" s="403">
        <f>E11*'Satış Fiyat'!E83</f>
        <v>0</v>
      </c>
      <c r="F32" s="389">
        <f>F11*'Satış Fiyat'!F83</f>
        <v>0</v>
      </c>
      <c r="G32" s="403">
        <f>G11*'Satış Fiyat'!G83</f>
        <v>0</v>
      </c>
      <c r="H32" s="403">
        <f>H11*'Satış Fiyat'!H83</f>
        <v>0</v>
      </c>
      <c r="I32" s="403">
        <f>I11*'Satış Fiyat'!I83</f>
        <v>0</v>
      </c>
      <c r="J32" s="403">
        <f>J11*'Satış Fiyat'!J83</f>
        <v>0</v>
      </c>
      <c r="K32" s="403">
        <f>K11*'Satış Fiyat'!K83</f>
        <v>0</v>
      </c>
      <c r="L32" s="403">
        <f>L11*'Satış Fiyat'!L83</f>
        <v>0</v>
      </c>
      <c r="M32" s="403">
        <f>M11*'Satış Fiyat'!M83</f>
        <v>0</v>
      </c>
      <c r="N32" s="403">
        <f>N11*'Satış Fiyat'!N83</f>
        <v>0</v>
      </c>
      <c r="O32" s="404">
        <f>O11*'Satış Fiyat'!O83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Fiyat'!D84</f>
        <v>0</v>
      </c>
      <c r="E33" s="382">
        <f>E12*'Satış Fiyat'!E84</f>
        <v>0</v>
      </c>
      <c r="F33" s="382">
        <f>F12*'Satış Fiyat'!F84</f>
        <v>0</v>
      </c>
      <c r="G33" s="382">
        <f>G12*'Satış Fiyat'!G84</f>
        <v>0</v>
      </c>
      <c r="H33" s="382">
        <f>H12*'Satış Fiyat'!H84</f>
        <v>0</v>
      </c>
      <c r="I33" s="381">
        <f>I12*'Satış Fiyat'!I84</f>
        <v>0</v>
      </c>
      <c r="J33" s="381">
        <f>J12*'Satış Fiyat'!J84</f>
        <v>0</v>
      </c>
      <c r="K33" s="382">
        <f>K12*'Satış Fiyat'!K84</f>
        <v>0</v>
      </c>
      <c r="L33" s="382">
        <f>L12*'Satış Fiyat'!L84</f>
        <v>0</v>
      </c>
      <c r="M33" s="382">
        <f>M12*'Satış Fiyat'!M84</f>
        <v>0</v>
      </c>
      <c r="N33" s="382">
        <f>N12*'Satış Fiyat'!N84</f>
        <v>0</v>
      </c>
      <c r="O33" s="383">
        <f>O12*'Satış Fiyat'!O84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Fiyat'!D87</f>
        <v>0</v>
      </c>
      <c r="E36" s="426">
        <f>E15*'Satış Fiyat'!E87</f>
        <v>0</v>
      </c>
      <c r="F36" s="426">
        <f>F15*'Satış Fiyat'!F87</f>
        <v>0</v>
      </c>
      <c r="G36" s="426">
        <f>G15*'Satış Fiyat'!G87</f>
        <v>0</v>
      </c>
      <c r="H36" s="426">
        <f>H15*'Satış Fiyat'!H87</f>
        <v>0</v>
      </c>
      <c r="I36" s="426">
        <f>I15*'Satış Fiyat'!I87</f>
        <v>0</v>
      </c>
      <c r="J36" s="426">
        <f>J15*'Satış Fiyat'!J87</f>
        <v>0</v>
      </c>
      <c r="K36" s="426">
        <f>K15*'Satış Fiyat'!K87</f>
        <v>0</v>
      </c>
      <c r="L36" s="426">
        <f>L15*'Satış Fiyat'!L87</f>
        <v>0</v>
      </c>
      <c r="M36" s="426">
        <f>M15*'Satış Fiyat'!M87</f>
        <v>0</v>
      </c>
      <c r="N36" s="426">
        <f>N15*'Satış Fiyat'!N87</f>
        <v>0</v>
      </c>
      <c r="O36" s="427">
        <f>O15*'Satış Fiyat'!O87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Fiyat'!D88</f>
        <v>0</v>
      </c>
      <c r="E37" s="434">
        <f>E16*'Satış Fiyat'!E88</f>
        <v>0</v>
      </c>
      <c r="F37" s="434">
        <f>F16*'Satış Fiyat'!F88</f>
        <v>0</v>
      </c>
      <c r="G37" s="434">
        <f>G16*'Satış Fiyat'!G88</f>
        <v>0</v>
      </c>
      <c r="H37" s="434">
        <f>H16*'Satış Fiyat'!H88</f>
        <v>0</v>
      </c>
      <c r="I37" s="434">
        <f>I16*'Satış Fiyat'!I88</f>
        <v>0</v>
      </c>
      <c r="J37" s="434">
        <f>J16*'Satış Fiyat'!J88</f>
        <v>0</v>
      </c>
      <c r="K37" s="434">
        <f>K16*'Satış Fiyat'!K88</f>
        <v>0</v>
      </c>
      <c r="L37" s="434">
        <f>L16*'Satış Fiyat'!L88</f>
        <v>0</v>
      </c>
      <c r="M37" s="434">
        <f>M16*'Satış Fiyat'!M88</f>
        <v>0</v>
      </c>
      <c r="N37" s="434">
        <f>N16*'Satış Fiyat'!N88</f>
        <v>0</v>
      </c>
      <c r="O37" s="435">
        <f>O16*'Satış Fiyat'!O88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Fiyat'!D90</f>
        <v>0</v>
      </c>
      <c r="E39" s="426">
        <f>E18*'Satış Fiyat'!E90</f>
        <v>0</v>
      </c>
      <c r="F39" s="426">
        <f>F18*'Satış Fiyat'!F90</f>
        <v>0</v>
      </c>
      <c r="G39" s="426">
        <f>G18*'Satış Fiyat'!G90</f>
        <v>0</v>
      </c>
      <c r="H39" s="426">
        <f>H18*'Satış Fiyat'!H90</f>
        <v>0</v>
      </c>
      <c r="I39" s="426">
        <f>I18*'Satış Fiyat'!I90</f>
        <v>0</v>
      </c>
      <c r="J39" s="426">
        <f>J18*'Satış Fiyat'!J90</f>
        <v>0</v>
      </c>
      <c r="K39" s="426">
        <f>K18*'Satış Fiyat'!K90</f>
        <v>0</v>
      </c>
      <c r="L39" s="426">
        <f>L18*'Satış Fiyat'!L90</f>
        <v>0</v>
      </c>
      <c r="M39" s="426">
        <f>M18*'Satış Fiyat'!M90</f>
        <v>0</v>
      </c>
      <c r="N39" s="426">
        <f>N18*'Satış Fiyat'!N90</f>
        <v>0</v>
      </c>
      <c r="O39" s="427">
        <f>O18*'Satış Fiyat'!O90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Fiyat'!D91</f>
        <v>0</v>
      </c>
      <c r="E40" s="442">
        <f>E19*'Satış Fiyat'!E91</f>
        <v>0</v>
      </c>
      <c r="F40" s="442">
        <f>F19*'Satış Fiyat'!F91</f>
        <v>0</v>
      </c>
      <c r="G40" s="442">
        <f>G19*'Satış Fiyat'!G91</f>
        <v>0</v>
      </c>
      <c r="H40" s="442">
        <f>H19*'Satış Fiyat'!H91</f>
        <v>0</v>
      </c>
      <c r="I40" s="442">
        <f>I19*'Satış Fiyat'!I91</f>
        <v>0</v>
      </c>
      <c r="J40" s="442">
        <f>J19*'Satış Fiyat'!J91</f>
        <v>0</v>
      </c>
      <c r="K40" s="442">
        <f>K19*'Satış Fiyat'!K91</f>
        <v>0</v>
      </c>
      <c r="L40" s="442">
        <f>L19*'Satış Fiyat'!L91</f>
        <v>0</v>
      </c>
      <c r="M40" s="442">
        <f>M19*'Satış Fiyat'!M91</f>
        <v>0</v>
      </c>
      <c r="N40" s="442">
        <f>N19*'Satış Fiyat'!N91</f>
        <v>0</v>
      </c>
      <c r="O40" s="443">
        <f>O19*'Satış Fiyat'!O91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Fiyat'!D93</f>
        <v>0</v>
      </c>
      <c r="E42" s="366">
        <f>E21*'Satış Fiyat'!E93</f>
        <v>0</v>
      </c>
      <c r="F42" s="366">
        <f>F21*'Satış Fiyat'!F93</f>
        <v>0</v>
      </c>
      <c r="G42" s="366">
        <f>G21*'Satış Fiyat'!G93</f>
        <v>0</v>
      </c>
      <c r="H42" s="366">
        <f>H21*'Satış Fiyat'!H93</f>
        <v>0</v>
      </c>
      <c r="I42" s="366">
        <f>I21*'Satış Fiyat'!I93</f>
        <v>0</v>
      </c>
      <c r="J42" s="366">
        <f>J21*'Satış Fiyat'!J93</f>
        <v>0</v>
      </c>
      <c r="K42" s="366">
        <f>K21*'Satış Fiyat'!K93</f>
        <v>0</v>
      </c>
      <c r="L42" s="366">
        <f>L21*'Satış Fiyat'!L93</f>
        <v>0</v>
      </c>
      <c r="M42" s="366">
        <f>M21*'Satış Fiyat'!M93</f>
        <v>0</v>
      </c>
      <c r="N42" s="366">
        <f>N21*'Satış Fiyat'!N93</f>
        <v>0</v>
      </c>
      <c r="O42" s="448">
        <f>O21*'Satış Fiyat'!O93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711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1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0.02</v>
      </c>
      <c r="T53" s="461">
        <v>0.02</v>
      </c>
      <c r="U53" s="461">
        <v>0.02</v>
      </c>
      <c r="V53" s="461">
        <v>0.02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0.02</v>
      </c>
      <c r="T54" s="461">
        <v>0.02</v>
      </c>
      <c r="U54" s="461">
        <v>0.02</v>
      </c>
      <c r="V54" s="461">
        <v>0.02</v>
      </c>
    </row>
    <row r="55" spans="1:22" ht="16.5" customHeight="1">
      <c r="A55" s="400" t="s">
        <v>83</v>
      </c>
      <c r="B55" s="408"/>
      <c r="C55" s="409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0.02</v>
      </c>
      <c r="T55" s="461">
        <v>0.02</v>
      </c>
      <c r="U55" s="461">
        <v>0.02</v>
      </c>
      <c r="V55" s="461">
        <v>0.02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363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706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369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707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370">
        <f>B95/9*12</f>
        <v>0</v>
      </c>
      <c r="D95" s="371">
        <f>D5*'Alış Fiyat'!D77</f>
        <v>0</v>
      </c>
      <c r="E95" s="372">
        <f>E5*'Alış Fiyat'!E77</f>
        <v>0</v>
      </c>
      <c r="F95" s="372">
        <f>F5*'Alış Fiyat'!F77</f>
        <v>0</v>
      </c>
      <c r="G95" s="372">
        <f>G5*'Alış Fiyat'!G77</f>
        <v>0</v>
      </c>
      <c r="H95" s="373">
        <f>H5*'Alış Fiyat'!H77</f>
        <v>0</v>
      </c>
      <c r="I95" s="373">
        <f>I5*'Alış Fiyat'!I77</f>
        <v>0</v>
      </c>
      <c r="J95" s="373">
        <f>J5*'Alış Fiyat'!J77</f>
        <v>0</v>
      </c>
      <c r="K95" s="373">
        <f>K5*'Alış Fiyat'!K77</f>
        <v>0</v>
      </c>
      <c r="L95" s="373">
        <f>L5*'Alış Fiyat'!L77</f>
        <v>0</v>
      </c>
      <c r="M95" s="373">
        <f>M5*'Alış Fiyat'!M77</f>
        <v>0</v>
      </c>
      <c r="N95" s="373">
        <f>N5*'Alış Fiyat'!N77</f>
        <v>0</v>
      </c>
      <c r="O95" s="374">
        <f>O5*'Alış Fiyat'!O77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Fiyat'!D78</f>
        <v>0</v>
      </c>
      <c r="E96" s="381">
        <f>E6*'Alış Fiyat'!E78</f>
        <v>0</v>
      </c>
      <c r="F96" s="381">
        <f>F6*'Alış Fiyat'!F78</f>
        <v>0</v>
      </c>
      <c r="G96" s="381">
        <f>G6*'Alış Fiyat'!G78</f>
        <v>0</v>
      </c>
      <c r="H96" s="382">
        <f>H6*'Alış Fiyat'!H78</f>
        <v>0</v>
      </c>
      <c r="I96" s="382">
        <f>I6*'Alış Fiyat'!I78</f>
        <v>0</v>
      </c>
      <c r="J96" s="382">
        <f>J6*'Alış Fiyat'!J78</f>
        <v>0</v>
      </c>
      <c r="K96" s="382">
        <f>K6*'Alış Fiyat'!K78</f>
        <v>0</v>
      </c>
      <c r="L96" s="382">
        <f>L6*'Alış Fiyat'!L78</f>
        <v>0</v>
      </c>
      <c r="M96" s="382">
        <f>M6*'Alış Fiyat'!M78</f>
        <v>0</v>
      </c>
      <c r="N96" s="382">
        <f>N6*'Alış Fiyat'!N78</f>
        <v>0</v>
      </c>
      <c r="O96" s="383">
        <f>O6*'Alış Fiyat'!O78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Fiyat'!D80</f>
        <v>0</v>
      </c>
      <c r="E98" s="397">
        <f>E8*'Alış Fiyat'!E80</f>
        <v>0</v>
      </c>
      <c r="F98" s="397">
        <f>F8*'Alış Fiyat'!F80</f>
        <v>0</v>
      </c>
      <c r="G98" s="397">
        <f>G8*'Alış Fiyat'!G80</f>
        <v>0</v>
      </c>
      <c r="H98" s="397">
        <f>H8*'Alış Fiyat'!H80</f>
        <v>0</v>
      </c>
      <c r="I98" s="397">
        <f>I8*'Alış Fiyat'!I80</f>
        <v>0</v>
      </c>
      <c r="J98" s="397">
        <f>J8*'Alış Fiyat'!J80</f>
        <v>0</v>
      </c>
      <c r="K98" s="397">
        <f>K8*'Alış Fiyat'!K80</f>
        <v>0</v>
      </c>
      <c r="L98" s="397">
        <f>L8*'Alış Fiyat'!L80</f>
        <v>0</v>
      </c>
      <c r="M98" s="397">
        <f>M8*'Alış Fiyat'!M80</f>
        <v>0</v>
      </c>
      <c r="N98" s="397">
        <f>N8*'Alış Fiyat'!N80</f>
        <v>0</v>
      </c>
      <c r="O98" s="398">
        <f>O8*'Alış Fiyat'!O80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1">
        <f>B99/9*12</f>
        <v>0</v>
      </c>
      <c r="D99" s="1563">
        <f>D9*'Alış Fiyat'!D81</f>
        <v>0</v>
      </c>
      <c r="E99" s="1560">
        <f>E9*'Alış Fiyat'!E81</f>
        <v>0</v>
      </c>
      <c r="F99" s="1560">
        <f>F9*'Alış Fiyat'!F81</f>
        <v>0</v>
      </c>
      <c r="G99" s="1560">
        <f>G9*'Alış Fiyat'!G81</f>
        <v>0</v>
      </c>
      <c r="H99" s="1560">
        <f>H9*'Alış Fiyat'!H81</f>
        <v>0</v>
      </c>
      <c r="I99" s="1560">
        <f>I9*'Alış Fiyat'!I81</f>
        <v>0</v>
      </c>
      <c r="J99" s="1560">
        <f>J9*'Alış Fiyat'!J81</f>
        <v>0</v>
      </c>
      <c r="K99" s="1560">
        <f>K9*'Alış Fiyat'!K81</f>
        <v>0</v>
      </c>
      <c r="L99" s="1560">
        <f>L9*'Alış Fiyat'!L81</f>
        <v>0</v>
      </c>
      <c r="M99" s="1560">
        <f>M9*'Alış Fiyat'!M81</f>
        <v>0</v>
      </c>
      <c r="N99" s="1560">
        <f>N9*'Alış Fiyat'!N81</f>
        <v>0</v>
      </c>
      <c r="O99" s="387">
        <f>O9*'Alış Fiyat'!O81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Fiyat'!D82</f>
        <v>0</v>
      </c>
      <c r="E100" s="397">
        <f>E10*'Alış Fiyat'!E82</f>
        <v>0</v>
      </c>
      <c r="F100" s="397">
        <f>F10*'Alış Fiyat'!F82</f>
        <v>0</v>
      </c>
      <c r="G100" s="397">
        <f>G10*'Alış Fiyat'!G82</f>
        <v>0</v>
      </c>
      <c r="H100" s="397">
        <f>H10*'Alış Fiyat'!H82</f>
        <v>0</v>
      </c>
      <c r="I100" s="397">
        <f>I10*'Alış Fiyat'!I82</f>
        <v>0</v>
      </c>
      <c r="J100" s="397">
        <f>J10*'Alış Fiyat'!J82</f>
        <v>0</v>
      </c>
      <c r="K100" s="397">
        <f>K10*'Alış Fiyat'!K82</f>
        <v>0</v>
      </c>
      <c r="L100" s="397">
        <f>L10*'Alış Fiyat'!L82</f>
        <v>0</v>
      </c>
      <c r="M100" s="397">
        <f>M10*'Alış Fiyat'!M82</f>
        <v>0</v>
      </c>
      <c r="N100" s="397">
        <f>N10*'Alış Fiyat'!N82</f>
        <v>0</v>
      </c>
      <c r="O100" s="398">
        <f>O10*'Alış Fiyat'!O82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9"/>
      <c r="D101" s="402">
        <f>D11*'Alış Fiyat'!D83</f>
        <v>0</v>
      </c>
      <c r="E101" s="403">
        <f>E11*'Alış Fiyat'!E83</f>
        <v>0</v>
      </c>
      <c r="F101" s="403">
        <f>F11*'Alış Fiyat'!F83</f>
        <v>0</v>
      </c>
      <c r="G101" s="403">
        <f>G11*'Alış Fiyat'!G83</f>
        <v>0</v>
      </c>
      <c r="H101" s="403">
        <f>H11*'Alış Fiyat'!H83</f>
        <v>0</v>
      </c>
      <c r="I101" s="403">
        <f>I11*'Alış Fiyat'!I83</f>
        <v>0</v>
      </c>
      <c r="J101" s="403">
        <f>J11*'Alış Fiyat'!J83</f>
        <v>0</v>
      </c>
      <c r="K101" s="403">
        <f>K11*'Alış Fiyat'!K83</f>
        <v>0</v>
      </c>
      <c r="L101" s="403">
        <f>L11*'Alış Fiyat'!L83</f>
        <v>0</v>
      </c>
      <c r="M101" s="403">
        <f>M11*'Alış Fiyat'!M83</f>
        <v>0</v>
      </c>
      <c r="N101" s="403">
        <f>N11*'Alış Fiyat'!N83</f>
        <v>0</v>
      </c>
      <c r="O101" s="404">
        <f>O11*'Alış Fiyat'!O83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Fiyat'!D84</f>
        <v>0</v>
      </c>
      <c r="E102" s="382">
        <f>E12*'Alış Fiyat'!E84</f>
        <v>0</v>
      </c>
      <c r="F102" s="382">
        <f>F12*'Alış Fiyat'!F84</f>
        <v>0</v>
      </c>
      <c r="G102" s="382">
        <f>G12*'Alış Fiyat'!G84</f>
        <v>0</v>
      </c>
      <c r="H102" s="382">
        <f>H12*'Alış Fiyat'!H84</f>
        <v>0</v>
      </c>
      <c r="I102" s="381">
        <f>I12*'Alış Fiyat'!I84</f>
        <v>0</v>
      </c>
      <c r="J102" s="381">
        <f>J12*'Alış Fiyat'!J84</f>
        <v>0</v>
      </c>
      <c r="K102" s="382">
        <f>K12*'Alış Fiyat'!K84</f>
        <v>0</v>
      </c>
      <c r="L102" s="382">
        <f>L12*'Alış Fiyat'!L84</f>
        <v>0</v>
      </c>
      <c r="M102" s="382">
        <f>M12*'Alış Fiyat'!M84</f>
        <v>0</v>
      </c>
      <c r="N102" s="382">
        <f>N12*'Alış Fiyat'!N84</f>
        <v>0</v>
      </c>
      <c r="O102" s="383">
        <f>O12*'Alış Fiyat'!O84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Fiyat'!D87</f>
        <v>0</v>
      </c>
      <c r="E105" s="426">
        <f>E15*'Alış Fiyat'!E87</f>
        <v>0</v>
      </c>
      <c r="F105" s="426">
        <f>F15*'Alış Fiyat'!F87</f>
        <v>0</v>
      </c>
      <c r="G105" s="426">
        <f>G15*'Alış Fiyat'!G87</f>
        <v>0</v>
      </c>
      <c r="H105" s="426">
        <f>H15*'Alış Fiyat'!H87</f>
        <v>0</v>
      </c>
      <c r="I105" s="426">
        <f>I15*'Alış Fiyat'!I87</f>
        <v>0</v>
      </c>
      <c r="J105" s="426">
        <f>J15*'Alış Fiyat'!J87</f>
        <v>0</v>
      </c>
      <c r="K105" s="426">
        <f>K15*'Alış Fiyat'!K87</f>
        <v>0</v>
      </c>
      <c r="L105" s="426">
        <f>L15*'Alış Fiyat'!L87</f>
        <v>0</v>
      </c>
      <c r="M105" s="426">
        <f>M15*'Alış Fiyat'!M87</f>
        <v>0</v>
      </c>
      <c r="N105" s="426">
        <f>N15*'Alış Fiyat'!N87</f>
        <v>0</v>
      </c>
      <c r="O105" s="427">
        <f>O15*'Alış Fiyat'!O87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Fiyat'!D88</f>
        <v>0</v>
      </c>
      <c r="E106" s="434">
        <f>E16*'Alış Fiyat'!E88</f>
        <v>0</v>
      </c>
      <c r="F106" s="434">
        <f>F16*'Alış Fiyat'!F88</f>
        <v>0</v>
      </c>
      <c r="G106" s="434">
        <f>G16*'Alış Fiyat'!G88</f>
        <v>0</v>
      </c>
      <c r="H106" s="434">
        <f>H16*'Alış Fiyat'!H88</f>
        <v>0</v>
      </c>
      <c r="I106" s="434">
        <f>I16*'Alış Fiyat'!I88</f>
        <v>0</v>
      </c>
      <c r="J106" s="434">
        <f>J16*'Alış Fiyat'!J88</f>
        <v>0</v>
      </c>
      <c r="K106" s="434">
        <f>K16*'Alış Fiyat'!K88</f>
        <v>0</v>
      </c>
      <c r="L106" s="434">
        <f>L16*'Alış Fiyat'!L88</f>
        <v>0</v>
      </c>
      <c r="M106" s="434">
        <f>M16*'Alış Fiyat'!M88</f>
        <v>0</v>
      </c>
      <c r="N106" s="434">
        <f>N16*'Alış Fiyat'!N88</f>
        <v>0</v>
      </c>
      <c r="O106" s="435">
        <f>O16*'Alış Fiyat'!O88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Fiyat'!D90</f>
        <v>0</v>
      </c>
      <c r="E108" s="426">
        <f>E18*'Alış Fiyat'!E90</f>
        <v>0</v>
      </c>
      <c r="F108" s="426">
        <f>F18*'Alış Fiyat'!F90</f>
        <v>0</v>
      </c>
      <c r="G108" s="426">
        <f>G18*'Alış Fiyat'!G90</f>
        <v>0</v>
      </c>
      <c r="H108" s="426">
        <f>H18*'Alış Fiyat'!H90</f>
        <v>0</v>
      </c>
      <c r="I108" s="426">
        <f>I18*'Alış Fiyat'!I90</f>
        <v>0</v>
      </c>
      <c r="J108" s="426">
        <f>J18*'Alış Fiyat'!J90</f>
        <v>0</v>
      </c>
      <c r="K108" s="426">
        <f>K18*'Alış Fiyat'!K90</f>
        <v>0</v>
      </c>
      <c r="L108" s="426">
        <f>L18*'Alış Fiyat'!L90</f>
        <v>0</v>
      </c>
      <c r="M108" s="426">
        <f>M18*'Alış Fiyat'!M90</f>
        <v>0</v>
      </c>
      <c r="N108" s="426">
        <f>N18*'Alış Fiyat'!N90</f>
        <v>0</v>
      </c>
      <c r="O108" s="427">
        <f>O18*'Alış Fiyat'!O90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Fiyat'!D91</f>
        <v>0</v>
      </c>
      <c r="E109" s="442">
        <f>E19*'Alış Fiyat'!E91</f>
        <v>0</v>
      </c>
      <c r="F109" s="442">
        <f>F19*'Alış Fiyat'!F91</f>
        <v>0</v>
      </c>
      <c r="G109" s="442">
        <f>G19*'Alış Fiyat'!G91</f>
        <v>0</v>
      </c>
      <c r="H109" s="442">
        <f>H19*'Alış Fiyat'!H91</f>
        <v>0</v>
      </c>
      <c r="I109" s="442">
        <f>I19*'Alış Fiyat'!I91</f>
        <v>0</v>
      </c>
      <c r="J109" s="442">
        <f>J19*'Alış Fiyat'!J91</f>
        <v>0</v>
      </c>
      <c r="K109" s="442">
        <f>K19*'Alış Fiyat'!K91</f>
        <v>0</v>
      </c>
      <c r="L109" s="442">
        <f>L19*'Alış Fiyat'!L91</f>
        <v>0</v>
      </c>
      <c r="M109" s="442">
        <f>M19*'Alış Fiyat'!M91</f>
        <v>0</v>
      </c>
      <c r="N109" s="442">
        <f>N19*'Alış Fiyat'!N91</f>
        <v>0</v>
      </c>
      <c r="O109" s="443">
        <f>O19*'Alış Fiyat'!O91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Fiyat'!D93</f>
        <v>0</v>
      </c>
      <c r="E111" s="366">
        <f>E21*'Alış Fiyat'!E93</f>
        <v>0</v>
      </c>
      <c r="F111" s="366">
        <f>F21*'Alış Fiyat'!F93</f>
        <v>0</v>
      </c>
      <c r="G111" s="366">
        <f>G21*'Alış Fiyat'!G93</f>
        <v>0</v>
      </c>
      <c r="H111" s="366">
        <f>H21*'Alış Fiyat'!H93</f>
        <v>0</v>
      </c>
      <c r="I111" s="366">
        <f>I21*'Alış Fiyat'!I93</f>
        <v>0</v>
      </c>
      <c r="J111" s="366">
        <f>J21*'Alış Fiyat'!J93</f>
        <v>0</v>
      </c>
      <c r="K111" s="366">
        <f>K21*'Alış Fiyat'!K93</f>
        <v>0</v>
      </c>
      <c r="L111" s="366">
        <f>L21*'Alış Fiyat'!L93</f>
        <v>0</v>
      </c>
      <c r="M111" s="366">
        <f>M21*'Alış Fiyat'!M93</f>
        <v>0</v>
      </c>
      <c r="N111" s="366">
        <f>N21*'Alış Fiyat'!N93</f>
        <v>0</v>
      </c>
      <c r="O111" s="448">
        <f>O21*'Alış Fiyat'!O93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708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709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O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>SUM(P141:P173)</f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ref="P142:P173" si="154">SUM(D142:O142)</f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 t="shared" si="154"/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710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 t="shared" ref="D180:P180" si="161">D90-D179</f>
        <v>0</v>
      </c>
      <c r="E180" s="487">
        <f t="shared" si="161"/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634" t="e">
        <f t="shared" ref="B183:C183" si="166">B182/B180</f>
        <v>#DIV/0!</v>
      </c>
      <c r="C183" s="2243" t="e">
        <f t="shared" si="166"/>
        <v>#DIV/0!</v>
      </c>
      <c r="D183" s="634" t="e">
        <f t="shared" ref="D183:P183" si="167">D182/D180</f>
        <v>#DIV/0!</v>
      </c>
      <c r="E183" s="635" t="e">
        <f t="shared" si="167"/>
        <v>#DIV/0!</v>
      </c>
      <c r="F183" s="635" t="e">
        <f t="shared" si="167"/>
        <v>#DIV/0!</v>
      </c>
      <c r="G183" s="635" t="e">
        <f t="shared" si="167"/>
        <v>#DIV/0!</v>
      </c>
      <c r="H183" s="635" t="e">
        <f t="shared" si="167"/>
        <v>#DIV/0!</v>
      </c>
      <c r="I183" s="635" t="e">
        <f t="shared" si="167"/>
        <v>#DIV/0!</v>
      </c>
      <c r="J183" s="635" t="e">
        <f t="shared" si="167"/>
        <v>#DIV/0!</v>
      </c>
      <c r="K183" s="635" t="e">
        <f t="shared" si="167"/>
        <v>#DIV/0!</v>
      </c>
      <c r="L183" s="635" t="e">
        <f t="shared" si="167"/>
        <v>#DIV/0!</v>
      </c>
      <c r="M183" s="635" t="e">
        <f t="shared" si="167"/>
        <v>#DIV/0!</v>
      </c>
      <c r="N183" s="635" t="e">
        <f t="shared" si="167"/>
        <v>#DIV/0!</v>
      </c>
      <c r="O183" s="636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4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V187"/>
  <sheetViews>
    <sheetView zoomScale="85" zoomScaleNormal="85" workbookViewId="0">
      <selection activeCell="C113" sqref="C113"/>
    </sheetView>
  </sheetViews>
  <sheetFormatPr defaultColWidth="9.109375" defaultRowHeight="14.4"/>
  <cols>
    <col min="1" max="1" width="31.88671875" style="352" customWidth="1"/>
    <col min="2" max="2" width="11.33203125" style="352" customWidth="1"/>
    <col min="3" max="3" width="11.88671875" style="352" customWidth="1"/>
    <col min="4" max="4" width="13.332031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705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M3'!C89/1000</f>
        <v>0</v>
      </c>
      <c r="E5" s="372">
        <f>+'SAHA AYLIK ÜRÜN M3'!D89/1000</f>
        <v>0</v>
      </c>
      <c r="F5" s="372">
        <f>+'SAHA AYLIK ÜRÜN M3'!E89/1000</f>
        <v>0</v>
      </c>
      <c r="G5" s="372">
        <f>+'SAHA AYLIK ÜRÜN M3'!F89/1000</f>
        <v>0</v>
      </c>
      <c r="H5" s="373">
        <f>+'SAHA AYLIK ÜRÜN M3'!G89/1000</f>
        <v>0</v>
      </c>
      <c r="I5" s="373">
        <f>+'SAHA AYLIK ÜRÜN M3'!H89/1000</f>
        <v>0</v>
      </c>
      <c r="J5" s="373">
        <f>+'SAHA AYLIK ÜRÜN M3'!I89/1000</f>
        <v>0</v>
      </c>
      <c r="K5" s="373">
        <f>+'SAHA AYLIK ÜRÜN M3'!J89/1000</f>
        <v>0</v>
      </c>
      <c r="L5" s="373">
        <f>+'SAHA AYLIK ÜRÜN M3'!K89/1000</f>
        <v>0</v>
      </c>
      <c r="M5" s="373">
        <f>+'SAHA AYLIK ÜRÜN M3'!L89/1000</f>
        <v>0</v>
      </c>
      <c r="N5" s="373">
        <f>+'SAHA AYLIK ÜRÜN M3'!M89/1000</f>
        <v>0</v>
      </c>
      <c r="O5" s="374">
        <f>+'SAHA AYLIK ÜRÜN M3'!N89/1000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/>
      <c r="C8" s="1459">
        <v>0</v>
      </c>
      <c r="D8" s="396">
        <f>+'SAHA AYLIK ÜRÜN M3'!C90/1000</f>
        <v>0</v>
      </c>
      <c r="E8" s="397">
        <f>+'SAHA AYLIK ÜRÜN M3'!D90/1000</f>
        <v>0</v>
      </c>
      <c r="F8" s="397">
        <f>+'SAHA AYLIK ÜRÜN M3'!E90/1000</f>
        <v>0</v>
      </c>
      <c r="G8" s="397">
        <f>+'SAHA AYLIK ÜRÜN M3'!F90/1000</f>
        <v>0</v>
      </c>
      <c r="H8" s="397">
        <f>+'SAHA AYLIK ÜRÜN M3'!G90/1000</f>
        <v>0</v>
      </c>
      <c r="I8" s="397">
        <f>+'SAHA AYLIK ÜRÜN M3'!H90/1000</f>
        <v>0</v>
      </c>
      <c r="J8" s="397">
        <f>+'SAHA AYLIK ÜRÜN M3'!I90/1000</f>
        <v>0</v>
      </c>
      <c r="K8" s="397">
        <f>+'SAHA AYLIK ÜRÜN M3'!J90/1000</f>
        <v>0</v>
      </c>
      <c r="L8" s="397">
        <f>+'SAHA AYLIK ÜRÜN M3'!K90/1000</f>
        <v>0</v>
      </c>
      <c r="M8" s="397">
        <f>+'SAHA AYLIK ÜRÜN M3'!L90/1000</f>
        <v>0</v>
      </c>
      <c r="N8" s="397">
        <f>+'SAHA AYLIK ÜRÜN M3'!M90/1000</f>
        <v>0</v>
      </c>
      <c r="O8" s="398">
        <f>+'SAHA AYLIK ÜRÜN M3'!N90/1000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M3'!C87/1000</f>
        <v>0</v>
      </c>
      <c r="E9" s="403">
        <f>+'SAHA AYLIK ÜRÜN M3'!D87/1000</f>
        <v>0</v>
      </c>
      <c r="F9" s="403">
        <f>+'SAHA AYLIK ÜRÜN M3'!E87/1000</f>
        <v>0</v>
      </c>
      <c r="G9" s="403">
        <f>+'SAHA AYLIK ÜRÜN M3'!F87/1000</f>
        <v>0</v>
      </c>
      <c r="H9" s="403">
        <f>+'SAHA AYLIK ÜRÜN M3'!G87/1000</f>
        <v>0</v>
      </c>
      <c r="I9" s="403">
        <f>+'SAHA AYLIK ÜRÜN M3'!H87/1000</f>
        <v>0</v>
      </c>
      <c r="J9" s="403">
        <f>+'SAHA AYLIK ÜRÜN M3'!I87/1000</f>
        <v>0</v>
      </c>
      <c r="K9" s="403">
        <f>+'SAHA AYLIK ÜRÜN M3'!J87/1000</f>
        <v>0</v>
      </c>
      <c r="L9" s="403">
        <f>+'SAHA AYLIK ÜRÜN M3'!K87/1000</f>
        <v>0</v>
      </c>
      <c r="M9" s="403">
        <f>+'SAHA AYLIK ÜRÜN M3'!L87/1000</f>
        <v>0</v>
      </c>
      <c r="N9" s="403">
        <f>+'SAHA AYLIK ÜRÜN M3'!M87/1000</f>
        <v>0</v>
      </c>
      <c r="O9" s="404">
        <f>+'SAHA AYLIK ÜRÜN M3'!N87/1000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M3'!C88/1000</f>
        <v>0</v>
      </c>
      <c r="E11" s="403">
        <f>+'SAHA AYLIK ÜRÜN M3'!D88/1000</f>
        <v>0</v>
      </c>
      <c r="F11" s="403">
        <f>+'SAHA AYLIK ÜRÜN M3'!E88/1000</f>
        <v>0</v>
      </c>
      <c r="G11" s="403">
        <f>+'SAHA AYLIK ÜRÜN M3'!F88/1000</f>
        <v>0</v>
      </c>
      <c r="H11" s="403">
        <f>+'SAHA AYLIK ÜRÜN M3'!G88/1000</f>
        <v>0</v>
      </c>
      <c r="I11" s="403">
        <f>+'SAHA AYLIK ÜRÜN M3'!H88/1000</f>
        <v>0</v>
      </c>
      <c r="J11" s="403">
        <f>+'SAHA AYLIK ÜRÜN M3'!I88/1000</f>
        <v>0</v>
      </c>
      <c r="K11" s="403">
        <f>+'SAHA AYLIK ÜRÜN M3'!J88/1000</f>
        <v>0</v>
      </c>
      <c r="L11" s="403">
        <f>+'SAHA AYLIK ÜRÜN M3'!K88/1000</f>
        <v>0</v>
      </c>
      <c r="M11" s="403">
        <f>+'SAHA AYLIK ÜRÜN M3'!L88/1000</f>
        <v>0</v>
      </c>
      <c r="N11" s="403">
        <f>+'SAHA AYLIK ÜRÜN M3'!M88/1000</f>
        <v>0</v>
      </c>
      <c r="O11" s="404">
        <f>+'SAHA AYLIK ÜRÜN M3'!N88/1000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M3'!C91/1000</f>
        <v>0</v>
      </c>
      <c r="E16" s="433">
        <f>+'SAHA AYLIK ÜRÜN M3'!CE15/1000</f>
        <v>0</v>
      </c>
      <c r="F16" s="433">
        <f>+'SAHA AYLIK ÜRÜN M3'!CF15/1000</f>
        <v>0</v>
      </c>
      <c r="G16" s="433">
        <f>+'SAHA AYLIK ÜRÜN M3'!CG15/1000</f>
        <v>0</v>
      </c>
      <c r="H16" s="433">
        <f>+'SAHA AYLIK ÜRÜN M3'!CH15/1000</f>
        <v>0</v>
      </c>
      <c r="I16" s="433">
        <f>+'SAHA AYLIK ÜRÜN M3'!CI15/1000</f>
        <v>0</v>
      </c>
      <c r="J16" s="433">
        <f>+'SAHA AYLIK ÜRÜN M3'!CJ15/1000</f>
        <v>0</v>
      </c>
      <c r="K16" s="433">
        <f>+'SAHA AYLIK ÜRÜN M3'!CK15/1000</f>
        <v>0</v>
      </c>
      <c r="L16" s="433">
        <f>+'SAHA AYLIK ÜRÜN M3'!CL15/1000</f>
        <v>0</v>
      </c>
      <c r="M16" s="433">
        <f>+'SAHA AYLIK ÜRÜN M3'!CM15/1000</f>
        <v>0</v>
      </c>
      <c r="N16" s="433">
        <f>+'SAHA AYLIK ÜRÜN M3'!CN15/1000</f>
        <v>0</v>
      </c>
      <c r="O16" s="433">
        <f>+'SAHA AYLIK ÜRÜN M3'!CO15/1000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895">
        <f>+M.Yağ_Adbulue!E7/1000</f>
        <v>0</v>
      </c>
      <c r="E18" s="895">
        <f>+M.Yağ_Adbulue!F7/1000</f>
        <v>0</v>
      </c>
      <c r="F18" s="895">
        <f>+M.Yağ_Adbulue!G7/1000</f>
        <v>0</v>
      </c>
      <c r="G18" s="895">
        <f>+M.Yağ_Adbulue!H7/1000</f>
        <v>0</v>
      </c>
      <c r="H18" s="895">
        <f>+M.Yağ_Adbulue!I7/1000</f>
        <v>0</v>
      </c>
      <c r="I18" s="895">
        <f>+M.Yağ_Adbulue!J7/1000</f>
        <v>0</v>
      </c>
      <c r="J18" s="895">
        <f>+M.Yağ_Adbulue!K7/1000</f>
        <v>0</v>
      </c>
      <c r="K18" s="895">
        <f>+M.Yağ_Adbulue!L7/1000</f>
        <v>0</v>
      </c>
      <c r="L18" s="895">
        <f>+M.Yağ_Adbulue!M7/1000</f>
        <v>0</v>
      </c>
      <c r="M18" s="895">
        <f>+M.Yağ_Adbulue!N7/1000</f>
        <v>0</v>
      </c>
      <c r="N18" s="895">
        <f>+M.Yağ_Adbulue!O7/1000</f>
        <v>0</v>
      </c>
      <c r="O18" s="895">
        <f>+M.Yağ_Adbulue!P7/1000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898">
        <f>+M.Yağ_Adbulue!E25/1000</f>
        <v>0</v>
      </c>
      <c r="E19" s="899">
        <f>+M.Yağ_Adbulue!F25/1000</f>
        <v>0</v>
      </c>
      <c r="F19" s="899">
        <f>+M.Yağ_Adbulue!G25/1000</f>
        <v>0</v>
      </c>
      <c r="G19" s="899">
        <f>+M.Yağ_Adbulue!H25/1000</f>
        <v>0</v>
      </c>
      <c r="H19" s="899">
        <f>+M.Yağ_Adbulue!I25/1000</f>
        <v>0</v>
      </c>
      <c r="I19" s="899">
        <f>+M.Yağ_Adbulue!J25/1000</f>
        <v>0</v>
      </c>
      <c r="J19" s="899">
        <f>+M.Yağ_Adbulue!K25/1000</f>
        <v>0</v>
      </c>
      <c r="K19" s="899">
        <f>+M.Yağ_Adbulue!L25/1000</f>
        <v>0</v>
      </c>
      <c r="L19" s="899">
        <f>+M.Yağ_Adbulue!M25/1000</f>
        <v>0</v>
      </c>
      <c r="M19" s="899">
        <f>+M.Yağ_Adbulue!N25/1000</f>
        <v>0</v>
      </c>
      <c r="N19" s="899">
        <f>+M.Yağ_Adbulue!O25/1000</f>
        <v>0</v>
      </c>
      <c r="O19" s="900">
        <f>+M.Yağ_Adbulue!P25/1000</f>
        <v>0</v>
      </c>
      <c r="P19" s="444">
        <f>SUM(D19:O19)</f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701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0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370">
        <f>B26/9*12</f>
        <v>0</v>
      </c>
      <c r="D26" s="371">
        <f>D5*'Satış Fiyat'!D317</f>
        <v>0</v>
      </c>
      <c r="E26" s="372">
        <f>E5*'Satış Fiyat'!E317</f>
        <v>0</v>
      </c>
      <c r="F26" s="372">
        <f>F5*'Satış Fiyat'!F317</f>
        <v>0</v>
      </c>
      <c r="G26" s="372">
        <f>G5*'Satış Fiyat'!G317</f>
        <v>0</v>
      </c>
      <c r="H26" s="373">
        <f>H5*'Satış Fiyat'!H317</f>
        <v>0</v>
      </c>
      <c r="I26" s="373">
        <f>I5*'Satış Fiyat'!I317</f>
        <v>0</v>
      </c>
      <c r="J26" s="373">
        <f>J5*'Satış Fiyat'!J317</f>
        <v>0</v>
      </c>
      <c r="K26" s="373">
        <f>K5*'Satış Fiyat'!K317</f>
        <v>0</v>
      </c>
      <c r="L26" s="373">
        <f>L5*'Satış Fiyat'!L317</f>
        <v>0</v>
      </c>
      <c r="M26" s="373">
        <f>M5*'Satış Fiyat'!M317</f>
        <v>0</v>
      </c>
      <c r="N26" s="373">
        <f>N5*'Satış Fiyat'!N317</f>
        <v>0</v>
      </c>
      <c r="O26" s="374">
        <f>O5*'Satış Fiyat'!O317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Fiyat'!D318</f>
        <v>0</v>
      </c>
      <c r="E27" s="381">
        <f>E6*'Satış Fiyat'!E318</f>
        <v>0</v>
      </c>
      <c r="F27" s="381">
        <f>F6*'Satış Fiyat'!F318</f>
        <v>0</v>
      </c>
      <c r="G27" s="381">
        <f>G6*'Satış Fiyat'!G318</f>
        <v>0</v>
      </c>
      <c r="H27" s="382">
        <f>H6*'Satış Fiyat'!H318</f>
        <v>0</v>
      </c>
      <c r="I27" s="382">
        <f>I6*'Satış Fiyat'!I318</f>
        <v>0</v>
      </c>
      <c r="J27" s="382">
        <f>J6*'Satış Fiyat'!J318</f>
        <v>0</v>
      </c>
      <c r="K27" s="382">
        <f>K6*'Satış Fiyat'!K318</f>
        <v>0</v>
      </c>
      <c r="L27" s="382">
        <f>L6*'Satış Fiyat'!L318</f>
        <v>0</v>
      </c>
      <c r="M27" s="382">
        <f>M6*'Satış Fiyat'!M318</f>
        <v>0</v>
      </c>
      <c r="N27" s="382">
        <f>N6*'Satış Fiyat'!N318</f>
        <v>0</v>
      </c>
      <c r="O27" s="383">
        <f>O6*'Satış Fiyat'!O318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Fiyat'!D320</f>
        <v>0</v>
      </c>
      <c r="E29" s="397">
        <f>E8*'Satış Fiyat'!E320</f>
        <v>0</v>
      </c>
      <c r="F29" s="397">
        <f>F8*'Satış Fiyat'!F320</f>
        <v>0</v>
      </c>
      <c r="G29" s="397">
        <f>G8*'Satış Fiyat'!G320</f>
        <v>0</v>
      </c>
      <c r="H29" s="397">
        <f>H8*'Satış Fiyat'!H320</f>
        <v>0</v>
      </c>
      <c r="I29" s="397">
        <f>I8*'Satış Fiyat'!I320</f>
        <v>0</v>
      </c>
      <c r="J29" s="397">
        <f>J8*'Satış Fiyat'!J320</f>
        <v>0</v>
      </c>
      <c r="K29" s="397">
        <f>K8*'Satış Fiyat'!K320</f>
        <v>0</v>
      </c>
      <c r="L29" s="397">
        <f>L8*'Satış Fiyat'!L320</f>
        <v>0</v>
      </c>
      <c r="M29" s="397">
        <f>M8*'Satış Fiyat'!M320</f>
        <v>0</v>
      </c>
      <c r="N29" s="397">
        <f>N8*'Satış Fiyat'!N320</f>
        <v>0</v>
      </c>
      <c r="O29" s="398">
        <f>O8*'Satış Fiyat'!O320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1">
        <f>B30/9*12</f>
        <v>0</v>
      </c>
      <c r="D30" s="388">
        <f>D9*'Satış Fiyat'!D321</f>
        <v>0</v>
      </c>
      <c r="E30" s="389">
        <f>E9*'Satış Fiyat'!E321</f>
        <v>0</v>
      </c>
      <c r="F30" s="389">
        <f>F9*'Satış Fiyat'!F321</f>
        <v>0</v>
      </c>
      <c r="G30" s="389">
        <f>G9*'Satış Fiyat'!G321</f>
        <v>0</v>
      </c>
      <c r="H30" s="389">
        <f>H9*'Satış Fiyat'!H321</f>
        <v>0</v>
      </c>
      <c r="I30" s="389">
        <f>I9*'Satış Fiyat'!I321</f>
        <v>0</v>
      </c>
      <c r="J30" s="389">
        <f>J9*'Satış Fiyat'!J321</f>
        <v>0</v>
      </c>
      <c r="K30" s="389">
        <f>K9*'Satış Fiyat'!K321</f>
        <v>0</v>
      </c>
      <c r="L30" s="389">
        <f>L9*'Satış Fiyat'!L321</f>
        <v>0</v>
      </c>
      <c r="M30" s="389">
        <f>M9*'Satış Fiyat'!M321</f>
        <v>0</v>
      </c>
      <c r="N30" s="389">
        <f>N9*'Satış Fiyat'!N321</f>
        <v>0</v>
      </c>
      <c r="O30" s="390">
        <f>O9*'Satış Fiyat'!O321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Fiyat'!D322</f>
        <v>0</v>
      </c>
      <c r="E31" s="397">
        <f>E10*'Satış Fiyat'!E322</f>
        <v>0</v>
      </c>
      <c r="F31" s="397">
        <f>F10*'Satış Fiyat'!F322</f>
        <v>0</v>
      </c>
      <c r="G31" s="397">
        <f>G10*'Satış Fiyat'!G322</f>
        <v>0</v>
      </c>
      <c r="H31" s="397">
        <f>H10*'Satış Fiyat'!H322</f>
        <v>0</v>
      </c>
      <c r="I31" s="397">
        <f>I10*'Satış Fiyat'!I322</f>
        <v>0</v>
      </c>
      <c r="J31" s="397">
        <f>J10*'Satış Fiyat'!J322</f>
        <v>0</v>
      </c>
      <c r="K31" s="397">
        <f>K10*'Satış Fiyat'!K322</f>
        <v>0</v>
      </c>
      <c r="L31" s="397">
        <f>L10*'Satış Fiyat'!L322</f>
        <v>0</v>
      </c>
      <c r="M31" s="397">
        <f>M10*'Satış Fiyat'!M322</f>
        <v>0</v>
      </c>
      <c r="N31" s="397">
        <f>N10*'Satış Fiyat'!N322</f>
        <v>0</v>
      </c>
      <c r="O31" s="398">
        <f>O10*'Satış Fiyat'!O322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9"/>
      <c r="D32" s="402">
        <f>D11*'Satış Fiyat'!D323</f>
        <v>0</v>
      </c>
      <c r="E32" s="403">
        <f>E11*'Satış Fiyat'!E323</f>
        <v>0</v>
      </c>
      <c r="F32" s="389">
        <f>F11*'Satış Fiyat'!F323</f>
        <v>0</v>
      </c>
      <c r="G32" s="403">
        <f>G11*'Satış Fiyat'!G323</f>
        <v>0</v>
      </c>
      <c r="H32" s="403">
        <f>H11*'Satış Fiyat'!H323</f>
        <v>0</v>
      </c>
      <c r="I32" s="403">
        <f>I11*'Satış Fiyat'!I323</f>
        <v>0</v>
      </c>
      <c r="J32" s="403">
        <f>J11*'Satış Fiyat'!J323</f>
        <v>0</v>
      </c>
      <c r="K32" s="403">
        <f>K11*'Satış Fiyat'!K323</f>
        <v>0</v>
      </c>
      <c r="L32" s="403">
        <f>L11*'Satış Fiyat'!L323</f>
        <v>0</v>
      </c>
      <c r="M32" s="403">
        <f>M11*'Satış Fiyat'!M323</f>
        <v>0</v>
      </c>
      <c r="N32" s="403">
        <f>N11*'Satış Fiyat'!N323</f>
        <v>0</v>
      </c>
      <c r="O32" s="404">
        <f>O11*'Satış Fiyat'!O323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Fiyat'!D324</f>
        <v>0</v>
      </c>
      <c r="E33" s="382">
        <f>E12*'Satış Fiyat'!E324</f>
        <v>0</v>
      </c>
      <c r="F33" s="382">
        <f>F12*'Satış Fiyat'!F324</f>
        <v>0</v>
      </c>
      <c r="G33" s="382">
        <f>G12*'Satış Fiyat'!G324</f>
        <v>0</v>
      </c>
      <c r="H33" s="382">
        <f>H12*'Satış Fiyat'!H324</f>
        <v>0</v>
      </c>
      <c r="I33" s="381">
        <f>I12*'Satış Fiyat'!I324</f>
        <v>0</v>
      </c>
      <c r="J33" s="381">
        <f>J12*'Satış Fiyat'!J324</f>
        <v>0</v>
      </c>
      <c r="K33" s="382">
        <f>K12*'Satış Fiyat'!K324</f>
        <v>0</v>
      </c>
      <c r="L33" s="382">
        <f>L12*'Satış Fiyat'!L324</f>
        <v>0</v>
      </c>
      <c r="M33" s="382">
        <f>M12*'Satış Fiyat'!M324</f>
        <v>0</v>
      </c>
      <c r="N33" s="382">
        <f>N12*'Satış Fiyat'!N324</f>
        <v>0</v>
      </c>
      <c r="O33" s="383">
        <f>O12*'Satış Fiyat'!O324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Fiyat'!D327</f>
        <v>0</v>
      </c>
      <c r="E36" s="426">
        <f>E15*'Satış Fiyat'!E327</f>
        <v>0</v>
      </c>
      <c r="F36" s="426">
        <f>F15*'Satış Fiyat'!F327</f>
        <v>0</v>
      </c>
      <c r="G36" s="426">
        <f>G15*'Satış Fiyat'!G327</f>
        <v>0</v>
      </c>
      <c r="H36" s="426">
        <f>H15*'Satış Fiyat'!H327</f>
        <v>0</v>
      </c>
      <c r="I36" s="426">
        <f>I15*'Satış Fiyat'!I327</f>
        <v>0</v>
      </c>
      <c r="J36" s="426">
        <f>J15*'Satış Fiyat'!J327</f>
        <v>0</v>
      </c>
      <c r="K36" s="426">
        <f>K15*'Satış Fiyat'!K327</f>
        <v>0</v>
      </c>
      <c r="L36" s="426">
        <f>L15*'Satış Fiyat'!L327</f>
        <v>0</v>
      </c>
      <c r="M36" s="426">
        <f>M15*'Satış Fiyat'!M327</f>
        <v>0</v>
      </c>
      <c r="N36" s="426">
        <f>N15*'Satış Fiyat'!N327</f>
        <v>0</v>
      </c>
      <c r="O36" s="427">
        <f>O15*'Satış Fiyat'!O327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Fiyat'!D328</f>
        <v>0</v>
      </c>
      <c r="E37" s="434">
        <f>E16*'Satış Fiyat'!E328</f>
        <v>0</v>
      </c>
      <c r="F37" s="434">
        <f>F16*'Satış Fiyat'!F328</f>
        <v>0</v>
      </c>
      <c r="G37" s="434">
        <f>G16*'Satış Fiyat'!G328</f>
        <v>0</v>
      </c>
      <c r="H37" s="434">
        <f>H16*'Satış Fiyat'!H328</f>
        <v>0</v>
      </c>
      <c r="I37" s="434">
        <f>I16*'Satış Fiyat'!I328</f>
        <v>0</v>
      </c>
      <c r="J37" s="434">
        <f>J16*'Satış Fiyat'!J328</f>
        <v>0</v>
      </c>
      <c r="K37" s="434">
        <f>K16*'Satış Fiyat'!K328</f>
        <v>0</v>
      </c>
      <c r="L37" s="434">
        <f>L16*'Satış Fiyat'!L328</f>
        <v>0</v>
      </c>
      <c r="M37" s="434">
        <f>M16*'Satış Fiyat'!M328</f>
        <v>0</v>
      </c>
      <c r="N37" s="434">
        <f>N16*'Satış Fiyat'!N328</f>
        <v>0</v>
      </c>
      <c r="O37" s="435">
        <f>O16*'Satış Fiyat'!O328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895">
        <f>D18*'Satış Fiyat'!D330</f>
        <v>0</v>
      </c>
      <c r="E39" s="896">
        <f>E18*'Satış Fiyat'!E330</f>
        <v>0</v>
      </c>
      <c r="F39" s="896">
        <f>F18*'Satış Fiyat'!F330</f>
        <v>0</v>
      </c>
      <c r="G39" s="896">
        <f>G18*'Satış Fiyat'!G330</f>
        <v>0</v>
      </c>
      <c r="H39" s="896">
        <f>H18*'Satış Fiyat'!H330</f>
        <v>0</v>
      </c>
      <c r="I39" s="896">
        <f>I18*'Satış Fiyat'!I330</f>
        <v>0</v>
      </c>
      <c r="J39" s="896">
        <f>J18*'Satış Fiyat'!J330</f>
        <v>0</v>
      </c>
      <c r="K39" s="896">
        <f>K18*'Satış Fiyat'!K330</f>
        <v>0</v>
      </c>
      <c r="L39" s="896">
        <f>L18*'Satış Fiyat'!L330</f>
        <v>0</v>
      </c>
      <c r="M39" s="896">
        <f>M18*'Satış Fiyat'!M330</f>
        <v>0</v>
      </c>
      <c r="N39" s="896">
        <f>N18*'Satış Fiyat'!N330</f>
        <v>0</v>
      </c>
      <c r="O39" s="897">
        <f>O18*'Satış Fiyat'!O330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898">
        <f>D19*'Satış Fiyat'!D331</f>
        <v>0</v>
      </c>
      <c r="E40" s="899">
        <f>E19*'Satış Fiyat'!E331</f>
        <v>0</v>
      </c>
      <c r="F40" s="899">
        <f>F19*'Satış Fiyat'!F331</f>
        <v>0</v>
      </c>
      <c r="G40" s="899">
        <f>G19*'Satış Fiyat'!G331</f>
        <v>0</v>
      </c>
      <c r="H40" s="899">
        <f>H19*'Satış Fiyat'!H331</f>
        <v>0</v>
      </c>
      <c r="I40" s="899">
        <f>I19*'Satış Fiyat'!I331</f>
        <v>0</v>
      </c>
      <c r="J40" s="899">
        <f>J19*'Satış Fiyat'!J331</f>
        <v>0</v>
      </c>
      <c r="K40" s="899">
        <f>K19*'Satış Fiyat'!K331</f>
        <v>0</v>
      </c>
      <c r="L40" s="899">
        <f>L19*'Satış Fiyat'!L331</f>
        <v>0</v>
      </c>
      <c r="M40" s="899">
        <f>M19*'Satış Fiyat'!M331</f>
        <v>0</v>
      </c>
      <c r="N40" s="899">
        <f>N19*'Satış Fiyat'!N331</f>
        <v>0</v>
      </c>
      <c r="O40" s="900">
        <f>O19*'Satış Fiyat'!O331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Fiyat'!D333</f>
        <v>0</v>
      </c>
      <c r="E42" s="366">
        <f>E21*'Satış Fiyat'!E333</f>
        <v>0</v>
      </c>
      <c r="F42" s="366">
        <f>F21*'Satış Fiyat'!F333</f>
        <v>0</v>
      </c>
      <c r="G42" s="366">
        <f>G21*'Satış Fiyat'!G333</f>
        <v>0</v>
      </c>
      <c r="H42" s="366">
        <f>H21*'Satış Fiyat'!H333</f>
        <v>0</v>
      </c>
      <c r="I42" s="366">
        <f>I21*'Satış Fiyat'!I333</f>
        <v>0</v>
      </c>
      <c r="J42" s="366">
        <f>J21*'Satış Fiyat'!J333</f>
        <v>0</v>
      </c>
      <c r="K42" s="366">
        <f>K21*'Satış Fiyat'!K333</f>
        <v>0</v>
      </c>
      <c r="L42" s="366">
        <f>L21*'Satış Fiyat'!L333</f>
        <v>0</v>
      </c>
      <c r="M42" s="366">
        <f>M21*'Satış Fiyat'!M333</f>
        <v>0</v>
      </c>
      <c r="N42" s="366">
        <f>N21*'Satış Fiyat'!N333</f>
        <v>0</v>
      </c>
      <c r="O42" s="448">
        <f>O21*'Satış Fiyat'!O333</f>
        <v>0</v>
      </c>
      <c r="P42" s="363">
        <f>SUM(D42:O42)</f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>SUM(D43:O43)</f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>SUM(D44:O44)</f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711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3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>
        <f>B49/9*12</f>
        <v>0</v>
      </c>
      <c r="D49" s="371">
        <f>+$S$49*D26</f>
        <v>0</v>
      </c>
      <c r="E49" s="373">
        <f>+$S$49*E26</f>
        <v>0</v>
      </c>
      <c r="F49" s="373">
        <f>+$S$49*F26</f>
        <v>0</v>
      </c>
      <c r="G49" s="373">
        <f>+$T$49*G26</f>
        <v>0</v>
      </c>
      <c r="H49" s="373">
        <f t="shared" ref="H49" si="25">+$T$49*H26</f>
        <v>0</v>
      </c>
      <c r="I49" s="373">
        <f>+$T$49*I26</f>
        <v>0</v>
      </c>
      <c r="J49" s="373">
        <f>+$U$49*J26</f>
        <v>0</v>
      </c>
      <c r="K49" s="373">
        <f t="shared" ref="K49" si="26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7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" si="28">+$S$50*E27</f>
        <v>0</v>
      </c>
      <c r="F50" s="382">
        <f t="shared" ref="F50:M50" si="29">+$S$50*F27</f>
        <v>0</v>
      </c>
      <c r="G50" s="382">
        <f t="shared" si="29"/>
        <v>0</v>
      </c>
      <c r="H50" s="382">
        <f t="shared" ref="H50:I50" si="30">+$S$50*H27</f>
        <v>0</v>
      </c>
      <c r="I50" s="382">
        <f t="shared" si="30"/>
        <v>0</v>
      </c>
      <c r="J50" s="382">
        <f t="shared" si="29"/>
        <v>0</v>
      </c>
      <c r="K50" s="382">
        <f t="shared" ref="K50:L50" si="31">+$S$50*K27</f>
        <v>0</v>
      </c>
      <c r="L50" s="382">
        <f t="shared" si="31"/>
        <v>0</v>
      </c>
      <c r="M50" s="382">
        <f t="shared" si="29"/>
        <v>0</v>
      </c>
      <c r="N50" s="382">
        <f t="shared" ref="N50:O50" si="32">+$S$50*N27</f>
        <v>0</v>
      </c>
      <c r="O50" s="383">
        <f t="shared" si="32"/>
        <v>0</v>
      </c>
      <c r="P50" s="378">
        <f t="shared" si="24"/>
        <v>0</v>
      </c>
      <c r="Q50" s="1238" t="str">
        <f t="shared" si="27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3">SUM(E49:E50)</f>
        <v>0</v>
      </c>
      <c r="F51" s="389">
        <f t="shared" si="33"/>
        <v>0</v>
      </c>
      <c r="G51" s="389">
        <f>SUM(G49:G50)</f>
        <v>0</v>
      </c>
      <c r="H51" s="389">
        <f t="shared" ref="H51" si="34">SUM(H49:H50)</f>
        <v>0</v>
      </c>
      <c r="I51" s="389">
        <f>SUM(I49:I50)</f>
        <v>0</v>
      </c>
      <c r="J51" s="389">
        <f>SUM(J49:J50)</f>
        <v>0</v>
      </c>
      <c r="K51" s="389">
        <f t="shared" ref="K51" si="35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7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6">+$S$52*E29</f>
        <v>0</v>
      </c>
      <c r="F52" s="397">
        <f>+$S$52*F29</f>
        <v>0</v>
      </c>
      <c r="G52" s="397">
        <f>+$T$52*G29</f>
        <v>0</v>
      </c>
      <c r="H52" s="397">
        <f t="shared" ref="H52" si="37">+$T$52*H29</f>
        <v>0</v>
      </c>
      <c r="I52" s="397">
        <f>+$T$52*I29</f>
        <v>0</v>
      </c>
      <c r="J52" s="397">
        <f>+$U$52*J29</f>
        <v>0</v>
      </c>
      <c r="K52" s="397">
        <f t="shared" ref="K52" si="38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7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1">
        <f>B53/9*12</f>
        <v>0</v>
      </c>
      <c r="D53" s="402">
        <f t="shared" ref="D53:E53" si="39">+$S$53*D30</f>
        <v>0</v>
      </c>
      <c r="E53" s="403">
        <f t="shared" si="39"/>
        <v>0</v>
      </c>
      <c r="F53" s="403">
        <f t="shared" ref="F53" si="40">+$S$53*F30</f>
        <v>0</v>
      </c>
      <c r="G53" s="403">
        <f>+$T$53*G30</f>
        <v>0</v>
      </c>
      <c r="H53" s="403">
        <f t="shared" ref="H53" si="41">+$T$53*H30</f>
        <v>0</v>
      </c>
      <c r="I53" s="403">
        <f>+$T$53*I30</f>
        <v>0</v>
      </c>
      <c r="J53" s="403">
        <f>+$U$53*J30</f>
        <v>0</v>
      </c>
      <c r="K53" s="403">
        <f t="shared" ref="K53" si="42">+$U$53*K30</f>
        <v>0</v>
      </c>
      <c r="L53" s="403">
        <f>+$U$53*L30</f>
        <v>0</v>
      </c>
      <c r="M53" s="403">
        <f>+$V$53*M30</f>
        <v>0</v>
      </c>
      <c r="N53" s="403">
        <f t="shared" ref="N53" si="43">+$V$53*N30</f>
        <v>0</v>
      </c>
      <c r="O53" s="404">
        <f>+$V$53*O30</f>
        <v>0</v>
      </c>
      <c r="P53" s="386">
        <f t="shared" si="24"/>
        <v>0</v>
      </c>
      <c r="Q53" s="1240" t="str">
        <f t="shared" si="27"/>
        <v>-</v>
      </c>
      <c r="S53" s="461">
        <v>1.7500000000000002E-2</v>
      </c>
      <c r="T53" s="461">
        <v>1.7500000000000002E-2</v>
      </c>
      <c r="U53" s="461">
        <v>1.7500000000000002E-2</v>
      </c>
      <c r="V53" s="461">
        <v>1.7500000000000002E-2</v>
      </c>
    </row>
    <row r="54" spans="1:22" ht="16.5" hidden="1" customHeight="1">
      <c r="A54" s="406" t="s">
        <v>82</v>
      </c>
      <c r="B54" s="394"/>
      <c r="C54" s="395"/>
      <c r="D54" s="407">
        <f t="shared" ref="D54:E54" si="44">+$S$54*D31</f>
        <v>0</v>
      </c>
      <c r="E54" s="382">
        <f t="shared" si="44"/>
        <v>0</v>
      </c>
      <c r="F54" s="382">
        <f t="shared" ref="F54:M54" si="45">+$S$54*F31</f>
        <v>0</v>
      </c>
      <c r="G54" s="382">
        <f t="shared" si="45"/>
        <v>0</v>
      </c>
      <c r="H54" s="382">
        <f t="shared" ref="H54:I54" si="46">+$S$54*H31</f>
        <v>0</v>
      </c>
      <c r="I54" s="382">
        <f t="shared" si="46"/>
        <v>0</v>
      </c>
      <c r="J54" s="382">
        <f t="shared" si="45"/>
        <v>0</v>
      </c>
      <c r="K54" s="382">
        <f t="shared" ref="K54:L54" si="47">+$S$54*K31</f>
        <v>0</v>
      </c>
      <c r="L54" s="382">
        <f t="shared" si="47"/>
        <v>0</v>
      </c>
      <c r="M54" s="382">
        <f t="shared" si="45"/>
        <v>0</v>
      </c>
      <c r="N54" s="382">
        <f t="shared" ref="N54:O54" si="48">+$S$54*N31</f>
        <v>0</v>
      </c>
      <c r="O54" s="383">
        <f t="shared" si="48"/>
        <v>0</v>
      </c>
      <c r="P54" s="399">
        <f t="shared" si="24"/>
        <v>0</v>
      </c>
      <c r="Q54" s="1238" t="str">
        <f t="shared" si="27"/>
        <v>-</v>
      </c>
      <c r="S54" s="461">
        <v>1.7500000000000002E-2</v>
      </c>
      <c r="T54" s="461">
        <v>1.7500000000000002E-2</v>
      </c>
      <c r="U54" s="461">
        <v>1.7500000000000002E-2</v>
      </c>
      <c r="V54" s="461">
        <v>1.7500000000000002E-2</v>
      </c>
    </row>
    <row r="55" spans="1:22" ht="16.5" customHeight="1">
      <c r="A55" s="400" t="s">
        <v>83</v>
      </c>
      <c r="B55" s="408"/>
      <c r="C55" s="409">
        <f>B55/10*12</f>
        <v>0</v>
      </c>
      <c r="D55" s="402">
        <f t="shared" ref="D55:E55" si="49">+$S$55*D32</f>
        <v>0</v>
      </c>
      <c r="E55" s="403">
        <f t="shared" si="49"/>
        <v>0</v>
      </c>
      <c r="F55" s="403">
        <f t="shared" ref="F55" si="50">+$S$55*F32</f>
        <v>0</v>
      </c>
      <c r="G55" s="403">
        <f>+$T$55*G32</f>
        <v>0</v>
      </c>
      <c r="H55" s="403">
        <f t="shared" ref="H55" si="51">+$T$55*H32</f>
        <v>0</v>
      </c>
      <c r="I55" s="403">
        <f>+$T$55*I32</f>
        <v>0</v>
      </c>
      <c r="J55" s="403">
        <f>+$U$55*J32</f>
        <v>0</v>
      </c>
      <c r="K55" s="403">
        <f t="shared" ref="K55" si="52">+$U$55*K32</f>
        <v>0</v>
      </c>
      <c r="L55" s="403">
        <f>+$U$55*L32</f>
        <v>0</v>
      </c>
      <c r="M55" s="403">
        <f>+$V$55*M32</f>
        <v>0</v>
      </c>
      <c r="N55" s="403">
        <f t="shared" ref="N55" si="53">+$V$55*N32</f>
        <v>0</v>
      </c>
      <c r="O55" s="404">
        <f>+$V$55*O32</f>
        <v>0</v>
      </c>
      <c r="P55" s="386">
        <f t="shared" si="24"/>
        <v>0</v>
      </c>
      <c r="Q55" s="1240" t="str">
        <f t="shared" si="27"/>
        <v>-</v>
      </c>
      <c r="S55" s="461">
        <v>1.7500000000000002E-2</v>
      </c>
      <c r="T55" s="461">
        <v>1.7500000000000002E-2</v>
      </c>
      <c r="U55" s="461">
        <v>1.7500000000000002E-2</v>
      </c>
      <c r="V55" s="461">
        <v>1.7500000000000002E-2</v>
      </c>
    </row>
    <row r="56" spans="1:22" ht="16.5" hidden="1" customHeight="1">
      <c r="A56" s="406" t="s">
        <v>84</v>
      </c>
      <c r="B56" s="378"/>
      <c r="C56" s="379"/>
      <c r="D56" s="407">
        <f t="shared" ref="D56:E56" si="54">+$S$56*D33</f>
        <v>0</v>
      </c>
      <c r="E56" s="382">
        <f t="shared" si="54"/>
        <v>0</v>
      </c>
      <c r="F56" s="382">
        <f t="shared" ref="F56:M56" si="55">+$S$56*F33</f>
        <v>0</v>
      </c>
      <c r="G56" s="382">
        <f t="shared" si="55"/>
        <v>0</v>
      </c>
      <c r="H56" s="382">
        <f t="shared" ref="H56:I56" si="56">+$S$56*H33</f>
        <v>0</v>
      </c>
      <c r="I56" s="382">
        <f t="shared" si="56"/>
        <v>0</v>
      </c>
      <c r="J56" s="382">
        <f t="shared" si="55"/>
        <v>0</v>
      </c>
      <c r="K56" s="382">
        <f t="shared" ref="K56:L56" si="57">+$S$56*K33</f>
        <v>0</v>
      </c>
      <c r="L56" s="382">
        <f t="shared" si="57"/>
        <v>0</v>
      </c>
      <c r="M56" s="382">
        <f t="shared" si="55"/>
        <v>0</v>
      </c>
      <c r="N56" s="382">
        <f t="shared" ref="N56:O56" si="58">+$S$56*N33</f>
        <v>0</v>
      </c>
      <c r="O56" s="383">
        <f t="shared" si="58"/>
        <v>0</v>
      </c>
      <c r="P56" s="399">
        <f t="shared" si="24"/>
        <v>0</v>
      </c>
      <c r="Q56" s="1238" t="str">
        <f t="shared" si="27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59">SUM(B53:B56)</f>
        <v>0</v>
      </c>
      <c r="C57" s="412">
        <f t="shared" si="59"/>
        <v>0</v>
      </c>
      <c r="D57" s="413">
        <f t="shared" ref="D57:F57" si="60">SUM(D53:D56)</f>
        <v>0</v>
      </c>
      <c r="E57" s="414">
        <f t="shared" si="60"/>
        <v>0</v>
      </c>
      <c r="F57" s="414">
        <f t="shared" si="60"/>
        <v>0</v>
      </c>
      <c r="G57" s="414">
        <f>SUM(G53:G56)</f>
        <v>0</v>
      </c>
      <c r="H57" s="414">
        <f t="shared" ref="H57" si="61">SUM(H53:H56)</f>
        <v>0</v>
      </c>
      <c r="I57" s="414">
        <f>SUM(I53:I56)</f>
        <v>0</v>
      </c>
      <c r="J57" s="414">
        <f>SUM(J53:J56)</f>
        <v>0</v>
      </c>
      <c r="K57" s="414">
        <f t="shared" ref="K57" si="62">SUM(K53:K56)</f>
        <v>0</v>
      </c>
      <c r="L57" s="414">
        <f>SUM(L53:L56)</f>
        <v>0</v>
      </c>
      <c r="M57" s="414">
        <f>SUM(M53:M56)</f>
        <v>0</v>
      </c>
      <c r="N57" s="414">
        <f t="shared" ref="N57" si="63">SUM(N53:N56)</f>
        <v>0</v>
      </c>
      <c r="O57" s="412">
        <f>SUM(O53:O56)</f>
        <v>0</v>
      </c>
      <c r="P57" s="411">
        <f t="shared" si="24"/>
        <v>0</v>
      </c>
      <c r="Q57" s="1241" t="str">
        <f t="shared" si="27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64">SUM(C59:C60)</f>
        <v>0</v>
      </c>
      <c r="D58" s="417">
        <f t="shared" ref="D58:F58" si="65">SUM(D59:D60)</f>
        <v>0</v>
      </c>
      <c r="E58" s="418">
        <f t="shared" si="65"/>
        <v>0</v>
      </c>
      <c r="F58" s="418">
        <f t="shared" si="65"/>
        <v>0</v>
      </c>
      <c r="G58" s="418">
        <f>SUM(G59:G60)</f>
        <v>0</v>
      </c>
      <c r="H58" s="418">
        <f t="shared" ref="H58" si="66">SUM(H59:H60)</f>
        <v>0</v>
      </c>
      <c r="I58" s="418">
        <f>SUM(I59:I60)</f>
        <v>0</v>
      </c>
      <c r="J58" s="418">
        <f>SUM(J59:J60)</f>
        <v>0</v>
      </c>
      <c r="K58" s="418">
        <f t="shared" ref="K58" si="67">SUM(K59:K60)</f>
        <v>0</v>
      </c>
      <c r="L58" s="418">
        <f>SUM(L59:L60)</f>
        <v>0</v>
      </c>
      <c r="M58" s="418">
        <f>SUM(M59:M60)</f>
        <v>0</v>
      </c>
      <c r="N58" s="418">
        <f t="shared" ref="N58" si="68">SUM(N59:N60)</f>
        <v>0</v>
      </c>
      <c r="O58" s="419">
        <f>SUM(O59:O60)</f>
        <v>0</v>
      </c>
      <c r="P58" s="420">
        <f t="shared" si="24"/>
        <v>0</v>
      </c>
      <c r="Q58" s="1242" t="str">
        <f t="shared" si="27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69">+$S$59*E36</f>
        <v>0</v>
      </c>
      <c r="F59" s="426">
        <f t="shared" si="69"/>
        <v>0</v>
      </c>
      <c r="G59" s="426">
        <f>+$T$59*G36</f>
        <v>0</v>
      </c>
      <c r="H59" s="426">
        <f t="shared" ref="H59" si="70">+$T$59*H36</f>
        <v>0</v>
      </c>
      <c r="I59" s="426">
        <f>+$T$59*I36</f>
        <v>0</v>
      </c>
      <c r="J59" s="426">
        <f>+$U$59*J36</f>
        <v>0</v>
      </c>
      <c r="K59" s="426">
        <f t="shared" ref="K59" si="71">+$U$59*K36</f>
        <v>0</v>
      </c>
      <c r="L59" s="426">
        <f>+$U$59*L36</f>
        <v>0</v>
      </c>
      <c r="M59" s="426">
        <f>+$V$59*M36</f>
        <v>0</v>
      </c>
      <c r="N59" s="426">
        <f t="shared" ref="N59" si="72">+$V$59*N36</f>
        <v>0</v>
      </c>
      <c r="O59" s="427">
        <f>+$V$59*O36</f>
        <v>0</v>
      </c>
      <c r="P59" s="428">
        <f t="shared" si="24"/>
        <v>0</v>
      </c>
      <c r="Q59" s="1243" t="str">
        <f t="shared" si="27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73">+$S$60*E37</f>
        <v>0</v>
      </c>
      <c r="F60" s="434">
        <f t="shared" si="73"/>
        <v>0</v>
      </c>
      <c r="G60" s="434">
        <f>+$T$60*G37</f>
        <v>0</v>
      </c>
      <c r="H60" s="434">
        <f t="shared" ref="H60" si="74">+$T$60*H37</f>
        <v>0</v>
      </c>
      <c r="I60" s="434">
        <f>+$T$60*I37</f>
        <v>0</v>
      </c>
      <c r="J60" s="434">
        <f>+$U$60*J37</f>
        <v>0</v>
      </c>
      <c r="K60" s="434">
        <f t="shared" ref="K60" si="75">+$U$60*K37</f>
        <v>0</v>
      </c>
      <c r="L60" s="434">
        <f>+$U$60*L37</f>
        <v>0</v>
      </c>
      <c r="M60" s="434">
        <f>+$V$60*M37</f>
        <v>0</v>
      </c>
      <c r="N60" s="434">
        <f t="shared" ref="N60" si="76">+$V$60*N37</f>
        <v>0</v>
      </c>
      <c r="O60" s="435">
        <f>+$V$60*O37</f>
        <v>0</v>
      </c>
      <c r="P60" s="436">
        <f t="shared" si="24"/>
        <v>0</v>
      </c>
      <c r="Q60" s="1244" t="str">
        <f t="shared" si="27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77">SUM(B62:B63)</f>
        <v>0</v>
      </c>
      <c r="C61" s="416">
        <f t="shared" si="77"/>
        <v>0</v>
      </c>
      <c r="D61" s="417">
        <f t="shared" ref="D61:F61" si="78">SUM(D62:D63)</f>
        <v>0</v>
      </c>
      <c r="E61" s="418">
        <f t="shared" si="78"/>
        <v>0</v>
      </c>
      <c r="F61" s="418">
        <f t="shared" si="78"/>
        <v>0</v>
      </c>
      <c r="G61" s="418">
        <f>SUM(G62:G63)</f>
        <v>0</v>
      </c>
      <c r="H61" s="418">
        <f t="shared" ref="H61" si="79">SUM(H62:H63)</f>
        <v>0</v>
      </c>
      <c r="I61" s="418">
        <f>SUM(I62:I63)</f>
        <v>0</v>
      </c>
      <c r="J61" s="418">
        <f>SUM(J62:J63)</f>
        <v>0</v>
      </c>
      <c r="K61" s="418">
        <f t="shared" ref="K61" si="80">SUM(K62:K63)</f>
        <v>0</v>
      </c>
      <c r="L61" s="418">
        <f>SUM(L62:L63)</f>
        <v>0</v>
      </c>
      <c r="M61" s="418">
        <f>SUM(M62:M63)</f>
        <v>0</v>
      </c>
      <c r="N61" s="418">
        <f t="shared" ref="N61" si="81">SUM(N62:N63)</f>
        <v>0</v>
      </c>
      <c r="O61" s="419">
        <f>SUM(O62:O63)</f>
        <v>0</v>
      </c>
      <c r="P61" s="420">
        <f t="shared" si="24"/>
        <v>0</v>
      </c>
      <c r="Q61" s="1242" t="str">
        <f t="shared" si="27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" si="82">+$S$62*E39</f>
        <v>0</v>
      </c>
      <c r="F62" s="426">
        <f t="shared" ref="F62" si="83">+$S$62*F39</f>
        <v>0</v>
      </c>
      <c r="G62" s="426">
        <f>+$T$62*G39</f>
        <v>0</v>
      </c>
      <c r="H62" s="426">
        <f t="shared" ref="H62" si="84">+$T$62*H39</f>
        <v>0</v>
      </c>
      <c r="I62" s="426">
        <f>+$T$62*I39</f>
        <v>0</v>
      </c>
      <c r="J62" s="426">
        <f>+$U$62*J39</f>
        <v>0</v>
      </c>
      <c r="K62" s="426">
        <f t="shared" ref="K62" si="85">+$U$62*K39</f>
        <v>0</v>
      </c>
      <c r="L62" s="426">
        <f>+$U$62*L39</f>
        <v>0</v>
      </c>
      <c r="M62" s="426">
        <f>+$V$62*M39</f>
        <v>0</v>
      </c>
      <c r="N62" s="426">
        <f t="shared" ref="N62" si="86">+$V$62*N39</f>
        <v>0</v>
      </c>
      <c r="O62" s="427">
        <f>+$V$62*O39</f>
        <v>0</v>
      </c>
      <c r="P62" s="428">
        <f t="shared" si="24"/>
        <v>0</v>
      </c>
      <c r="Q62" s="1243" t="str">
        <f t="shared" si="27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" si="87">+$S$63*E40</f>
        <v>0</v>
      </c>
      <c r="F63" s="442">
        <f t="shared" ref="F63" si="88">+$S$63*F40</f>
        <v>0</v>
      </c>
      <c r="G63" s="442">
        <f>+$T$63*G40</f>
        <v>0</v>
      </c>
      <c r="H63" s="442">
        <f t="shared" ref="H63" si="89">+$T$63*H40</f>
        <v>0</v>
      </c>
      <c r="I63" s="442">
        <f>+$T$63*I40</f>
        <v>0</v>
      </c>
      <c r="J63" s="442">
        <f>+$U$63*J40</f>
        <v>0</v>
      </c>
      <c r="K63" s="442">
        <f t="shared" ref="K63" si="90">+$U$63*K40</f>
        <v>0</v>
      </c>
      <c r="L63" s="442">
        <f>+$U$63*L40</f>
        <v>0</v>
      </c>
      <c r="M63" s="442">
        <f>+$V$63*M40</f>
        <v>0</v>
      </c>
      <c r="N63" s="442">
        <f t="shared" ref="N63" si="91">+$V$63*N40</f>
        <v>0</v>
      </c>
      <c r="O63" s="443">
        <f>+$V$63*O40</f>
        <v>0</v>
      </c>
      <c r="P63" s="444">
        <f t="shared" si="24"/>
        <v>0</v>
      </c>
      <c r="Q63" s="1245" t="str">
        <f t="shared" si="27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>
        <f>B65/9*12</f>
        <v>0</v>
      </c>
      <c r="D65" s="365">
        <f>+$S$65*D42</f>
        <v>0</v>
      </c>
      <c r="E65" s="366">
        <f t="shared" ref="E65" si="92">+$S$65*E42</f>
        <v>0</v>
      </c>
      <c r="F65" s="366">
        <f t="shared" ref="F65" si="93">+$S$65*F42</f>
        <v>0</v>
      </c>
      <c r="G65" s="366">
        <f>+$T$65*G42</f>
        <v>0</v>
      </c>
      <c r="H65" s="366">
        <f t="shared" ref="H65" si="94">+$T$65*H42</f>
        <v>0</v>
      </c>
      <c r="I65" s="366">
        <f>+$T$65*I42</f>
        <v>0</v>
      </c>
      <c r="J65" s="366">
        <f>+$T$65*J42</f>
        <v>0</v>
      </c>
      <c r="K65" s="366">
        <f t="shared" ref="K65" si="95">+$T$65*K42</f>
        <v>0</v>
      </c>
      <c r="L65" s="366">
        <f>+$U$65*L42</f>
        <v>0</v>
      </c>
      <c r="M65" s="366">
        <f>+$V$65*M42</f>
        <v>0</v>
      </c>
      <c r="N65" s="366">
        <f t="shared" ref="N65" si="96">+$V$65*N42</f>
        <v>0</v>
      </c>
      <c r="O65" s="448">
        <f>+$V$65*O42</f>
        <v>0</v>
      </c>
      <c r="P65" s="363">
        <f>SUM(D65:O65)</f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>SUM(D66:O66)</f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97">+C48+C58+C61+C65</f>
        <v>0</v>
      </c>
      <c r="D67" s="365">
        <f>+D48+D58+D61+D65</f>
        <v>0</v>
      </c>
      <c r="E67" s="366">
        <f t="shared" ref="E67:F67" si="98">+E48+E58+E61+E65</f>
        <v>0</v>
      </c>
      <c r="F67" s="366">
        <f t="shared" si="98"/>
        <v>0</v>
      </c>
      <c r="G67" s="366">
        <f>+G48+G58+G61+G65</f>
        <v>0</v>
      </c>
      <c r="H67" s="366">
        <f t="shared" ref="H67:I67" si="99">+H48+H58+H61+H65</f>
        <v>0</v>
      </c>
      <c r="I67" s="366">
        <f t="shared" si="99"/>
        <v>0</v>
      </c>
      <c r="J67" s="366">
        <f>+J48+J58+J61+J65</f>
        <v>0</v>
      </c>
      <c r="K67" s="366">
        <f t="shared" ref="K67" si="100">+K48+K58+K61+K65</f>
        <v>0</v>
      </c>
      <c r="L67" s="366">
        <f>+L48+L58+L61+L65</f>
        <v>0</v>
      </c>
      <c r="M67" s="366">
        <f>+M48+M58+M61+M65</f>
        <v>0</v>
      </c>
      <c r="N67" s="366">
        <f t="shared" ref="N67" si="101">+N48+N58+N61+N65</f>
        <v>0</v>
      </c>
      <c r="O67" s="364">
        <f>+O48+O58+O61+O65</f>
        <v>0</v>
      </c>
      <c r="P67" s="363">
        <f>SUM(D67:O67)</f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706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102">C74+C75+C80</f>
        <v>0</v>
      </c>
      <c r="D71" s="365">
        <f t="shared" ref="D71:O71" si="103">D74+D75+D80</f>
        <v>0</v>
      </c>
      <c r="E71" s="366">
        <f t="shared" si="103"/>
        <v>0</v>
      </c>
      <c r="F71" s="366">
        <f t="shared" si="103"/>
        <v>0</v>
      </c>
      <c r="G71" s="366">
        <f t="shared" si="103"/>
        <v>0</v>
      </c>
      <c r="H71" s="366">
        <f t="shared" si="103"/>
        <v>0</v>
      </c>
      <c r="I71" s="366">
        <f t="shared" si="103"/>
        <v>0</v>
      </c>
      <c r="J71" s="366">
        <f t="shared" si="103"/>
        <v>0</v>
      </c>
      <c r="K71" s="366">
        <f t="shared" si="103"/>
        <v>0</v>
      </c>
      <c r="L71" s="366">
        <f t="shared" si="103"/>
        <v>0</v>
      </c>
      <c r="M71" s="366">
        <f t="shared" si="103"/>
        <v>0</v>
      </c>
      <c r="N71" s="366">
        <f t="shared" si="103"/>
        <v>0</v>
      </c>
      <c r="O71" s="364">
        <f t="shared" si="103"/>
        <v>0</v>
      </c>
      <c r="P71" s="363">
        <f t="shared" ref="P71:P86" si="104">SUM(D71:O71)</f>
        <v>0</v>
      </c>
      <c r="Q71" s="1236" t="str">
        <f t="shared" ref="Q71:Q86" si="105">IF(P71=0,"-",P71/C71-1)</f>
        <v>-</v>
      </c>
    </row>
    <row r="72" spans="1:22" ht="16.5" customHeight="1">
      <c r="A72" s="368" t="s">
        <v>15</v>
      </c>
      <c r="B72" s="369">
        <f t="shared" ref="B72:C73" si="106">+B26-B49</f>
        <v>0</v>
      </c>
      <c r="C72" s="370">
        <f t="shared" si="106"/>
        <v>0</v>
      </c>
      <c r="D72" s="371">
        <f t="shared" ref="D72:O72" si="107">+D26-D49</f>
        <v>0</v>
      </c>
      <c r="E72" s="372">
        <f t="shared" si="107"/>
        <v>0</v>
      </c>
      <c r="F72" s="372">
        <f t="shared" si="107"/>
        <v>0</v>
      </c>
      <c r="G72" s="372">
        <f t="shared" si="107"/>
        <v>0</v>
      </c>
      <c r="H72" s="373">
        <f t="shared" si="107"/>
        <v>0</v>
      </c>
      <c r="I72" s="373">
        <f t="shared" si="107"/>
        <v>0</v>
      </c>
      <c r="J72" s="373">
        <f t="shared" si="107"/>
        <v>0</v>
      </c>
      <c r="K72" s="373">
        <f t="shared" si="107"/>
        <v>0</v>
      </c>
      <c r="L72" s="373">
        <f t="shared" si="107"/>
        <v>0</v>
      </c>
      <c r="M72" s="373">
        <f t="shared" si="107"/>
        <v>0</v>
      </c>
      <c r="N72" s="373">
        <f t="shared" si="107"/>
        <v>0</v>
      </c>
      <c r="O72" s="374">
        <f t="shared" si="107"/>
        <v>0</v>
      </c>
      <c r="P72" s="369">
        <f t="shared" si="104"/>
        <v>0</v>
      </c>
      <c r="Q72" s="1237" t="str">
        <f t="shared" si="10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106"/>
        <v>0</v>
      </c>
      <c r="C73" s="379">
        <f t="shared" si="106"/>
        <v>0</v>
      </c>
      <c r="D73" s="380">
        <f t="shared" ref="D73:O73" si="108">+D27-D50</f>
        <v>0</v>
      </c>
      <c r="E73" s="381">
        <f t="shared" si="108"/>
        <v>0</v>
      </c>
      <c r="F73" s="381">
        <f t="shared" si="108"/>
        <v>0</v>
      </c>
      <c r="G73" s="381">
        <f t="shared" si="108"/>
        <v>0</v>
      </c>
      <c r="H73" s="382">
        <f t="shared" si="108"/>
        <v>0</v>
      </c>
      <c r="I73" s="382">
        <f t="shared" si="108"/>
        <v>0</v>
      </c>
      <c r="J73" s="382">
        <f t="shared" si="108"/>
        <v>0</v>
      </c>
      <c r="K73" s="382">
        <f t="shared" si="108"/>
        <v>0</v>
      </c>
      <c r="L73" s="382">
        <f t="shared" si="108"/>
        <v>0</v>
      </c>
      <c r="M73" s="382">
        <f t="shared" si="108"/>
        <v>0</v>
      </c>
      <c r="N73" s="382">
        <f t="shared" si="108"/>
        <v>0</v>
      </c>
      <c r="O73" s="383">
        <f t="shared" si="108"/>
        <v>0</v>
      </c>
      <c r="P73" s="378">
        <f t="shared" si="104"/>
        <v>0</v>
      </c>
      <c r="Q73" s="1238" t="str">
        <f t="shared" si="10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109">SUM(D72:D73)</f>
        <v>0</v>
      </c>
      <c r="E74" s="389">
        <f t="shared" si="109"/>
        <v>0</v>
      </c>
      <c r="F74" s="389">
        <f t="shared" si="109"/>
        <v>0</v>
      </c>
      <c r="G74" s="389">
        <f t="shared" si="109"/>
        <v>0</v>
      </c>
      <c r="H74" s="389">
        <f t="shared" si="109"/>
        <v>0</v>
      </c>
      <c r="I74" s="389">
        <f t="shared" si="109"/>
        <v>0</v>
      </c>
      <c r="J74" s="389">
        <f t="shared" si="109"/>
        <v>0</v>
      </c>
      <c r="K74" s="389">
        <f t="shared" si="109"/>
        <v>0</v>
      </c>
      <c r="L74" s="389">
        <f t="shared" si="109"/>
        <v>0</v>
      </c>
      <c r="M74" s="389">
        <f t="shared" si="109"/>
        <v>0</v>
      </c>
      <c r="N74" s="389">
        <f t="shared" si="109"/>
        <v>0</v>
      </c>
      <c r="O74" s="390">
        <f t="shared" si="109"/>
        <v>0</v>
      </c>
      <c r="P74" s="391">
        <f t="shared" si="104"/>
        <v>0</v>
      </c>
      <c r="Q74" s="1239" t="str">
        <f t="shared" si="105"/>
        <v>-</v>
      </c>
    </row>
    <row r="75" spans="1:22" ht="16.5" customHeight="1">
      <c r="A75" s="393" t="s">
        <v>17</v>
      </c>
      <c r="B75" s="394">
        <f t="shared" ref="B75:C79" si="110">+B29-B52</f>
        <v>0</v>
      </c>
      <c r="C75" s="395">
        <f t="shared" si="110"/>
        <v>0</v>
      </c>
      <c r="D75" s="396">
        <f t="shared" ref="D75:O75" si="111">+D29-D52</f>
        <v>0</v>
      </c>
      <c r="E75" s="397">
        <f t="shared" si="111"/>
        <v>0</v>
      </c>
      <c r="F75" s="397">
        <f t="shared" si="111"/>
        <v>0</v>
      </c>
      <c r="G75" s="397">
        <f t="shared" si="111"/>
        <v>0</v>
      </c>
      <c r="H75" s="397">
        <f t="shared" si="111"/>
        <v>0</v>
      </c>
      <c r="I75" s="397">
        <f t="shared" si="111"/>
        <v>0</v>
      </c>
      <c r="J75" s="397">
        <f t="shared" si="111"/>
        <v>0</v>
      </c>
      <c r="K75" s="397">
        <f t="shared" si="111"/>
        <v>0</v>
      </c>
      <c r="L75" s="397">
        <f t="shared" si="111"/>
        <v>0</v>
      </c>
      <c r="M75" s="397">
        <f t="shared" si="111"/>
        <v>0</v>
      </c>
      <c r="N75" s="397">
        <f t="shared" si="111"/>
        <v>0</v>
      </c>
      <c r="O75" s="398">
        <f t="shared" si="111"/>
        <v>0</v>
      </c>
      <c r="P75" s="399">
        <f t="shared" si="104"/>
        <v>0</v>
      </c>
      <c r="Q75" s="1238" t="str">
        <f t="shared" si="105"/>
        <v>-</v>
      </c>
    </row>
    <row r="76" spans="1:22" ht="16.5" customHeight="1">
      <c r="A76" s="400" t="s">
        <v>81</v>
      </c>
      <c r="B76" s="386">
        <f t="shared" si="110"/>
        <v>0</v>
      </c>
      <c r="C76" s="401">
        <f t="shared" si="110"/>
        <v>0</v>
      </c>
      <c r="D76" s="388">
        <f t="shared" ref="D76:O76" si="112">+D30-D53</f>
        <v>0</v>
      </c>
      <c r="E76" s="389">
        <f t="shared" si="112"/>
        <v>0</v>
      </c>
      <c r="F76" s="389">
        <f t="shared" si="112"/>
        <v>0</v>
      </c>
      <c r="G76" s="389">
        <f t="shared" si="112"/>
        <v>0</v>
      </c>
      <c r="H76" s="389">
        <f t="shared" si="112"/>
        <v>0</v>
      </c>
      <c r="I76" s="389">
        <f t="shared" si="112"/>
        <v>0</v>
      </c>
      <c r="J76" s="389">
        <f t="shared" si="112"/>
        <v>0</v>
      </c>
      <c r="K76" s="389">
        <f t="shared" si="112"/>
        <v>0</v>
      </c>
      <c r="L76" s="389">
        <f t="shared" si="112"/>
        <v>0</v>
      </c>
      <c r="M76" s="389">
        <f t="shared" si="112"/>
        <v>0</v>
      </c>
      <c r="N76" s="389">
        <f t="shared" si="112"/>
        <v>0</v>
      </c>
      <c r="O76" s="390">
        <f t="shared" si="112"/>
        <v>0</v>
      </c>
      <c r="P76" s="386">
        <f t="shared" si="104"/>
        <v>0</v>
      </c>
      <c r="Q76" s="1240" t="str">
        <f t="shared" si="105"/>
        <v>-</v>
      </c>
    </row>
    <row r="77" spans="1:22" ht="16.5" hidden="1" customHeight="1">
      <c r="A77" s="406" t="s">
        <v>82</v>
      </c>
      <c r="B77" s="394">
        <f t="shared" si="110"/>
        <v>0</v>
      </c>
      <c r="C77" s="395">
        <f t="shared" si="110"/>
        <v>0</v>
      </c>
      <c r="D77" s="396">
        <f t="shared" ref="D77:O77" si="113">+D31-D54</f>
        <v>0</v>
      </c>
      <c r="E77" s="397">
        <f t="shared" si="113"/>
        <v>0</v>
      </c>
      <c r="F77" s="397">
        <f t="shared" si="113"/>
        <v>0</v>
      </c>
      <c r="G77" s="397">
        <f t="shared" si="113"/>
        <v>0</v>
      </c>
      <c r="H77" s="397">
        <f t="shared" si="113"/>
        <v>0</v>
      </c>
      <c r="I77" s="397">
        <f t="shared" si="113"/>
        <v>0</v>
      </c>
      <c r="J77" s="397">
        <f t="shared" si="113"/>
        <v>0</v>
      </c>
      <c r="K77" s="397">
        <f t="shared" si="113"/>
        <v>0</v>
      </c>
      <c r="L77" s="397">
        <f t="shared" si="113"/>
        <v>0</v>
      </c>
      <c r="M77" s="397">
        <f t="shared" si="113"/>
        <v>0</v>
      </c>
      <c r="N77" s="397">
        <f t="shared" si="113"/>
        <v>0</v>
      </c>
      <c r="O77" s="398">
        <f t="shared" si="113"/>
        <v>0</v>
      </c>
      <c r="P77" s="399">
        <f t="shared" si="104"/>
        <v>0</v>
      </c>
      <c r="Q77" s="1238" t="str">
        <f t="shared" si="105"/>
        <v>-</v>
      </c>
    </row>
    <row r="78" spans="1:22" ht="16.5" customHeight="1">
      <c r="A78" s="400" t="s">
        <v>83</v>
      </c>
      <c r="B78" s="408">
        <f t="shared" si="110"/>
        <v>0</v>
      </c>
      <c r="C78" s="409">
        <f t="shared" si="110"/>
        <v>0</v>
      </c>
      <c r="D78" s="402">
        <f t="shared" ref="D78:O78" si="114">+D32-D55</f>
        <v>0</v>
      </c>
      <c r="E78" s="403">
        <f t="shared" si="114"/>
        <v>0</v>
      </c>
      <c r="F78" s="403">
        <f t="shared" si="114"/>
        <v>0</v>
      </c>
      <c r="G78" s="403">
        <f t="shared" si="114"/>
        <v>0</v>
      </c>
      <c r="H78" s="403">
        <f t="shared" si="114"/>
        <v>0</v>
      </c>
      <c r="I78" s="403">
        <f t="shared" si="114"/>
        <v>0</v>
      </c>
      <c r="J78" s="403">
        <f t="shared" si="114"/>
        <v>0</v>
      </c>
      <c r="K78" s="403">
        <f t="shared" si="114"/>
        <v>0</v>
      </c>
      <c r="L78" s="403">
        <f t="shared" si="114"/>
        <v>0</v>
      </c>
      <c r="M78" s="403">
        <f t="shared" si="114"/>
        <v>0</v>
      </c>
      <c r="N78" s="403">
        <f t="shared" si="114"/>
        <v>0</v>
      </c>
      <c r="O78" s="404">
        <f t="shared" si="114"/>
        <v>0</v>
      </c>
      <c r="P78" s="386">
        <f t="shared" si="104"/>
        <v>0</v>
      </c>
      <c r="Q78" s="1240" t="str">
        <f t="shared" si="105"/>
        <v>-</v>
      </c>
    </row>
    <row r="79" spans="1:22" ht="16.5" hidden="1" customHeight="1">
      <c r="A79" s="406" t="s">
        <v>84</v>
      </c>
      <c r="B79" s="378">
        <f t="shared" si="110"/>
        <v>0</v>
      </c>
      <c r="C79" s="379">
        <f t="shared" si="110"/>
        <v>0</v>
      </c>
      <c r="D79" s="407">
        <f t="shared" ref="D79:O79" si="115">+D33-D56</f>
        <v>0</v>
      </c>
      <c r="E79" s="382">
        <f t="shared" si="115"/>
        <v>0</v>
      </c>
      <c r="F79" s="382">
        <f t="shared" si="115"/>
        <v>0</v>
      </c>
      <c r="G79" s="382">
        <f t="shared" si="115"/>
        <v>0</v>
      </c>
      <c r="H79" s="382">
        <f t="shared" si="115"/>
        <v>0</v>
      </c>
      <c r="I79" s="381">
        <f t="shared" si="115"/>
        <v>0</v>
      </c>
      <c r="J79" s="381">
        <f t="shared" si="115"/>
        <v>0</v>
      </c>
      <c r="K79" s="382">
        <f t="shared" si="115"/>
        <v>0</v>
      </c>
      <c r="L79" s="382">
        <f t="shared" si="115"/>
        <v>0</v>
      </c>
      <c r="M79" s="382">
        <f t="shared" si="115"/>
        <v>0</v>
      </c>
      <c r="N79" s="382">
        <f t="shared" si="115"/>
        <v>0</v>
      </c>
      <c r="O79" s="383">
        <f t="shared" si="115"/>
        <v>0</v>
      </c>
      <c r="P79" s="399">
        <f t="shared" si="104"/>
        <v>0</v>
      </c>
      <c r="Q79" s="1238" t="str">
        <f t="shared" si="10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116">SUM(B76:B79)</f>
        <v>0</v>
      </c>
      <c r="C80" s="412">
        <f t="shared" si="116"/>
        <v>0</v>
      </c>
      <c r="D80" s="413">
        <f t="shared" ref="D80:O80" si="117">SUM(D76:D79)</f>
        <v>0</v>
      </c>
      <c r="E80" s="414">
        <f t="shared" si="117"/>
        <v>0</v>
      </c>
      <c r="F80" s="414">
        <f t="shared" si="117"/>
        <v>0</v>
      </c>
      <c r="G80" s="414">
        <f t="shared" si="117"/>
        <v>0</v>
      </c>
      <c r="H80" s="414">
        <f t="shared" si="117"/>
        <v>0</v>
      </c>
      <c r="I80" s="414">
        <f t="shared" si="117"/>
        <v>0</v>
      </c>
      <c r="J80" s="414">
        <f t="shared" si="117"/>
        <v>0</v>
      </c>
      <c r="K80" s="414">
        <f t="shared" si="117"/>
        <v>0</v>
      </c>
      <c r="L80" s="414">
        <f t="shared" si="117"/>
        <v>0</v>
      </c>
      <c r="M80" s="414">
        <f t="shared" si="117"/>
        <v>0</v>
      </c>
      <c r="N80" s="414">
        <f t="shared" si="117"/>
        <v>0</v>
      </c>
      <c r="O80" s="412">
        <f t="shared" si="117"/>
        <v>0</v>
      </c>
      <c r="P80" s="411">
        <f t="shared" si="104"/>
        <v>0</v>
      </c>
      <c r="Q80" s="1241" t="str">
        <f t="shared" si="105"/>
        <v>-</v>
      </c>
    </row>
    <row r="81" spans="1:22" ht="22.5" customHeight="1" thickBot="1">
      <c r="A81" s="362" t="s">
        <v>29</v>
      </c>
      <c r="B81" s="420">
        <f t="shared" ref="B81:C86" si="118">+B35-B58</f>
        <v>0</v>
      </c>
      <c r="C81" s="416">
        <f t="shared" si="118"/>
        <v>0</v>
      </c>
      <c r="D81" s="417">
        <f t="shared" ref="D81:O81" si="119">+D35-D58</f>
        <v>0</v>
      </c>
      <c r="E81" s="418">
        <f t="shared" si="119"/>
        <v>0</v>
      </c>
      <c r="F81" s="418">
        <f t="shared" si="119"/>
        <v>0</v>
      </c>
      <c r="G81" s="418">
        <f t="shared" si="119"/>
        <v>0</v>
      </c>
      <c r="H81" s="418">
        <f t="shared" si="119"/>
        <v>0</v>
      </c>
      <c r="I81" s="418">
        <f t="shared" si="119"/>
        <v>0</v>
      </c>
      <c r="J81" s="418">
        <f t="shared" si="119"/>
        <v>0</v>
      </c>
      <c r="K81" s="418">
        <f t="shared" si="119"/>
        <v>0</v>
      </c>
      <c r="L81" s="418">
        <f t="shared" si="119"/>
        <v>0</v>
      </c>
      <c r="M81" s="418">
        <f t="shared" si="119"/>
        <v>0</v>
      </c>
      <c r="N81" s="418">
        <f t="shared" si="119"/>
        <v>0</v>
      </c>
      <c r="O81" s="419">
        <f t="shared" si="119"/>
        <v>0</v>
      </c>
      <c r="P81" s="420">
        <f t="shared" si="104"/>
        <v>0</v>
      </c>
      <c r="Q81" s="1242" t="str">
        <f t="shared" si="105"/>
        <v>-</v>
      </c>
    </row>
    <row r="82" spans="1:22" ht="16.5" customHeight="1">
      <c r="A82" s="422" t="s">
        <v>19</v>
      </c>
      <c r="B82" s="423">
        <f t="shared" si="118"/>
        <v>0</v>
      </c>
      <c r="C82" s="424">
        <f t="shared" si="118"/>
        <v>0</v>
      </c>
      <c r="D82" s="425">
        <f t="shared" ref="D82:O82" si="120">+D36-D59</f>
        <v>0</v>
      </c>
      <c r="E82" s="426">
        <f t="shared" si="120"/>
        <v>0</v>
      </c>
      <c r="F82" s="426">
        <f t="shared" si="120"/>
        <v>0</v>
      </c>
      <c r="G82" s="426">
        <f t="shared" si="120"/>
        <v>0</v>
      </c>
      <c r="H82" s="426">
        <f t="shared" si="120"/>
        <v>0</v>
      </c>
      <c r="I82" s="426">
        <f t="shared" si="120"/>
        <v>0</v>
      </c>
      <c r="J82" s="426">
        <f t="shared" si="120"/>
        <v>0</v>
      </c>
      <c r="K82" s="426">
        <f t="shared" si="120"/>
        <v>0</v>
      </c>
      <c r="L82" s="426">
        <f t="shared" si="120"/>
        <v>0</v>
      </c>
      <c r="M82" s="426">
        <f t="shared" si="120"/>
        <v>0</v>
      </c>
      <c r="N82" s="426">
        <f t="shared" si="120"/>
        <v>0</v>
      </c>
      <c r="O82" s="427">
        <f t="shared" si="120"/>
        <v>0</v>
      </c>
      <c r="P82" s="428">
        <f t="shared" si="104"/>
        <v>0</v>
      </c>
      <c r="Q82" s="1243" t="str">
        <f t="shared" si="105"/>
        <v>-</v>
      </c>
    </row>
    <row r="83" spans="1:22" ht="16.5" customHeight="1" thickBot="1">
      <c r="A83" s="430" t="s">
        <v>20</v>
      </c>
      <c r="B83" s="431">
        <f t="shared" si="118"/>
        <v>0</v>
      </c>
      <c r="C83" s="432">
        <f t="shared" si="118"/>
        <v>0</v>
      </c>
      <c r="D83" s="433">
        <f t="shared" ref="D83:O83" si="121">+D37-D60</f>
        <v>0</v>
      </c>
      <c r="E83" s="434">
        <f t="shared" si="121"/>
        <v>0</v>
      </c>
      <c r="F83" s="434">
        <f t="shared" si="121"/>
        <v>0</v>
      </c>
      <c r="G83" s="434">
        <f t="shared" si="121"/>
        <v>0</v>
      </c>
      <c r="H83" s="434">
        <f t="shared" si="121"/>
        <v>0</v>
      </c>
      <c r="I83" s="434">
        <f t="shared" si="121"/>
        <v>0</v>
      </c>
      <c r="J83" s="434">
        <f t="shared" si="121"/>
        <v>0</v>
      </c>
      <c r="K83" s="434">
        <f t="shared" si="121"/>
        <v>0</v>
      </c>
      <c r="L83" s="434">
        <f t="shared" si="121"/>
        <v>0</v>
      </c>
      <c r="M83" s="434">
        <f t="shared" si="121"/>
        <v>0</v>
      </c>
      <c r="N83" s="434">
        <f t="shared" si="121"/>
        <v>0</v>
      </c>
      <c r="O83" s="435">
        <f t="shared" si="121"/>
        <v>0</v>
      </c>
      <c r="P83" s="436">
        <f t="shared" si="104"/>
        <v>0</v>
      </c>
      <c r="Q83" s="1244" t="str">
        <f t="shared" si="105"/>
        <v>-</v>
      </c>
    </row>
    <row r="84" spans="1:22" ht="22.5" customHeight="1" thickBot="1">
      <c r="A84" s="362" t="s">
        <v>30</v>
      </c>
      <c r="B84" s="363">
        <f t="shared" si="118"/>
        <v>0</v>
      </c>
      <c r="C84" s="364">
        <f t="shared" si="118"/>
        <v>0</v>
      </c>
      <c r="D84" s="365">
        <f t="shared" ref="D84:O84" si="122">+D38-D61</f>
        <v>0</v>
      </c>
      <c r="E84" s="366">
        <f t="shared" si="122"/>
        <v>0</v>
      </c>
      <c r="F84" s="366">
        <f t="shared" si="122"/>
        <v>0</v>
      </c>
      <c r="G84" s="366">
        <f t="shared" si="122"/>
        <v>0</v>
      </c>
      <c r="H84" s="366">
        <f t="shared" si="122"/>
        <v>0</v>
      </c>
      <c r="I84" s="366">
        <f t="shared" si="122"/>
        <v>0</v>
      </c>
      <c r="J84" s="366">
        <f t="shared" si="122"/>
        <v>0</v>
      </c>
      <c r="K84" s="366">
        <f t="shared" si="122"/>
        <v>0</v>
      </c>
      <c r="L84" s="366">
        <f t="shared" si="122"/>
        <v>0</v>
      </c>
      <c r="M84" s="366">
        <f t="shared" si="122"/>
        <v>0</v>
      </c>
      <c r="N84" s="366">
        <f t="shared" si="122"/>
        <v>0</v>
      </c>
      <c r="O84" s="448">
        <f t="shared" si="122"/>
        <v>0</v>
      </c>
      <c r="P84" s="363">
        <f t="shared" si="104"/>
        <v>0</v>
      </c>
      <c r="Q84" s="1236" t="str">
        <f t="shared" si="105"/>
        <v>-</v>
      </c>
    </row>
    <row r="85" spans="1:22" ht="16.5" customHeight="1">
      <c r="A85" s="422" t="s">
        <v>106</v>
      </c>
      <c r="B85" s="423">
        <f t="shared" si="118"/>
        <v>0</v>
      </c>
      <c r="C85" s="424">
        <f t="shared" si="118"/>
        <v>0</v>
      </c>
      <c r="D85" s="425">
        <f t="shared" ref="D85:O85" si="123">+D39-D62</f>
        <v>0</v>
      </c>
      <c r="E85" s="426">
        <f t="shared" si="123"/>
        <v>0</v>
      </c>
      <c r="F85" s="426">
        <f t="shared" si="123"/>
        <v>0</v>
      </c>
      <c r="G85" s="426">
        <f t="shared" si="123"/>
        <v>0</v>
      </c>
      <c r="H85" s="426">
        <f t="shared" si="123"/>
        <v>0</v>
      </c>
      <c r="I85" s="426">
        <f t="shared" si="123"/>
        <v>0</v>
      </c>
      <c r="J85" s="426">
        <f t="shared" si="123"/>
        <v>0</v>
      </c>
      <c r="K85" s="426">
        <f t="shared" si="123"/>
        <v>0</v>
      </c>
      <c r="L85" s="426">
        <f t="shared" si="123"/>
        <v>0</v>
      </c>
      <c r="M85" s="426">
        <f t="shared" si="123"/>
        <v>0</v>
      </c>
      <c r="N85" s="426">
        <f t="shared" si="123"/>
        <v>0</v>
      </c>
      <c r="O85" s="427">
        <f t="shared" si="123"/>
        <v>0</v>
      </c>
      <c r="P85" s="428">
        <f t="shared" si="104"/>
        <v>0</v>
      </c>
      <c r="Q85" s="1243" t="str">
        <f t="shared" si="105"/>
        <v>-</v>
      </c>
    </row>
    <row r="86" spans="1:22" ht="16.5" customHeight="1" thickBot="1">
      <c r="A86" s="438" t="s">
        <v>105</v>
      </c>
      <c r="B86" s="439">
        <f t="shared" si="118"/>
        <v>0</v>
      </c>
      <c r="C86" s="440">
        <f t="shared" si="118"/>
        <v>0</v>
      </c>
      <c r="D86" s="441">
        <f t="shared" ref="D86:O86" si="124">+D40-D63</f>
        <v>0</v>
      </c>
      <c r="E86" s="442">
        <f t="shared" si="124"/>
        <v>0</v>
      </c>
      <c r="F86" s="442">
        <f t="shared" si="124"/>
        <v>0</v>
      </c>
      <c r="G86" s="442">
        <f t="shared" si="124"/>
        <v>0</v>
      </c>
      <c r="H86" s="442">
        <f t="shared" si="124"/>
        <v>0</v>
      </c>
      <c r="I86" s="442">
        <f t="shared" si="124"/>
        <v>0</v>
      </c>
      <c r="J86" s="442">
        <f t="shared" si="124"/>
        <v>0</v>
      </c>
      <c r="K86" s="442">
        <f t="shared" si="124"/>
        <v>0</v>
      </c>
      <c r="L86" s="442">
        <f t="shared" si="124"/>
        <v>0</v>
      </c>
      <c r="M86" s="442">
        <f t="shared" si="124"/>
        <v>0</v>
      </c>
      <c r="N86" s="442">
        <f t="shared" si="124"/>
        <v>0</v>
      </c>
      <c r="O86" s="443">
        <f t="shared" si="124"/>
        <v>0</v>
      </c>
      <c r="P86" s="444">
        <f t="shared" si="104"/>
        <v>0</v>
      </c>
      <c r="Q86" s="1245" t="str">
        <f t="shared" si="10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25">+B42-B65</f>
        <v>0</v>
      </c>
      <c r="C88" s="364">
        <f t="shared" si="125"/>
        <v>0</v>
      </c>
      <c r="D88" s="365">
        <f t="shared" ref="D88:O88" si="126">+D42-D65</f>
        <v>0</v>
      </c>
      <c r="E88" s="366">
        <f t="shared" si="126"/>
        <v>0</v>
      </c>
      <c r="F88" s="366">
        <f t="shared" si="126"/>
        <v>0</v>
      </c>
      <c r="G88" s="366">
        <f t="shared" si="126"/>
        <v>0</v>
      </c>
      <c r="H88" s="366">
        <f t="shared" si="126"/>
        <v>0</v>
      </c>
      <c r="I88" s="366">
        <f t="shared" si="126"/>
        <v>0</v>
      </c>
      <c r="J88" s="366">
        <f t="shared" si="126"/>
        <v>0</v>
      </c>
      <c r="K88" s="366">
        <f t="shared" si="126"/>
        <v>0</v>
      </c>
      <c r="L88" s="366">
        <f t="shared" si="126"/>
        <v>0</v>
      </c>
      <c r="M88" s="366">
        <f t="shared" si="126"/>
        <v>0</v>
      </c>
      <c r="N88" s="366">
        <f t="shared" si="126"/>
        <v>0</v>
      </c>
      <c r="O88" s="448">
        <f t="shared" si="126"/>
        <v>0</v>
      </c>
      <c r="P88" s="363">
        <f>SUM(D88:O88)</f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>SUM(D89:O89)</f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27">+C71+C81+C84+C88</f>
        <v>0</v>
      </c>
      <c r="D90" s="365">
        <f t="shared" ref="D90:O90" si="128">+D71+D81+D84+D88</f>
        <v>0</v>
      </c>
      <c r="E90" s="366">
        <f t="shared" si="128"/>
        <v>0</v>
      </c>
      <c r="F90" s="366">
        <f t="shared" si="128"/>
        <v>0</v>
      </c>
      <c r="G90" s="366">
        <f t="shared" si="128"/>
        <v>0</v>
      </c>
      <c r="H90" s="366">
        <f t="shared" si="128"/>
        <v>0</v>
      </c>
      <c r="I90" s="366">
        <f t="shared" si="128"/>
        <v>0</v>
      </c>
      <c r="J90" s="366">
        <f t="shared" si="128"/>
        <v>0</v>
      </c>
      <c r="K90" s="366">
        <f t="shared" si="128"/>
        <v>0</v>
      </c>
      <c r="L90" s="366">
        <f t="shared" si="128"/>
        <v>0</v>
      </c>
      <c r="M90" s="366">
        <f t="shared" si="128"/>
        <v>0</v>
      </c>
      <c r="N90" s="366">
        <f t="shared" si="128"/>
        <v>0</v>
      </c>
      <c r="O90" s="448">
        <f t="shared" si="128"/>
        <v>0</v>
      </c>
      <c r="P90" s="363">
        <f>SUM(D90:O90)</f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707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29">C97+C98+C103</f>
        <v>0</v>
      </c>
      <c r="D94" s="365">
        <f t="shared" ref="D94:P94" si="130">D97+D98+D103</f>
        <v>0</v>
      </c>
      <c r="E94" s="366">
        <f t="shared" si="130"/>
        <v>0</v>
      </c>
      <c r="F94" s="366">
        <f t="shared" si="130"/>
        <v>0</v>
      </c>
      <c r="G94" s="366">
        <f t="shared" si="130"/>
        <v>0</v>
      </c>
      <c r="H94" s="366">
        <f t="shared" si="130"/>
        <v>0</v>
      </c>
      <c r="I94" s="366">
        <f t="shared" si="130"/>
        <v>0</v>
      </c>
      <c r="J94" s="366">
        <f t="shared" si="130"/>
        <v>0</v>
      </c>
      <c r="K94" s="366">
        <f t="shared" si="130"/>
        <v>0</v>
      </c>
      <c r="L94" s="366">
        <f t="shared" si="130"/>
        <v>0</v>
      </c>
      <c r="M94" s="366">
        <f t="shared" si="130"/>
        <v>0</v>
      </c>
      <c r="N94" s="366">
        <f t="shared" si="130"/>
        <v>0</v>
      </c>
      <c r="O94" s="364">
        <f t="shared" si="130"/>
        <v>0</v>
      </c>
      <c r="P94" s="363">
        <f t="shared" si="130"/>
        <v>0</v>
      </c>
      <c r="Q94" s="1236" t="str">
        <f t="shared" ref="Q94:Q109" si="131">IF(P94=0,"-",P94/C94-1)</f>
        <v>-</v>
      </c>
    </row>
    <row r="95" spans="1:22" ht="16.5" customHeight="1">
      <c r="A95" s="368" t="s">
        <v>15</v>
      </c>
      <c r="B95" s="369"/>
      <c r="C95" s="370">
        <f>B95/9*12</f>
        <v>0</v>
      </c>
      <c r="D95" s="371">
        <f>D5*'Alış Fiyat'!D317</f>
        <v>0</v>
      </c>
      <c r="E95" s="372">
        <f>E5*'Alış Fiyat'!E317</f>
        <v>0</v>
      </c>
      <c r="F95" s="372">
        <f>F5*'Alış Fiyat'!F317</f>
        <v>0</v>
      </c>
      <c r="G95" s="372">
        <f>G5*'Alış Fiyat'!G317</f>
        <v>0</v>
      </c>
      <c r="H95" s="373">
        <f>H5*'Alış Fiyat'!H317</f>
        <v>0</v>
      </c>
      <c r="I95" s="373">
        <f>I5*'Alış Fiyat'!I317</f>
        <v>0</v>
      </c>
      <c r="J95" s="373">
        <f>J5*'Alış Fiyat'!J317</f>
        <v>0</v>
      </c>
      <c r="K95" s="373">
        <f>K5*'Alış Fiyat'!K317</f>
        <v>0</v>
      </c>
      <c r="L95" s="373">
        <f>L5*'Alış Fiyat'!L317</f>
        <v>0</v>
      </c>
      <c r="M95" s="373">
        <f>M5*'Alış Fiyat'!M317</f>
        <v>0</v>
      </c>
      <c r="N95" s="373">
        <f>N5*'Alış Fiyat'!N317</f>
        <v>0</v>
      </c>
      <c r="O95" s="374">
        <f>O5*'Alış Fiyat'!O317</f>
        <v>0</v>
      </c>
      <c r="P95" s="369">
        <f t="shared" ref="P95:P102" si="132">SUM(D95:O95)</f>
        <v>0</v>
      </c>
      <c r="Q95" s="1237" t="str">
        <f t="shared" si="131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Fiyat'!D318</f>
        <v>0</v>
      </c>
      <c r="E96" s="381">
        <f>E6*'Alış Fiyat'!E318</f>
        <v>0</v>
      </c>
      <c r="F96" s="381">
        <f>F6*'Alış Fiyat'!F318</f>
        <v>0</v>
      </c>
      <c r="G96" s="381">
        <f>G6*'Alış Fiyat'!G318</f>
        <v>0</v>
      </c>
      <c r="H96" s="382">
        <f>H6*'Alış Fiyat'!H318</f>
        <v>0</v>
      </c>
      <c r="I96" s="382">
        <f>I6*'Alış Fiyat'!I318</f>
        <v>0</v>
      </c>
      <c r="J96" s="382">
        <f>J6*'Alış Fiyat'!J318</f>
        <v>0</v>
      </c>
      <c r="K96" s="382">
        <f>K6*'Alış Fiyat'!K318</f>
        <v>0</v>
      </c>
      <c r="L96" s="382">
        <f>L6*'Alış Fiyat'!L318</f>
        <v>0</v>
      </c>
      <c r="M96" s="382">
        <f>M6*'Alış Fiyat'!M318</f>
        <v>0</v>
      </c>
      <c r="N96" s="382">
        <f>N6*'Alış Fiyat'!N318</f>
        <v>0</v>
      </c>
      <c r="O96" s="383">
        <f>O6*'Alış Fiyat'!O318</f>
        <v>0</v>
      </c>
      <c r="P96" s="378">
        <f t="shared" si="132"/>
        <v>0</v>
      </c>
      <c r="Q96" s="1238" t="str">
        <f t="shared" si="131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33">SUM(D95:D96)</f>
        <v>0</v>
      </c>
      <c r="E97" s="389">
        <f t="shared" si="133"/>
        <v>0</v>
      </c>
      <c r="F97" s="389">
        <f t="shared" si="133"/>
        <v>0</v>
      </c>
      <c r="G97" s="389">
        <f t="shared" si="133"/>
        <v>0</v>
      </c>
      <c r="H97" s="389">
        <f t="shared" si="133"/>
        <v>0</v>
      </c>
      <c r="I97" s="389">
        <f t="shared" si="133"/>
        <v>0</v>
      </c>
      <c r="J97" s="389">
        <f t="shared" si="133"/>
        <v>0</v>
      </c>
      <c r="K97" s="389">
        <f t="shared" si="133"/>
        <v>0</v>
      </c>
      <c r="L97" s="389">
        <f t="shared" si="133"/>
        <v>0</v>
      </c>
      <c r="M97" s="389">
        <f t="shared" si="133"/>
        <v>0</v>
      </c>
      <c r="N97" s="389">
        <f t="shared" si="133"/>
        <v>0</v>
      </c>
      <c r="O97" s="390">
        <f t="shared" si="133"/>
        <v>0</v>
      </c>
      <c r="P97" s="391">
        <f t="shared" si="132"/>
        <v>0</v>
      </c>
      <c r="Q97" s="1239" t="str">
        <f t="shared" si="131"/>
        <v>-</v>
      </c>
    </row>
    <row r="98" spans="1:22" ht="16.5" customHeight="1">
      <c r="A98" s="393" t="s">
        <v>17</v>
      </c>
      <c r="B98" s="394"/>
      <c r="C98" s="395"/>
      <c r="D98" s="396">
        <f>D8*'Alış Fiyat'!D320</f>
        <v>0</v>
      </c>
      <c r="E98" s="397">
        <f>E8*'Alış Fiyat'!E320</f>
        <v>0</v>
      </c>
      <c r="F98" s="397">
        <f>F8*'Alış Fiyat'!F320</f>
        <v>0</v>
      </c>
      <c r="G98" s="397">
        <f>G8*'Alış Fiyat'!G320</f>
        <v>0</v>
      </c>
      <c r="H98" s="397">
        <f>H8*'Alış Fiyat'!H320</f>
        <v>0</v>
      </c>
      <c r="I98" s="397">
        <f>I8*'Alış Fiyat'!I320</f>
        <v>0</v>
      </c>
      <c r="J98" s="397">
        <f>J8*'Alış Fiyat'!J320</f>
        <v>0</v>
      </c>
      <c r="K98" s="397">
        <f>K8*'Alış Fiyat'!K320</f>
        <v>0</v>
      </c>
      <c r="L98" s="397">
        <f>L8*'Alış Fiyat'!L320</f>
        <v>0</v>
      </c>
      <c r="M98" s="397">
        <f>M8*'Alış Fiyat'!M320</f>
        <v>0</v>
      </c>
      <c r="N98" s="397">
        <f>N8*'Alış Fiyat'!N320</f>
        <v>0</v>
      </c>
      <c r="O98" s="398">
        <f>O8*'Alış Fiyat'!O320</f>
        <v>0</v>
      </c>
      <c r="P98" s="399">
        <f t="shared" si="132"/>
        <v>0</v>
      </c>
      <c r="Q98" s="1238" t="str">
        <f t="shared" si="131"/>
        <v>-</v>
      </c>
    </row>
    <row r="99" spans="1:22" ht="16.5" customHeight="1">
      <c r="A99" s="400" t="s">
        <v>81</v>
      </c>
      <c r="B99" s="386"/>
      <c r="C99" s="401">
        <f>B99/9*12</f>
        <v>0</v>
      </c>
      <c r="D99" s="388">
        <f>D9*'Alış Fiyat'!D321</f>
        <v>0</v>
      </c>
      <c r="E99" s="389">
        <f>E9*'Alış Fiyat'!E321</f>
        <v>0</v>
      </c>
      <c r="F99" s="389">
        <f>F9*'Alış Fiyat'!F321</f>
        <v>0</v>
      </c>
      <c r="G99" s="389">
        <f>G9*'Alış Fiyat'!G321</f>
        <v>0</v>
      </c>
      <c r="H99" s="389">
        <f>H9*'Alış Fiyat'!H321</f>
        <v>0</v>
      </c>
      <c r="I99" s="389">
        <f>I9*'Alış Fiyat'!I321</f>
        <v>0</v>
      </c>
      <c r="J99" s="389">
        <f>J9*'Alış Fiyat'!J321</f>
        <v>0</v>
      </c>
      <c r="K99" s="389">
        <f>K9*'Alış Fiyat'!K321</f>
        <v>0</v>
      </c>
      <c r="L99" s="389">
        <f>L9*'Alış Fiyat'!L321</f>
        <v>0</v>
      </c>
      <c r="M99" s="389">
        <f>M9*'Alış Fiyat'!M321</f>
        <v>0</v>
      </c>
      <c r="N99" s="389">
        <f>N9*'Alış Fiyat'!N321</f>
        <v>0</v>
      </c>
      <c r="O99" s="390">
        <f>O9*'Alış Fiyat'!O321</f>
        <v>0</v>
      </c>
      <c r="P99" s="386">
        <f t="shared" si="132"/>
        <v>0</v>
      </c>
      <c r="Q99" s="1240" t="str">
        <f t="shared" si="131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Fiyat'!D322</f>
        <v>0</v>
      </c>
      <c r="E100" s="397">
        <f>E10*'Alış Fiyat'!E322</f>
        <v>0</v>
      </c>
      <c r="F100" s="397">
        <f>F10*'Alış Fiyat'!F322</f>
        <v>0</v>
      </c>
      <c r="G100" s="397">
        <f>G10*'Alış Fiyat'!G322</f>
        <v>0</v>
      </c>
      <c r="H100" s="397">
        <f>H10*'Alış Fiyat'!H322</f>
        <v>0</v>
      </c>
      <c r="I100" s="397">
        <f>I10*'Alış Fiyat'!I322</f>
        <v>0</v>
      </c>
      <c r="J100" s="397">
        <f>J10*'Alış Fiyat'!J322</f>
        <v>0</v>
      </c>
      <c r="K100" s="397">
        <f>K10*'Alış Fiyat'!K322</f>
        <v>0</v>
      </c>
      <c r="L100" s="397">
        <f>L10*'Alış Fiyat'!L322</f>
        <v>0</v>
      </c>
      <c r="M100" s="397">
        <f>M10*'Alış Fiyat'!M322</f>
        <v>0</v>
      </c>
      <c r="N100" s="397">
        <f>N10*'Alış Fiyat'!N322</f>
        <v>0</v>
      </c>
      <c r="O100" s="398">
        <f>O10*'Alış Fiyat'!O322</f>
        <v>0</v>
      </c>
      <c r="P100" s="399">
        <f t="shared" si="132"/>
        <v>0</v>
      </c>
      <c r="Q100" s="1238" t="str">
        <f t="shared" si="131"/>
        <v>-</v>
      </c>
    </row>
    <row r="101" spans="1:22" ht="16.5" customHeight="1">
      <c r="A101" s="400" t="s">
        <v>83</v>
      </c>
      <c r="B101" s="408"/>
      <c r="C101" s="409"/>
      <c r="D101" s="402">
        <f>D11*'Alış Fiyat'!D323</f>
        <v>0</v>
      </c>
      <c r="E101" s="403">
        <f>E11*'Alış Fiyat'!E323</f>
        <v>0</v>
      </c>
      <c r="F101" s="403">
        <f>F11*'Alış Fiyat'!F323</f>
        <v>0</v>
      </c>
      <c r="G101" s="403">
        <f>G11*'Alış Fiyat'!G323</f>
        <v>0</v>
      </c>
      <c r="H101" s="403">
        <f>H11*'Alış Fiyat'!H323</f>
        <v>0</v>
      </c>
      <c r="I101" s="403">
        <f>I11*'Alış Fiyat'!I323</f>
        <v>0</v>
      </c>
      <c r="J101" s="403">
        <f>J11*'Alış Fiyat'!J323</f>
        <v>0</v>
      </c>
      <c r="K101" s="403">
        <f>K11*'Alış Fiyat'!K323</f>
        <v>0</v>
      </c>
      <c r="L101" s="403">
        <f>L11*'Alış Fiyat'!L323</f>
        <v>0</v>
      </c>
      <c r="M101" s="403">
        <f>M11*'Alış Fiyat'!M323</f>
        <v>0</v>
      </c>
      <c r="N101" s="403">
        <f>N11*'Alış Fiyat'!N323</f>
        <v>0</v>
      </c>
      <c r="O101" s="404">
        <f>O11*'Alış Fiyat'!O323</f>
        <v>0</v>
      </c>
      <c r="P101" s="386">
        <f t="shared" si="132"/>
        <v>0</v>
      </c>
      <c r="Q101" s="1240" t="str">
        <f t="shared" si="131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Fiyat'!D324</f>
        <v>0</v>
      </c>
      <c r="E102" s="382">
        <f>E12*'Alış Fiyat'!E324</f>
        <v>0</v>
      </c>
      <c r="F102" s="382">
        <f>F12*'Alış Fiyat'!F324</f>
        <v>0</v>
      </c>
      <c r="G102" s="382">
        <f>G12*'Alış Fiyat'!G324</f>
        <v>0</v>
      </c>
      <c r="H102" s="382">
        <f>H12*'Alış Fiyat'!H324</f>
        <v>0</v>
      </c>
      <c r="I102" s="381">
        <f>I12*'Alış Fiyat'!I324</f>
        <v>0</v>
      </c>
      <c r="J102" s="381">
        <f>J12*'Alış Fiyat'!J324</f>
        <v>0</v>
      </c>
      <c r="K102" s="382">
        <f>K12*'Alış Fiyat'!K324</f>
        <v>0</v>
      </c>
      <c r="L102" s="382">
        <f>L12*'Alış Fiyat'!L324</f>
        <v>0</v>
      </c>
      <c r="M102" s="382">
        <f>M12*'Alış Fiyat'!M324</f>
        <v>0</v>
      </c>
      <c r="N102" s="382">
        <f>N12*'Alış Fiyat'!N324</f>
        <v>0</v>
      </c>
      <c r="O102" s="383">
        <f>O12*'Alış Fiyat'!O324</f>
        <v>0</v>
      </c>
      <c r="P102" s="399">
        <f t="shared" si="132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34">SUM(E99:E102)</f>
        <v>0</v>
      </c>
      <c r="F103" s="414">
        <f t="shared" si="134"/>
        <v>0</v>
      </c>
      <c r="G103" s="414">
        <f t="shared" si="134"/>
        <v>0</v>
      </c>
      <c r="H103" s="414">
        <f t="shared" si="134"/>
        <v>0</v>
      </c>
      <c r="I103" s="414">
        <f t="shared" si="134"/>
        <v>0</v>
      </c>
      <c r="J103" s="414">
        <f t="shared" si="134"/>
        <v>0</v>
      </c>
      <c r="K103" s="414">
        <f t="shared" si="134"/>
        <v>0</v>
      </c>
      <c r="L103" s="414">
        <f t="shared" si="134"/>
        <v>0</v>
      </c>
      <c r="M103" s="414">
        <f t="shared" si="134"/>
        <v>0</v>
      </c>
      <c r="N103" s="414">
        <f t="shared" si="134"/>
        <v>0</v>
      </c>
      <c r="O103" s="412">
        <f t="shared" si="134"/>
        <v>0</v>
      </c>
      <c r="P103" s="411">
        <f t="shared" si="134"/>
        <v>0</v>
      </c>
      <c r="Q103" s="1241" t="str">
        <f t="shared" si="131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35">SUM(C105:C106)</f>
        <v>0</v>
      </c>
      <c r="D104" s="417">
        <f t="shared" ref="D104:P104" si="136">SUM(D105:D106)</f>
        <v>0</v>
      </c>
      <c r="E104" s="418">
        <f t="shared" si="136"/>
        <v>0</v>
      </c>
      <c r="F104" s="418">
        <f t="shared" si="136"/>
        <v>0</v>
      </c>
      <c r="G104" s="418">
        <f t="shared" si="136"/>
        <v>0</v>
      </c>
      <c r="H104" s="418">
        <f t="shared" si="136"/>
        <v>0</v>
      </c>
      <c r="I104" s="418">
        <f t="shared" si="136"/>
        <v>0</v>
      </c>
      <c r="J104" s="418">
        <f t="shared" si="136"/>
        <v>0</v>
      </c>
      <c r="K104" s="418">
        <f t="shared" si="136"/>
        <v>0</v>
      </c>
      <c r="L104" s="418">
        <f t="shared" si="136"/>
        <v>0</v>
      </c>
      <c r="M104" s="418">
        <f t="shared" si="136"/>
        <v>0</v>
      </c>
      <c r="N104" s="418">
        <f t="shared" si="136"/>
        <v>0</v>
      </c>
      <c r="O104" s="419">
        <f t="shared" si="136"/>
        <v>0</v>
      </c>
      <c r="P104" s="420">
        <f t="shared" si="136"/>
        <v>0</v>
      </c>
      <c r="Q104" s="1242" t="str">
        <f t="shared" si="131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Fiyat'!D327</f>
        <v>0</v>
      </c>
      <c r="E105" s="426">
        <f>E15*'Alış Fiyat'!E327</f>
        <v>0</v>
      </c>
      <c r="F105" s="426">
        <f>F15*'Alış Fiyat'!F327</f>
        <v>0</v>
      </c>
      <c r="G105" s="426">
        <f>G15*'Alış Fiyat'!G327</f>
        <v>0</v>
      </c>
      <c r="H105" s="426">
        <f>H15*'Alış Fiyat'!H327</f>
        <v>0</v>
      </c>
      <c r="I105" s="426">
        <f>I15*'Alış Fiyat'!I327</f>
        <v>0</v>
      </c>
      <c r="J105" s="426">
        <f>J15*'Alış Fiyat'!J327</f>
        <v>0</v>
      </c>
      <c r="K105" s="426">
        <f>K15*'Alış Fiyat'!K327</f>
        <v>0</v>
      </c>
      <c r="L105" s="426">
        <f>L15*'Alış Fiyat'!L327</f>
        <v>0</v>
      </c>
      <c r="M105" s="426">
        <f>M15*'Alış Fiyat'!M327</f>
        <v>0</v>
      </c>
      <c r="N105" s="426">
        <f>N15*'Alış Fiyat'!N327</f>
        <v>0</v>
      </c>
      <c r="O105" s="427">
        <f>O15*'Alış Fiyat'!O327</f>
        <v>0</v>
      </c>
      <c r="P105" s="428">
        <f>SUM(D105:O105)</f>
        <v>0</v>
      </c>
      <c r="Q105" s="1243" t="str">
        <f t="shared" si="131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Fiyat'!D328</f>
        <v>0</v>
      </c>
      <c r="E106" s="434">
        <f>E16*'Alış Fiyat'!E328</f>
        <v>0</v>
      </c>
      <c r="F106" s="434">
        <f>F16*'Alış Fiyat'!F328</f>
        <v>0</v>
      </c>
      <c r="G106" s="434">
        <f>G16*'Alış Fiyat'!G328</f>
        <v>0</v>
      </c>
      <c r="H106" s="434">
        <f>H16*'Alış Fiyat'!H328</f>
        <v>0</v>
      </c>
      <c r="I106" s="434">
        <f>I16*'Alış Fiyat'!I328</f>
        <v>0</v>
      </c>
      <c r="J106" s="434">
        <f>J16*'Alış Fiyat'!J328</f>
        <v>0</v>
      </c>
      <c r="K106" s="434">
        <f>K16*'Alış Fiyat'!K328</f>
        <v>0</v>
      </c>
      <c r="L106" s="434">
        <f>L16*'Alış Fiyat'!L328</f>
        <v>0</v>
      </c>
      <c r="M106" s="434">
        <f>M16*'Alış Fiyat'!M328</f>
        <v>0</v>
      </c>
      <c r="N106" s="434">
        <f>N16*'Alış Fiyat'!N328</f>
        <v>0</v>
      </c>
      <c r="O106" s="435">
        <f>O16*'Alış Fiyat'!O328</f>
        <v>0</v>
      </c>
      <c r="P106" s="436">
        <f>SUM(D106:O106)</f>
        <v>0</v>
      </c>
      <c r="Q106" s="1244" t="str">
        <f t="shared" si="131"/>
        <v>-</v>
      </c>
    </row>
    <row r="107" spans="1:22" ht="22.5" customHeight="1" thickBot="1">
      <c r="A107" s="362" t="s">
        <v>30</v>
      </c>
      <c r="B107" s="363">
        <f t="shared" ref="B107:C107" si="137">SUM(B108:B109)</f>
        <v>0</v>
      </c>
      <c r="C107" s="416">
        <f t="shared" si="137"/>
        <v>0</v>
      </c>
      <c r="D107" s="417">
        <f t="shared" ref="D107:P107" si="138">SUM(D108:D109)</f>
        <v>0</v>
      </c>
      <c r="E107" s="418">
        <f t="shared" si="138"/>
        <v>0</v>
      </c>
      <c r="F107" s="418">
        <f t="shared" si="138"/>
        <v>0</v>
      </c>
      <c r="G107" s="418">
        <f t="shared" si="138"/>
        <v>0</v>
      </c>
      <c r="H107" s="418">
        <f t="shared" si="138"/>
        <v>0</v>
      </c>
      <c r="I107" s="418">
        <f t="shared" si="138"/>
        <v>0</v>
      </c>
      <c r="J107" s="418">
        <f t="shared" si="138"/>
        <v>0</v>
      </c>
      <c r="K107" s="418">
        <f t="shared" si="138"/>
        <v>0</v>
      </c>
      <c r="L107" s="418">
        <f t="shared" si="138"/>
        <v>0</v>
      </c>
      <c r="M107" s="418">
        <f t="shared" si="138"/>
        <v>0</v>
      </c>
      <c r="N107" s="418">
        <f t="shared" si="138"/>
        <v>0</v>
      </c>
      <c r="O107" s="419">
        <f t="shared" si="138"/>
        <v>0</v>
      </c>
      <c r="P107" s="420">
        <f t="shared" si="138"/>
        <v>0</v>
      </c>
      <c r="Q107" s="1242" t="str">
        <f t="shared" si="131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Fiyat'!D330</f>
        <v>0</v>
      </c>
      <c r="E108" s="426">
        <f>E18*'Alış Fiyat'!E330</f>
        <v>0</v>
      </c>
      <c r="F108" s="426">
        <f>F18*'Alış Fiyat'!F330</f>
        <v>0</v>
      </c>
      <c r="G108" s="426">
        <f>G18*'Alış Fiyat'!G330</f>
        <v>0</v>
      </c>
      <c r="H108" s="426">
        <f>H18*'Alış Fiyat'!H330</f>
        <v>0</v>
      </c>
      <c r="I108" s="426">
        <f>I18*'Alış Fiyat'!I330</f>
        <v>0</v>
      </c>
      <c r="J108" s="426">
        <f>J18*'Alış Fiyat'!J330</f>
        <v>0</v>
      </c>
      <c r="K108" s="426">
        <f>K18*'Alış Fiyat'!K330</f>
        <v>0</v>
      </c>
      <c r="L108" s="426">
        <f>L18*'Alış Fiyat'!L330</f>
        <v>0</v>
      </c>
      <c r="M108" s="426">
        <f>M18*'Alış Fiyat'!M330</f>
        <v>0</v>
      </c>
      <c r="N108" s="426">
        <f>N18*'Alış Fiyat'!N330</f>
        <v>0</v>
      </c>
      <c r="O108" s="427">
        <f>O18*'Alış Fiyat'!O330</f>
        <v>0</v>
      </c>
      <c r="P108" s="428">
        <f>SUM(D108:O108)</f>
        <v>0</v>
      </c>
      <c r="Q108" s="1243" t="str">
        <f t="shared" si="131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Fiyat'!D331</f>
        <v>0</v>
      </c>
      <c r="E109" s="442">
        <f>E19*'Alış Fiyat'!E331</f>
        <v>0</v>
      </c>
      <c r="F109" s="442">
        <f>F19*'Alış Fiyat'!F331</f>
        <v>0</v>
      </c>
      <c r="G109" s="442">
        <f>G19*'Alış Fiyat'!G331</f>
        <v>0</v>
      </c>
      <c r="H109" s="442">
        <f>H19*'Alış Fiyat'!H331</f>
        <v>0</v>
      </c>
      <c r="I109" s="442">
        <f>I19*'Alış Fiyat'!I331</f>
        <v>0</v>
      </c>
      <c r="J109" s="442">
        <f>J19*'Alış Fiyat'!J331</f>
        <v>0</v>
      </c>
      <c r="K109" s="442">
        <f>K19*'Alış Fiyat'!K331</f>
        <v>0</v>
      </c>
      <c r="L109" s="442">
        <f>L19*'Alış Fiyat'!L331</f>
        <v>0</v>
      </c>
      <c r="M109" s="442">
        <f>M19*'Alış Fiyat'!M331</f>
        <v>0</v>
      </c>
      <c r="N109" s="442">
        <f>N19*'Alış Fiyat'!N331</f>
        <v>0</v>
      </c>
      <c r="O109" s="443">
        <f>O19*'Alış Fiyat'!O331</f>
        <v>0</v>
      </c>
      <c r="P109" s="444">
        <f>SUM(D109:O109)</f>
        <v>0</v>
      </c>
      <c r="Q109" s="1245" t="str">
        <f t="shared" si="131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Fiyat'!D333</f>
        <v>0</v>
      </c>
      <c r="E111" s="366">
        <f>E21*'Alış Fiyat'!E333</f>
        <v>0</v>
      </c>
      <c r="F111" s="366">
        <f>F21*'Alış Fiyat'!F333</f>
        <v>0</v>
      </c>
      <c r="G111" s="366">
        <f>G21*'Alış Fiyat'!G333</f>
        <v>0</v>
      </c>
      <c r="H111" s="366">
        <f>H21*'Alış Fiyat'!H333</f>
        <v>0</v>
      </c>
      <c r="I111" s="366">
        <f>I21*'Alış Fiyat'!I333</f>
        <v>0</v>
      </c>
      <c r="J111" s="366">
        <f>J21*'Alış Fiyat'!J333</f>
        <v>0</v>
      </c>
      <c r="K111" s="366">
        <f>K21*'Alış Fiyat'!K333</f>
        <v>0</v>
      </c>
      <c r="L111" s="366">
        <f>L21*'Alış Fiyat'!L333</f>
        <v>0</v>
      </c>
      <c r="M111" s="366">
        <f>M21*'Alış Fiyat'!M333</f>
        <v>0</v>
      </c>
      <c r="N111" s="366">
        <f>N21*'Alış Fiyat'!N333</f>
        <v>0</v>
      </c>
      <c r="O111" s="448">
        <f>O21*'Alış Fiyat'!O333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39">+C94+C104+C107+C111</f>
        <v>0</v>
      </c>
      <c r="D113" s="365">
        <f t="shared" ref="D113:P113" si="140">+D94+D104+D107+D111</f>
        <v>0</v>
      </c>
      <c r="E113" s="366">
        <f t="shared" si="140"/>
        <v>0</v>
      </c>
      <c r="F113" s="366">
        <f t="shared" si="140"/>
        <v>0</v>
      </c>
      <c r="G113" s="366">
        <f t="shared" si="140"/>
        <v>0</v>
      </c>
      <c r="H113" s="366">
        <f t="shared" si="140"/>
        <v>0</v>
      </c>
      <c r="I113" s="366">
        <f t="shared" si="140"/>
        <v>0</v>
      </c>
      <c r="J113" s="366">
        <f t="shared" si="140"/>
        <v>0</v>
      </c>
      <c r="K113" s="366">
        <f t="shared" si="140"/>
        <v>0</v>
      </c>
      <c r="L113" s="366">
        <f t="shared" si="140"/>
        <v>0</v>
      </c>
      <c r="M113" s="366">
        <f t="shared" si="140"/>
        <v>0</v>
      </c>
      <c r="N113" s="366">
        <f t="shared" si="140"/>
        <v>0</v>
      </c>
      <c r="O113" s="448">
        <f t="shared" si="140"/>
        <v>0</v>
      </c>
      <c r="P113" s="363">
        <f t="shared" si="140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708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41">C120+C121+C126</f>
        <v>0</v>
      </c>
      <c r="D117" s="365">
        <f t="shared" ref="D117:P117" si="142">D120+D121+D126</f>
        <v>0</v>
      </c>
      <c r="E117" s="366">
        <f t="shared" si="142"/>
        <v>0</v>
      </c>
      <c r="F117" s="366">
        <f t="shared" si="142"/>
        <v>0</v>
      </c>
      <c r="G117" s="366">
        <f t="shared" si="142"/>
        <v>0</v>
      </c>
      <c r="H117" s="366">
        <f t="shared" si="142"/>
        <v>0</v>
      </c>
      <c r="I117" s="366">
        <f t="shared" si="142"/>
        <v>0</v>
      </c>
      <c r="J117" s="366">
        <f t="shared" si="142"/>
        <v>0</v>
      </c>
      <c r="K117" s="366">
        <f t="shared" si="142"/>
        <v>0</v>
      </c>
      <c r="L117" s="366">
        <f t="shared" si="142"/>
        <v>0</v>
      </c>
      <c r="M117" s="366">
        <f t="shared" si="142"/>
        <v>0</v>
      </c>
      <c r="N117" s="366">
        <f t="shared" si="142"/>
        <v>0</v>
      </c>
      <c r="O117" s="364">
        <f t="shared" si="142"/>
        <v>0</v>
      </c>
      <c r="P117" s="363">
        <f t="shared" si="142"/>
        <v>0</v>
      </c>
      <c r="Q117" s="1236" t="str">
        <f t="shared" ref="Q117:Q132" si="143">IF(P117=0,"-",P117/C117-1)</f>
        <v>-</v>
      </c>
    </row>
    <row r="118" spans="1:22" ht="16.5" customHeight="1">
      <c r="A118" s="368" t="s">
        <v>15</v>
      </c>
      <c r="B118" s="369">
        <f t="shared" ref="B118:C119" si="144">+B72-B95</f>
        <v>0</v>
      </c>
      <c r="C118" s="370">
        <f t="shared" si="144"/>
        <v>0</v>
      </c>
      <c r="D118" s="371">
        <f t="shared" ref="D118:O118" si="145">+D72-D95</f>
        <v>0</v>
      </c>
      <c r="E118" s="372">
        <f t="shared" si="145"/>
        <v>0</v>
      </c>
      <c r="F118" s="372">
        <f t="shared" si="145"/>
        <v>0</v>
      </c>
      <c r="G118" s="372">
        <f t="shared" si="145"/>
        <v>0</v>
      </c>
      <c r="H118" s="373">
        <f t="shared" si="145"/>
        <v>0</v>
      </c>
      <c r="I118" s="373">
        <f t="shared" si="145"/>
        <v>0</v>
      </c>
      <c r="J118" s="373">
        <f t="shared" si="145"/>
        <v>0</v>
      </c>
      <c r="K118" s="373">
        <f t="shared" si="145"/>
        <v>0</v>
      </c>
      <c r="L118" s="373">
        <f t="shared" si="145"/>
        <v>0</v>
      </c>
      <c r="M118" s="373">
        <f t="shared" si="145"/>
        <v>0</v>
      </c>
      <c r="N118" s="373">
        <f t="shared" si="145"/>
        <v>0</v>
      </c>
      <c r="O118" s="374">
        <f t="shared" si="145"/>
        <v>0</v>
      </c>
      <c r="P118" s="369">
        <f t="shared" ref="P118:P125" si="146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44"/>
        <v>0</v>
      </c>
      <c r="C119" s="379">
        <f t="shared" si="144"/>
        <v>0</v>
      </c>
      <c r="D119" s="380">
        <f t="shared" ref="D119:O119" si="147">+D73-D96</f>
        <v>0</v>
      </c>
      <c r="E119" s="381">
        <f t="shared" si="147"/>
        <v>0</v>
      </c>
      <c r="F119" s="381">
        <f t="shared" si="147"/>
        <v>0</v>
      </c>
      <c r="G119" s="381">
        <f t="shared" si="147"/>
        <v>0</v>
      </c>
      <c r="H119" s="382">
        <f t="shared" si="147"/>
        <v>0</v>
      </c>
      <c r="I119" s="382">
        <f t="shared" si="147"/>
        <v>0</v>
      </c>
      <c r="J119" s="382">
        <f t="shared" si="147"/>
        <v>0</v>
      </c>
      <c r="K119" s="382">
        <f t="shared" si="147"/>
        <v>0</v>
      </c>
      <c r="L119" s="382">
        <f t="shared" si="147"/>
        <v>0</v>
      </c>
      <c r="M119" s="382">
        <f t="shared" si="147"/>
        <v>0</v>
      </c>
      <c r="N119" s="382">
        <f t="shared" si="147"/>
        <v>0</v>
      </c>
      <c r="O119" s="383">
        <f t="shared" si="147"/>
        <v>0</v>
      </c>
      <c r="P119" s="378">
        <f t="shared" si="146"/>
        <v>0</v>
      </c>
      <c r="Q119" s="1238" t="str">
        <f t="shared" si="143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48">SUM(D118:D119)</f>
        <v>0</v>
      </c>
      <c r="E120" s="389">
        <f t="shared" si="148"/>
        <v>0</v>
      </c>
      <c r="F120" s="389">
        <f t="shared" si="148"/>
        <v>0</v>
      </c>
      <c r="G120" s="389">
        <f t="shared" si="148"/>
        <v>0</v>
      </c>
      <c r="H120" s="389">
        <f t="shared" si="148"/>
        <v>0</v>
      </c>
      <c r="I120" s="389">
        <f t="shared" si="148"/>
        <v>0</v>
      </c>
      <c r="J120" s="389">
        <f t="shared" si="148"/>
        <v>0</v>
      </c>
      <c r="K120" s="389">
        <f t="shared" si="148"/>
        <v>0</v>
      </c>
      <c r="L120" s="389">
        <f t="shared" si="148"/>
        <v>0</v>
      </c>
      <c r="M120" s="389">
        <f t="shared" si="148"/>
        <v>0</v>
      </c>
      <c r="N120" s="389">
        <f t="shared" si="148"/>
        <v>0</v>
      </c>
      <c r="O120" s="390">
        <f t="shared" si="148"/>
        <v>0</v>
      </c>
      <c r="P120" s="391">
        <f t="shared" si="146"/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49">+B75-B98</f>
        <v>0</v>
      </c>
      <c r="C121" s="395">
        <f t="shared" si="149"/>
        <v>0</v>
      </c>
      <c r="D121" s="396">
        <f t="shared" ref="D121:O121" si="150">+D75-D98</f>
        <v>0</v>
      </c>
      <c r="E121" s="397">
        <f t="shared" si="150"/>
        <v>0</v>
      </c>
      <c r="F121" s="397">
        <f t="shared" si="150"/>
        <v>0</v>
      </c>
      <c r="G121" s="397">
        <f t="shared" si="150"/>
        <v>0</v>
      </c>
      <c r="H121" s="397">
        <f t="shared" si="150"/>
        <v>0</v>
      </c>
      <c r="I121" s="397">
        <f t="shared" si="150"/>
        <v>0</v>
      </c>
      <c r="J121" s="397">
        <f t="shared" si="150"/>
        <v>0</v>
      </c>
      <c r="K121" s="397">
        <f t="shared" si="150"/>
        <v>0</v>
      </c>
      <c r="L121" s="397">
        <f t="shared" si="150"/>
        <v>0</v>
      </c>
      <c r="M121" s="397">
        <f t="shared" si="150"/>
        <v>0</v>
      </c>
      <c r="N121" s="397">
        <f t="shared" si="150"/>
        <v>0</v>
      </c>
      <c r="O121" s="398">
        <f t="shared" si="150"/>
        <v>0</v>
      </c>
      <c r="P121" s="399">
        <f t="shared" si="146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49"/>
        <v>0</v>
      </c>
      <c r="C122" s="450">
        <f t="shared" si="149"/>
        <v>0</v>
      </c>
      <c r="D122" s="402">
        <f t="shared" ref="D122:O122" si="151">+D76-D99</f>
        <v>0</v>
      </c>
      <c r="E122" s="403">
        <f t="shared" si="151"/>
        <v>0</v>
      </c>
      <c r="F122" s="403">
        <f t="shared" si="151"/>
        <v>0</v>
      </c>
      <c r="G122" s="403">
        <f t="shared" si="151"/>
        <v>0</v>
      </c>
      <c r="H122" s="403">
        <f t="shared" si="151"/>
        <v>0</v>
      </c>
      <c r="I122" s="403">
        <f t="shared" si="151"/>
        <v>0</v>
      </c>
      <c r="J122" s="403">
        <f t="shared" si="151"/>
        <v>0</v>
      </c>
      <c r="K122" s="403">
        <f t="shared" si="151"/>
        <v>0</v>
      </c>
      <c r="L122" s="403">
        <f t="shared" si="151"/>
        <v>0</v>
      </c>
      <c r="M122" s="403">
        <f t="shared" si="151"/>
        <v>0</v>
      </c>
      <c r="N122" s="403">
        <f t="shared" si="151"/>
        <v>0</v>
      </c>
      <c r="O122" s="404">
        <f t="shared" si="151"/>
        <v>0</v>
      </c>
      <c r="P122" s="386">
        <f t="shared" si="146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49"/>
        <v>0</v>
      </c>
      <c r="C123" s="395">
        <f t="shared" si="149"/>
        <v>0</v>
      </c>
      <c r="D123" s="407">
        <f t="shared" ref="D123:O123" si="152">+D77-D100</f>
        <v>0</v>
      </c>
      <c r="E123" s="382">
        <f t="shared" si="152"/>
        <v>0</v>
      </c>
      <c r="F123" s="382">
        <f t="shared" si="152"/>
        <v>0</v>
      </c>
      <c r="G123" s="382">
        <f t="shared" si="152"/>
        <v>0</v>
      </c>
      <c r="H123" s="382">
        <f t="shared" si="152"/>
        <v>0</v>
      </c>
      <c r="I123" s="382">
        <f t="shared" si="152"/>
        <v>0</v>
      </c>
      <c r="J123" s="382">
        <f t="shared" si="152"/>
        <v>0</v>
      </c>
      <c r="K123" s="382">
        <f t="shared" si="152"/>
        <v>0</v>
      </c>
      <c r="L123" s="382">
        <f t="shared" si="152"/>
        <v>0</v>
      </c>
      <c r="M123" s="382">
        <f t="shared" si="152"/>
        <v>0</v>
      </c>
      <c r="N123" s="382">
        <f t="shared" si="152"/>
        <v>0</v>
      </c>
      <c r="O123" s="383">
        <f t="shared" si="152"/>
        <v>0</v>
      </c>
      <c r="P123" s="399">
        <f t="shared" si="146"/>
        <v>0</v>
      </c>
      <c r="Q123" s="1238" t="str">
        <f t="shared" si="143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49"/>
        <v>0</v>
      </c>
      <c r="D124" s="402">
        <f t="shared" ref="D124:O124" si="153">+D78-D101</f>
        <v>0</v>
      </c>
      <c r="E124" s="403">
        <f t="shared" si="153"/>
        <v>0</v>
      </c>
      <c r="F124" s="403">
        <f t="shared" si="153"/>
        <v>0</v>
      </c>
      <c r="G124" s="403">
        <f t="shared" si="153"/>
        <v>0</v>
      </c>
      <c r="H124" s="403">
        <f t="shared" si="153"/>
        <v>0</v>
      </c>
      <c r="I124" s="403">
        <f t="shared" si="153"/>
        <v>0</v>
      </c>
      <c r="J124" s="403">
        <f t="shared" si="153"/>
        <v>0</v>
      </c>
      <c r="K124" s="403">
        <f t="shared" si="153"/>
        <v>0</v>
      </c>
      <c r="L124" s="403">
        <f t="shared" si="153"/>
        <v>0</v>
      </c>
      <c r="M124" s="403">
        <f t="shared" si="153"/>
        <v>0</v>
      </c>
      <c r="N124" s="403">
        <f t="shared" si="153"/>
        <v>0</v>
      </c>
      <c r="O124" s="404">
        <f t="shared" si="153"/>
        <v>0</v>
      </c>
      <c r="P124" s="386">
        <f t="shared" si="146"/>
        <v>0</v>
      </c>
      <c r="Q124" s="1240" t="str">
        <f t="shared" si="143"/>
        <v>-</v>
      </c>
    </row>
    <row r="125" spans="1:22" ht="16.5" hidden="1" customHeight="1">
      <c r="A125" s="406" t="s">
        <v>84</v>
      </c>
      <c r="B125" s="378">
        <f t="shared" si="149"/>
        <v>0</v>
      </c>
      <c r="C125" s="379">
        <f t="shared" si="149"/>
        <v>0</v>
      </c>
      <c r="D125" s="407">
        <f t="shared" ref="D125:O125" si="154">+D79-D102</f>
        <v>0</v>
      </c>
      <c r="E125" s="382">
        <f t="shared" si="154"/>
        <v>0</v>
      </c>
      <c r="F125" s="382">
        <f t="shared" si="154"/>
        <v>0</v>
      </c>
      <c r="G125" s="382">
        <f t="shared" si="154"/>
        <v>0</v>
      </c>
      <c r="H125" s="382">
        <f t="shared" si="154"/>
        <v>0</v>
      </c>
      <c r="I125" s="381">
        <f t="shared" si="154"/>
        <v>0</v>
      </c>
      <c r="J125" s="381">
        <f t="shared" si="154"/>
        <v>0</v>
      </c>
      <c r="K125" s="382">
        <f t="shared" si="154"/>
        <v>0</v>
      </c>
      <c r="L125" s="382">
        <f t="shared" si="154"/>
        <v>0</v>
      </c>
      <c r="M125" s="382">
        <f t="shared" si="154"/>
        <v>0</v>
      </c>
      <c r="N125" s="382">
        <f t="shared" si="154"/>
        <v>0</v>
      </c>
      <c r="O125" s="383">
        <f t="shared" si="154"/>
        <v>0</v>
      </c>
      <c r="P125" s="399">
        <f t="shared" si="146"/>
        <v>0</v>
      </c>
      <c r="Q125" s="1238" t="str">
        <f t="shared" si="143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55">SUM(B122:B125)</f>
        <v>0</v>
      </c>
      <c r="C126" s="412">
        <f t="shared" si="155"/>
        <v>0</v>
      </c>
      <c r="D126" s="413">
        <f t="shared" ref="D126:P126" si="156">SUM(D122:D125)</f>
        <v>0</v>
      </c>
      <c r="E126" s="414">
        <f t="shared" si="156"/>
        <v>0</v>
      </c>
      <c r="F126" s="414">
        <f t="shared" si="156"/>
        <v>0</v>
      </c>
      <c r="G126" s="414">
        <f t="shared" si="156"/>
        <v>0</v>
      </c>
      <c r="H126" s="414">
        <f t="shared" si="156"/>
        <v>0</v>
      </c>
      <c r="I126" s="414">
        <f t="shared" si="156"/>
        <v>0</v>
      </c>
      <c r="J126" s="414">
        <f t="shared" si="156"/>
        <v>0</v>
      </c>
      <c r="K126" s="414">
        <f t="shared" si="156"/>
        <v>0</v>
      </c>
      <c r="L126" s="414">
        <f t="shared" si="156"/>
        <v>0</v>
      </c>
      <c r="M126" s="414">
        <f t="shared" si="156"/>
        <v>0</v>
      </c>
      <c r="N126" s="414">
        <f t="shared" si="156"/>
        <v>0</v>
      </c>
      <c r="O126" s="412">
        <f t="shared" si="156"/>
        <v>0</v>
      </c>
      <c r="P126" s="411">
        <f t="shared" si="156"/>
        <v>0</v>
      </c>
      <c r="Q126" s="1241" t="str">
        <f t="shared" si="143"/>
        <v>-</v>
      </c>
    </row>
    <row r="127" spans="1:22" ht="22.5" customHeight="1" thickBot="1">
      <c r="A127" s="362" t="s">
        <v>29</v>
      </c>
      <c r="B127" s="420">
        <f t="shared" ref="B127:C129" si="157">+B81-B104</f>
        <v>0</v>
      </c>
      <c r="C127" s="416">
        <f t="shared" si="157"/>
        <v>0</v>
      </c>
      <c r="D127" s="417">
        <f t="shared" ref="D127:O127" si="158">+D81-D104</f>
        <v>0</v>
      </c>
      <c r="E127" s="418">
        <f t="shared" si="158"/>
        <v>0</v>
      </c>
      <c r="F127" s="418">
        <f t="shared" si="158"/>
        <v>0</v>
      </c>
      <c r="G127" s="418">
        <f t="shared" si="158"/>
        <v>0</v>
      </c>
      <c r="H127" s="418">
        <f t="shared" si="158"/>
        <v>0</v>
      </c>
      <c r="I127" s="418">
        <f t="shared" si="158"/>
        <v>0</v>
      </c>
      <c r="J127" s="418">
        <f t="shared" si="158"/>
        <v>0</v>
      </c>
      <c r="K127" s="418">
        <f t="shared" si="158"/>
        <v>0</v>
      </c>
      <c r="L127" s="418">
        <f t="shared" si="158"/>
        <v>0</v>
      </c>
      <c r="M127" s="418">
        <f t="shared" si="158"/>
        <v>0</v>
      </c>
      <c r="N127" s="418">
        <f t="shared" si="158"/>
        <v>0</v>
      </c>
      <c r="O127" s="419">
        <f t="shared" si="158"/>
        <v>0</v>
      </c>
      <c r="P127" s="420">
        <f>SUM(P128:P129)</f>
        <v>0</v>
      </c>
      <c r="Q127" s="1242" t="str">
        <f t="shared" si="143"/>
        <v>-</v>
      </c>
    </row>
    <row r="128" spans="1:22" ht="16.5" customHeight="1">
      <c r="A128" s="422" t="s">
        <v>19</v>
      </c>
      <c r="B128" s="423">
        <f t="shared" si="157"/>
        <v>0</v>
      </c>
      <c r="C128" s="424">
        <f t="shared" si="157"/>
        <v>0</v>
      </c>
      <c r="D128" s="425">
        <f t="shared" ref="D128:O128" si="159">+D82-D105</f>
        <v>0</v>
      </c>
      <c r="E128" s="426">
        <f t="shared" si="159"/>
        <v>0</v>
      </c>
      <c r="F128" s="426">
        <f t="shared" si="159"/>
        <v>0</v>
      </c>
      <c r="G128" s="426">
        <f t="shared" si="159"/>
        <v>0</v>
      </c>
      <c r="H128" s="426">
        <f t="shared" si="159"/>
        <v>0</v>
      </c>
      <c r="I128" s="426">
        <f t="shared" si="159"/>
        <v>0</v>
      </c>
      <c r="J128" s="426">
        <f t="shared" si="159"/>
        <v>0</v>
      </c>
      <c r="K128" s="426">
        <f t="shared" si="159"/>
        <v>0</v>
      </c>
      <c r="L128" s="426">
        <f t="shared" si="159"/>
        <v>0</v>
      </c>
      <c r="M128" s="426">
        <f t="shared" si="159"/>
        <v>0</v>
      </c>
      <c r="N128" s="426">
        <f t="shared" si="159"/>
        <v>0</v>
      </c>
      <c r="O128" s="427">
        <f t="shared" si="159"/>
        <v>0</v>
      </c>
      <c r="P128" s="428">
        <f>SUM(D128:O128)</f>
        <v>0</v>
      </c>
      <c r="Q128" s="1243" t="str">
        <f t="shared" si="143"/>
        <v>-</v>
      </c>
    </row>
    <row r="129" spans="1:17" ht="16.5" customHeight="1" thickBot="1">
      <c r="A129" s="430" t="s">
        <v>20</v>
      </c>
      <c r="B129" s="431">
        <f t="shared" si="157"/>
        <v>0</v>
      </c>
      <c r="C129" s="432">
        <f t="shared" si="157"/>
        <v>0</v>
      </c>
      <c r="D129" s="433">
        <f t="shared" ref="D129:O129" si="160">+D83-D106</f>
        <v>0</v>
      </c>
      <c r="E129" s="434">
        <f t="shared" si="160"/>
        <v>0</v>
      </c>
      <c r="F129" s="434">
        <f t="shared" si="160"/>
        <v>0</v>
      </c>
      <c r="G129" s="434">
        <f t="shared" si="160"/>
        <v>0</v>
      </c>
      <c r="H129" s="434">
        <f t="shared" si="160"/>
        <v>0</v>
      </c>
      <c r="I129" s="434">
        <f t="shared" si="160"/>
        <v>0</v>
      </c>
      <c r="J129" s="434">
        <f t="shared" si="160"/>
        <v>0</v>
      </c>
      <c r="K129" s="434">
        <f t="shared" si="160"/>
        <v>0</v>
      </c>
      <c r="L129" s="434">
        <f t="shared" si="160"/>
        <v>0</v>
      </c>
      <c r="M129" s="434">
        <f t="shared" si="160"/>
        <v>0</v>
      </c>
      <c r="N129" s="434">
        <f t="shared" si="160"/>
        <v>0</v>
      </c>
      <c r="O129" s="435">
        <f t="shared" si="160"/>
        <v>0</v>
      </c>
      <c r="P129" s="436">
        <f>SUM(D129:O129)</f>
        <v>0</v>
      </c>
      <c r="Q129" s="1244" t="str">
        <f t="shared" si="143"/>
        <v>-</v>
      </c>
    </row>
    <row r="130" spans="1:17" ht="22.5" customHeight="1" thickBot="1">
      <c r="A130" s="362" t="s">
        <v>30</v>
      </c>
      <c r="B130" s="363">
        <f t="shared" ref="B130:C130" si="161">SUM(B131:B132)</f>
        <v>0</v>
      </c>
      <c r="C130" s="416">
        <f t="shared" si="161"/>
        <v>0</v>
      </c>
      <c r="D130" s="417">
        <f t="shared" ref="D130:P130" si="162">SUM(D131:D132)</f>
        <v>0</v>
      </c>
      <c r="E130" s="418">
        <f t="shared" si="162"/>
        <v>0</v>
      </c>
      <c r="F130" s="418">
        <f t="shared" si="162"/>
        <v>0</v>
      </c>
      <c r="G130" s="418">
        <f t="shared" si="162"/>
        <v>0</v>
      </c>
      <c r="H130" s="418">
        <f t="shared" si="162"/>
        <v>0</v>
      </c>
      <c r="I130" s="418">
        <f t="shared" si="162"/>
        <v>0</v>
      </c>
      <c r="J130" s="418">
        <f t="shared" si="162"/>
        <v>0</v>
      </c>
      <c r="K130" s="418">
        <f t="shared" si="162"/>
        <v>0</v>
      </c>
      <c r="L130" s="418">
        <f t="shared" si="162"/>
        <v>0</v>
      </c>
      <c r="M130" s="418">
        <f t="shared" si="162"/>
        <v>0</v>
      </c>
      <c r="N130" s="418">
        <f t="shared" si="162"/>
        <v>0</v>
      </c>
      <c r="O130" s="419">
        <f t="shared" si="162"/>
        <v>0</v>
      </c>
      <c r="P130" s="420">
        <f t="shared" si="162"/>
        <v>0</v>
      </c>
      <c r="Q130" s="1242" t="str">
        <f t="shared" si="143"/>
        <v>-</v>
      </c>
    </row>
    <row r="131" spans="1:17" ht="16.5" customHeight="1">
      <c r="A131" s="422" t="s">
        <v>106</v>
      </c>
      <c r="B131" s="423">
        <f t="shared" ref="B131:C132" si="163">+B85-B108</f>
        <v>0</v>
      </c>
      <c r="C131" s="424">
        <f t="shared" si="163"/>
        <v>0</v>
      </c>
      <c r="D131" s="425">
        <f t="shared" ref="D131:O131" si="164">+D85-D108</f>
        <v>0</v>
      </c>
      <c r="E131" s="426">
        <f t="shared" si="164"/>
        <v>0</v>
      </c>
      <c r="F131" s="426">
        <f t="shared" si="164"/>
        <v>0</v>
      </c>
      <c r="G131" s="426">
        <f t="shared" si="164"/>
        <v>0</v>
      </c>
      <c r="H131" s="426">
        <f t="shared" si="164"/>
        <v>0</v>
      </c>
      <c r="I131" s="426">
        <f t="shared" si="164"/>
        <v>0</v>
      </c>
      <c r="J131" s="426">
        <f t="shared" si="164"/>
        <v>0</v>
      </c>
      <c r="K131" s="426">
        <f t="shared" si="164"/>
        <v>0</v>
      </c>
      <c r="L131" s="426">
        <f t="shared" si="164"/>
        <v>0</v>
      </c>
      <c r="M131" s="426">
        <f t="shared" si="164"/>
        <v>0</v>
      </c>
      <c r="N131" s="426">
        <f t="shared" si="164"/>
        <v>0</v>
      </c>
      <c r="O131" s="427">
        <f t="shared" si="164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63"/>
        <v>0</v>
      </c>
      <c r="C132" s="440">
        <f t="shared" si="163"/>
        <v>0</v>
      </c>
      <c r="D132" s="441">
        <f t="shared" ref="D132:O132" si="165">+D86-D109</f>
        <v>0</v>
      </c>
      <c r="E132" s="442">
        <f t="shared" si="165"/>
        <v>0</v>
      </c>
      <c r="F132" s="442">
        <f t="shared" si="165"/>
        <v>0</v>
      </c>
      <c r="G132" s="442">
        <f t="shared" si="165"/>
        <v>0</v>
      </c>
      <c r="H132" s="442">
        <f t="shared" si="165"/>
        <v>0</v>
      </c>
      <c r="I132" s="442">
        <f t="shared" si="165"/>
        <v>0</v>
      </c>
      <c r="J132" s="442">
        <f t="shared" si="165"/>
        <v>0</v>
      </c>
      <c r="K132" s="442">
        <f t="shared" si="165"/>
        <v>0</v>
      </c>
      <c r="L132" s="442">
        <f t="shared" si="165"/>
        <v>0</v>
      </c>
      <c r="M132" s="442">
        <f t="shared" si="165"/>
        <v>0</v>
      </c>
      <c r="N132" s="442">
        <f t="shared" si="165"/>
        <v>0</v>
      </c>
      <c r="O132" s="443">
        <f t="shared" si="165"/>
        <v>0</v>
      </c>
      <c r="P132" s="444">
        <f>SUM(D132:O132)</f>
        <v>0</v>
      </c>
      <c r="Q132" s="1245" t="str">
        <f t="shared" si="143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66">+B88-B111</f>
        <v>0</v>
      </c>
      <c r="C134" s="364">
        <f t="shared" si="166"/>
        <v>0</v>
      </c>
      <c r="D134" s="365">
        <f t="shared" ref="D134:O134" si="167">+D88-D111</f>
        <v>0</v>
      </c>
      <c r="E134" s="366">
        <f t="shared" si="167"/>
        <v>0</v>
      </c>
      <c r="F134" s="366">
        <f t="shared" si="167"/>
        <v>0</v>
      </c>
      <c r="G134" s="366">
        <f t="shared" si="167"/>
        <v>0</v>
      </c>
      <c r="H134" s="366">
        <f t="shared" si="167"/>
        <v>0</v>
      </c>
      <c r="I134" s="366">
        <f t="shared" si="167"/>
        <v>0</v>
      </c>
      <c r="J134" s="366">
        <f t="shared" si="167"/>
        <v>0</v>
      </c>
      <c r="K134" s="366">
        <f t="shared" si="167"/>
        <v>0</v>
      </c>
      <c r="L134" s="366">
        <f t="shared" si="167"/>
        <v>0</v>
      </c>
      <c r="M134" s="366">
        <f t="shared" si="167"/>
        <v>0</v>
      </c>
      <c r="N134" s="366">
        <f t="shared" si="167"/>
        <v>0</v>
      </c>
      <c r="O134" s="448">
        <f t="shared" si="167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68">+C117+C127+C130+C134</f>
        <v>0</v>
      </c>
      <c r="D136" s="365">
        <f t="shared" ref="D136:P136" si="169">+D117+D127+D130+D134</f>
        <v>0</v>
      </c>
      <c r="E136" s="366">
        <f t="shared" si="169"/>
        <v>0</v>
      </c>
      <c r="F136" s="366">
        <f t="shared" si="169"/>
        <v>0</v>
      </c>
      <c r="G136" s="366">
        <f t="shared" si="169"/>
        <v>0</v>
      </c>
      <c r="H136" s="366">
        <f t="shared" si="169"/>
        <v>0</v>
      </c>
      <c r="I136" s="366">
        <f t="shared" si="169"/>
        <v>0</v>
      </c>
      <c r="J136" s="366">
        <f t="shared" si="169"/>
        <v>0</v>
      </c>
      <c r="K136" s="366">
        <f t="shared" si="169"/>
        <v>0</v>
      </c>
      <c r="L136" s="366">
        <f t="shared" si="169"/>
        <v>0</v>
      </c>
      <c r="M136" s="366">
        <f t="shared" si="169"/>
        <v>0</v>
      </c>
      <c r="N136" s="366">
        <f t="shared" si="169"/>
        <v>0</v>
      </c>
      <c r="O136" s="364">
        <f t="shared" si="169"/>
        <v>0</v>
      </c>
      <c r="P136" s="363">
        <f t="shared" si="169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709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70">SUM(B141:B173)</f>
        <v>0</v>
      </c>
      <c r="C140" s="364">
        <f t="shared" si="170"/>
        <v>0</v>
      </c>
      <c r="D140" s="417">
        <f>SUM(D141:D173)</f>
        <v>0</v>
      </c>
      <c r="E140" s="418">
        <f t="shared" ref="E140:O140" si="171">SUM(E141:E173)</f>
        <v>0</v>
      </c>
      <c r="F140" s="418">
        <f t="shared" si="171"/>
        <v>0</v>
      </c>
      <c r="G140" s="418">
        <f t="shared" si="171"/>
        <v>0</v>
      </c>
      <c r="H140" s="418">
        <f t="shared" si="171"/>
        <v>0</v>
      </c>
      <c r="I140" s="418">
        <f t="shared" si="171"/>
        <v>0</v>
      </c>
      <c r="J140" s="418">
        <f t="shared" si="171"/>
        <v>0</v>
      </c>
      <c r="K140" s="418">
        <f t="shared" si="171"/>
        <v>0</v>
      </c>
      <c r="L140" s="418">
        <f t="shared" si="171"/>
        <v>0</v>
      </c>
      <c r="M140" s="418">
        <f t="shared" si="171"/>
        <v>0</v>
      </c>
      <c r="N140" s="418">
        <f t="shared" si="171"/>
        <v>0</v>
      </c>
      <c r="O140" s="416">
        <f t="shared" si="171"/>
        <v>0</v>
      </c>
      <c r="P140" s="420">
        <f>SUM(P141:P173)</f>
        <v>0</v>
      </c>
      <c r="Q140" s="1242" t="str">
        <f t="shared" ref="Q140:Q173" si="172">IF(P140=0,"-",P140/C140-1)</f>
        <v>-</v>
      </c>
    </row>
    <row r="141" spans="1:17">
      <c r="A141" s="468" t="s">
        <v>38</v>
      </c>
      <c r="B141" s="471"/>
      <c r="C141" s="471"/>
      <c r="D141" s="1883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73">SUM(D141:O141)</f>
        <v>0</v>
      </c>
      <c r="Q141" s="1252" t="str">
        <f t="shared" si="172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73"/>
        <v>0</v>
      </c>
      <c r="Q142" s="1253" t="str">
        <f t="shared" si="172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73"/>
        <v>0</v>
      </c>
      <c r="Q143" s="1254" t="str">
        <f t="shared" si="172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73"/>
        <v>0</v>
      </c>
      <c r="Q144" s="1253" t="str">
        <f t="shared" si="172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73"/>
        <v>0</v>
      </c>
      <c r="Q145" s="1254" t="str">
        <f t="shared" si="172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73"/>
        <v>0</v>
      </c>
      <c r="Q146" s="1253" t="str">
        <f t="shared" si="172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73"/>
        <v>0</v>
      </c>
      <c r="Q147" s="1254" t="str">
        <f t="shared" si="172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73"/>
        <v>0</v>
      </c>
      <c r="Q148" s="1253" t="str">
        <f t="shared" si="172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73"/>
        <v>0</v>
      </c>
      <c r="Q149" s="1254" t="str">
        <f t="shared" si="172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73"/>
        <v>0</v>
      </c>
      <c r="Q150" s="1253" t="str">
        <f t="shared" si="172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73"/>
        <v>0</v>
      </c>
      <c r="Q151" s="1254" t="str">
        <f t="shared" si="172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73"/>
        <v>0</v>
      </c>
      <c r="Q152" s="1253" t="str">
        <f t="shared" si="172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73"/>
        <v>0</v>
      </c>
      <c r="Q153" s="1254" t="str">
        <f t="shared" si="172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73"/>
        <v>0</v>
      </c>
      <c r="Q154" s="1253" t="str">
        <f t="shared" si="172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73"/>
        <v>0</v>
      </c>
      <c r="Q155" s="1254" t="str">
        <f t="shared" si="172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73"/>
        <v>0</v>
      </c>
      <c r="Q156" s="1253" t="str">
        <f t="shared" si="172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73"/>
        <v>0</v>
      </c>
      <c r="Q157" s="1254" t="str">
        <f t="shared" si="172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73"/>
        <v>0</v>
      </c>
      <c r="Q158" s="1253" t="str">
        <f t="shared" si="172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73"/>
        <v>0</v>
      </c>
      <c r="Q159" s="1254" t="str">
        <f t="shared" si="172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73"/>
        <v>0</v>
      </c>
      <c r="Q160" s="1253" t="str">
        <f t="shared" si="172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73"/>
        <v>0</v>
      </c>
      <c r="Q161" s="1254" t="str">
        <f t="shared" si="172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73"/>
        <v>0</v>
      </c>
      <c r="Q162" s="1253" t="str">
        <f t="shared" si="172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73"/>
        <v>0</v>
      </c>
      <c r="Q163" s="1254" t="str">
        <f t="shared" si="172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73"/>
        <v>0</v>
      </c>
      <c r="Q164" s="1253" t="str">
        <f t="shared" si="172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73"/>
        <v>0</v>
      </c>
      <c r="Q165" s="1254" t="str">
        <f t="shared" si="172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73"/>
        <v>0</v>
      </c>
      <c r="Q166" s="1253" t="str">
        <f t="shared" si="172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73"/>
        <v>0</v>
      </c>
      <c r="Q167" s="1254" t="str">
        <f t="shared" si="172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73"/>
        <v>0</v>
      </c>
      <c r="Q168" s="1253" t="str">
        <f t="shared" si="172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73"/>
        <v>0</v>
      </c>
      <c r="Q169" s="1254" t="str">
        <f t="shared" si="172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73"/>
        <v>0</v>
      </c>
      <c r="Q170" s="1253" t="str">
        <f t="shared" si="172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73"/>
        <v>0</v>
      </c>
      <c r="Q171" s="1254" t="str">
        <f t="shared" si="172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 t="shared" si="173"/>
        <v>0</v>
      </c>
      <c r="Q172" s="1253" t="str">
        <f t="shared" si="172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73"/>
        <v>0</v>
      </c>
      <c r="Q173" s="1255" t="str">
        <f t="shared" si="172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710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74">C44</f>
        <v>0</v>
      </c>
      <c r="D177" s="505">
        <f>D44</f>
        <v>0</v>
      </c>
      <c r="E177" s="472">
        <f t="shared" ref="E177:P177" si="175">E44</f>
        <v>0</v>
      </c>
      <c r="F177" s="472">
        <f t="shared" si="175"/>
        <v>0</v>
      </c>
      <c r="G177" s="472">
        <f t="shared" si="175"/>
        <v>0</v>
      </c>
      <c r="H177" s="472">
        <f t="shared" si="175"/>
        <v>0</v>
      </c>
      <c r="I177" s="472">
        <f t="shared" si="175"/>
        <v>0</v>
      </c>
      <c r="J177" s="472">
        <f t="shared" si="175"/>
        <v>0</v>
      </c>
      <c r="K177" s="472">
        <f t="shared" si="175"/>
        <v>0</v>
      </c>
      <c r="L177" s="472">
        <f t="shared" si="175"/>
        <v>0</v>
      </c>
      <c r="M177" s="472">
        <f t="shared" si="175"/>
        <v>0</v>
      </c>
      <c r="N177" s="472">
        <f t="shared" si="175"/>
        <v>0</v>
      </c>
      <c r="O177" s="473">
        <f t="shared" si="175"/>
        <v>0</v>
      </c>
      <c r="P177" s="474">
        <f t="shared" si="175"/>
        <v>0</v>
      </c>
      <c r="Q177" s="1257" t="str">
        <f t="shared" ref="Q177:Q187" si="176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77">C67</f>
        <v>0</v>
      </c>
      <c r="D178" s="509">
        <f t="shared" ref="D178:P178" si="178">D67</f>
        <v>0</v>
      </c>
      <c r="E178" s="480">
        <f t="shared" si="178"/>
        <v>0</v>
      </c>
      <c r="F178" s="480">
        <f t="shared" si="178"/>
        <v>0</v>
      </c>
      <c r="G178" s="480">
        <f t="shared" si="178"/>
        <v>0</v>
      </c>
      <c r="H178" s="480">
        <f t="shared" si="178"/>
        <v>0</v>
      </c>
      <c r="I178" s="480">
        <f t="shared" si="178"/>
        <v>0</v>
      </c>
      <c r="J178" s="480">
        <f t="shared" si="178"/>
        <v>0</v>
      </c>
      <c r="K178" s="480">
        <f t="shared" si="178"/>
        <v>0</v>
      </c>
      <c r="L178" s="480">
        <f t="shared" si="178"/>
        <v>0</v>
      </c>
      <c r="M178" s="480">
        <f t="shared" si="178"/>
        <v>0</v>
      </c>
      <c r="N178" s="480">
        <f t="shared" si="178"/>
        <v>0</v>
      </c>
      <c r="O178" s="481">
        <f t="shared" si="178"/>
        <v>0</v>
      </c>
      <c r="P178" s="394">
        <f t="shared" si="178"/>
        <v>0</v>
      </c>
      <c r="Q178" s="1149" t="str">
        <f t="shared" si="176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76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79">C90-C179</f>
        <v>0</v>
      </c>
      <c r="D180" s="513">
        <f t="shared" ref="D180:P180" si="180">D90-D179</f>
        <v>0</v>
      </c>
      <c r="E180" s="487">
        <f t="shared" si="180"/>
        <v>0</v>
      </c>
      <c r="F180" s="487">
        <f t="shared" si="180"/>
        <v>0</v>
      </c>
      <c r="G180" s="487">
        <f t="shared" si="180"/>
        <v>0</v>
      </c>
      <c r="H180" s="487">
        <f t="shared" si="180"/>
        <v>0</v>
      </c>
      <c r="I180" s="487">
        <f t="shared" si="180"/>
        <v>0</v>
      </c>
      <c r="J180" s="487">
        <f t="shared" si="180"/>
        <v>0</v>
      </c>
      <c r="K180" s="487">
        <f t="shared" si="180"/>
        <v>0</v>
      </c>
      <c r="L180" s="487">
        <f t="shared" si="180"/>
        <v>0</v>
      </c>
      <c r="M180" s="487">
        <f t="shared" si="180"/>
        <v>0</v>
      </c>
      <c r="N180" s="487">
        <f t="shared" si="180"/>
        <v>0</v>
      </c>
      <c r="O180" s="488">
        <f t="shared" si="180"/>
        <v>0</v>
      </c>
      <c r="P180" s="391">
        <f t="shared" si="180"/>
        <v>0</v>
      </c>
      <c r="Q180" s="1148" t="str">
        <f t="shared" si="176"/>
        <v>-</v>
      </c>
    </row>
    <row r="181" spans="1:17" ht="21" customHeight="1">
      <c r="A181" s="476" t="s">
        <v>71</v>
      </c>
      <c r="B181" s="1921">
        <f t="shared" ref="B181:C181" si="181">B113</f>
        <v>0</v>
      </c>
      <c r="C181" s="508">
        <f t="shared" si="181"/>
        <v>0</v>
      </c>
      <c r="D181" s="509">
        <f t="shared" ref="D181:P181" si="182">D113</f>
        <v>0</v>
      </c>
      <c r="E181" s="480">
        <f t="shared" si="182"/>
        <v>0</v>
      </c>
      <c r="F181" s="480">
        <f t="shared" si="182"/>
        <v>0</v>
      </c>
      <c r="G181" s="480">
        <f t="shared" si="182"/>
        <v>0</v>
      </c>
      <c r="H181" s="480">
        <f t="shared" si="182"/>
        <v>0</v>
      </c>
      <c r="I181" s="480">
        <f t="shared" si="182"/>
        <v>0</v>
      </c>
      <c r="J181" s="480">
        <f t="shared" si="182"/>
        <v>0</v>
      </c>
      <c r="K181" s="480">
        <f t="shared" si="182"/>
        <v>0</v>
      </c>
      <c r="L181" s="480">
        <f t="shared" si="182"/>
        <v>0</v>
      </c>
      <c r="M181" s="480">
        <f t="shared" si="182"/>
        <v>0</v>
      </c>
      <c r="N181" s="480">
        <f t="shared" si="182"/>
        <v>0</v>
      </c>
      <c r="O181" s="481">
        <f t="shared" si="182"/>
        <v>0</v>
      </c>
      <c r="P181" s="394">
        <f t="shared" si="182"/>
        <v>0</v>
      </c>
      <c r="Q181" s="1149" t="str">
        <f t="shared" si="176"/>
        <v>-</v>
      </c>
    </row>
    <row r="182" spans="1:17" ht="21" customHeight="1">
      <c r="A182" s="483" t="s">
        <v>36</v>
      </c>
      <c r="B182" s="1922">
        <f t="shared" ref="B182:C182" si="183">B136</f>
        <v>0</v>
      </c>
      <c r="C182" s="512">
        <f t="shared" si="183"/>
        <v>0</v>
      </c>
      <c r="D182" s="513">
        <f t="shared" ref="D182:P182" si="184">D136</f>
        <v>0</v>
      </c>
      <c r="E182" s="487">
        <f t="shared" si="184"/>
        <v>0</v>
      </c>
      <c r="F182" s="487">
        <f t="shared" si="184"/>
        <v>0</v>
      </c>
      <c r="G182" s="487">
        <f t="shared" si="184"/>
        <v>0</v>
      </c>
      <c r="H182" s="487">
        <f t="shared" si="184"/>
        <v>0</v>
      </c>
      <c r="I182" s="487">
        <f t="shared" si="184"/>
        <v>0</v>
      </c>
      <c r="J182" s="487">
        <f t="shared" si="184"/>
        <v>0</v>
      </c>
      <c r="K182" s="487">
        <f t="shared" si="184"/>
        <v>0</v>
      </c>
      <c r="L182" s="487">
        <f t="shared" si="184"/>
        <v>0</v>
      </c>
      <c r="M182" s="487">
        <f t="shared" si="184"/>
        <v>0</v>
      </c>
      <c r="N182" s="487">
        <f t="shared" si="184"/>
        <v>0</v>
      </c>
      <c r="O182" s="488">
        <f t="shared" si="184"/>
        <v>0</v>
      </c>
      <c r="P182" s="391">
        <f t="shared" si="184"/>
        <v>0</v>
      </c>
      <c r="Q182" s="1148" t="str">
        <f t="shared" si="176"/>
        <v>-</v>
      </c>
    </row>
    <row r="183" spans="1:17" ht="21" customHeight="1">
      <c r="A183" s="515" t="s">
        <v>73</v>
      </c>
      <c r="B183" s="634" t="e">
        <f t="shared" ref="B183:C183" si="185">B182/B180</f>
        <v>#DIV/0!</v>
      </c>
      <c r="C183" s="2243" t="e">
        <f t="shared" si="185"/>
        <v>#DIV/0!</v>
      </c>
      <c r="D183" s="634" t="e">
        <f t="shared" ref="D183:P183" si="186">D182/D180</f>
        <v>#DIV/0!</v>
      </c>
      <c r="E183" s="635" t="e">
        <f t="shared" si="186"/>
        <v>#DIV/0!</v>
      </c>
      <c r="F183" s="635" t="e">
        <f t="shared" si="186"/>
        <v>#DIV/0!</v>
      </c>
      <c r="G183" s="635" t="e">
        <f t="shared" si="186"/>
        <v>#DIV/0!</v>
      </c>
      <c r="H183" s="635" t="e">
        <f t="shared" si="186"/>
        <v>#DIV/0!</v>
      </c>
      <c r="I183" s="635" t="e">
        <f t="shared" si="186"/>
        <v>#DIV/0!</v>
      </c>
      <c r="J183" s="635" t="e">
        <f t="shared" si="186"/>
        <v>#DIV/0!</v>
      </c>
      <c r="K183" s="635" t="e">
        <f t="shared" si="186"/>
        <v>#DIV/0!</v>
      </c>
      <c r="L183" s="635" t="e">
        <f t="shared" si="186"/>
        <v>#DIV/0!</v>
      </c>
      <c r="M183" s="635" t="e">
        <f t="shared" si="186"/>
        <v>#DIV/0!</v>
      </c>
      <c r="N183" s="635" t="e">
        <f t="shared" si="186"/>
        <v>#DIV/0!</v>
      </c>
      <c r="O183" s="636" t="e">
        <f t="shared" si="186"/>
        <v>#DIV/0!</v>
      </c>
      <c r="P183" s="521" t="e">
        <f t="shared" si="186"/>
        <v>#DIV/0!</v>
      </c>
      <c r="Q183" s="1258" t="e">
        <f t="shared" si="176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87">F140/1000</f>
        <v>0</v>
      </c>
      <c r="G184" s="487">
        <f t="shared" si="187"/>
        <v>0</v>
      </c>
      <c r="H184" s="487">
        <f t="shared" si="187"/>
        <v>0</v>
      </c>
      <c r="I184" s="487">
        <f t="shared" si="187"/>
        <v>0</v>
      </c>
      <c r="J184" s="487">
        <f t="shared" si="187"/>
        <v>0</v>
      </c>
      <c r="K184" s="487">
        <f t="shared" si="187"/>
        <v>0</v>
      </c>
      <c r="L184" s="487">
        <f t="shared" si="187"/>
        <v>0</v>
      </c>
      <c r="M184" s="487">
        <f t="shared" si="187"/>
        <v>0</v>
      </c>
      <c r="N184" s="487">
        <f t="shared" si="187"/>
        <v>0</v>
      </c>
      <c r="O184" s="487">
        <f>O140/1000</f>
        <v>0</v>
      </c>
      <c r="P184" s="391">
        <f>P140/1000</f>
        <v>0</v>
      </c>
      <c r="Q184" s="1148" t="str">
        <f t="shared" si="176"/>
        <v>-</v>
      </c>
    </row>
    <row r="185" spans="1:17" s="531" customFormat="1" ht="21" customHeight="1">
      <c r="A185" s="523" t="s">
        <v>74</v>
      </c>
      <c r="B185" s="526" t="e">
        <f t="shared" ref="B185:C185" si="188">B184/B180</f>
        <v>#DIV/0!</v>
      </c>
      <c r="C185" s="1425" t="e">
        <f t="shared" si="188"/>
        <v>#DIV/0!</v>
      </c>
      <c r="D185" s="526" t="e">
        <f t="shared" ref="D185:P185" si="189">D184/D180</f>
        <v>#DIV/0!</v>
      </c>
      <c r="E185" s="527" t="e">
        <f t="shared" si="189"/>
        <v>#DIV/0!</v>
      </c>
      <c r="F185" s="527" t="e">
        <f t="shared" si="189"/>
        <v>#DIV/0!</v>
      </c>
      <c r="G185" s="527" t="e">
        <f t="shared" si="189"/>
        <v>#DIV/0!</v>
      </c>
      <c r="H185" s="527" t="e">
        <f t="shared" si="189"/>
        <v>#DIV/0!</v>
      </c>
      <c r="I185" s="527" t="e">
        <f t="shared" si="189"/>
        <v>#DIV/0!</v>
      </c>
      <c r="J185" s="527" t="e">
        <f t="shared" si="189"/>
        <v>#DIV/0!</v>
      </c>
      <c r="K185" s="527" t="e">
        <f t="shared" si="189"/>
        <v>#DIV/0!</v>
      </c>
      <c r="L185" s="527" t="e">
        <f t="shared" si="189"/>
        <v>#DIV/0!</v>
      </c>
      <c r="M185" s="527" t="e">
        <f t="shared" si="189"/>
        <v>#DIV/0!</v>
      </c>
      <c r="N185" s="527" t="e">
        <f t="shared" si="189"/>
        <v>#DIV/0!</v>
      </c>
      <c r="O185" s="528" t="e">
        <f t="shared" si="189"/>
        <v>#DIV/0!</v>
      </c>
      <c r="P185" s="529" t="e">
        <f t="shared" si="189"/>
        <v>#DIV/0!</v>
      </c>
      <c r="Q185" s="1259" t="e">
        <f t="shared" si="176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90">C182-C184</f>
        <v>0</v>
      </c>
      <c r="D186" s="535">
        <f t="shared" ref="D186:P186" si="191">D182-D184</f>
        <v>0</v>
      </c>
      <c r="E186" s="536">
        <f t="shared" si="191"/>
        <v>0</v>
      </c>
      <c r="F186" s="536">
        <f t="shared" si="191"/>
        <v>0</v>
      </c>
      <c r="G186" s="536">
        <f t="shared" si="191"/>
        <v>0</v>
      </c>
      <c r="H186" s="536">
        <f t="shared" si="191"/>
        <v>0</v>
      </c>
      <c r="I186" s="536">
        <f t="shared" si="191"/>
        <v>0</v>
      </c>
      <c r="J186" s="536">
        <f t="shared" si="191"/>
        <v>0</v>
      </c>
      <c r="K186" s="536">
        <f t="shared" si="191"/>
        <v>0</v>
      </c>
      <c r="L186" s="536">
        <f t="shared" si="191"/>
        <v>0</v>
      </c>
      <c r="M186" s="536">
        <f t="shared" si="191"/>
        <v>0</v>
      </c>
      <c r="N186" s="536">
        <f t="shared" si="191"/>
        <v>0</v>
      </c>
      <c r="O186" s="537">
        <f t="shared" si="191"/>
        <v>0</v>
      </c>
      <c r="P186" s="496">
        <f t="shared" si="191"/>
        <v>0</v>
      </c>
      <c r="Q186" s="1260" t="str">
        <f t="shared" si="176"/>
        <v>-</v>
      </c>
    </row>
    <row r="187" spans="1:17" s="281" customFormat="1" ht="21" customHeight="1" thickBot="1">
      <c r="A187" s="539" t="s">
        <v>80</v>
      </c>
      <c r="B187" s="2240" t="e">
        <f t="shared" ref="B187:C187" si="192">B186/B180</f>
        <v>#DIV/0!</v>
      </c>
      <c r="C187" s="2242" t="e">
        <f t="shared" si="192"/>
        <v>#DIV/0!</v>
      </c>
      <c r="D187" s="2240" t="e">
        <f t="shared" ref="D187:P187" si="193">D186/D180</f>
        <v>#DIV/0!</v>
      </c>
      <c r="E187" s="2247" t="e">
        <f t="shared" si="193"/>
        <v>#DIV/0!</v>
      </c>
      <c r="F187" s="2247" t="e">
        <f t="shared" si="193"/>
        <v>#DIV/0!</v>
      </c>
      <c r="G187" s="2247" t="e">
        <f t="shared" si="193"/>
        <v>#DIV/0!</v>
      </c>
      <c r="H187" s="2247" t="e">
        <f t="shared" si="193"/>
        <v>#DIV/0!</v>
      </c>
      <c r="I187" s="2247" t="e">
        <f t="shared" si="193"/>
        <v>#DIV/0!</v>
      </c>
      <c r="J187" s="2247" t="e">
        <f t="shared" si="193"/>
        <v>#DIV/0!</v>
      </c>
      <c r="K187" s="2247" t="e">
        <f t="shared" si="193"/>
        <v>#DIV/0!</v>
      </c>
      <c r="L187" s="2247" t="e">
        <f t="shared" si="193"/>
        <v>#DIV/0!</v>
      </c>
      <c r="M187" s="2247" t="e">
        <f t="shared" si="193"/>
        <v>#DIV/0!</v>
      </c>
      <c r="N187" s="2247" t="e">
        <f t="shared" si="193"/>
        <v>#DIV/0!</v>
      </c>
      <c r="O187" s="2248" t="e">
        <f t="shared" si="193"/>
        <v>#DIV/0!</v>
      </c>
      <c r="P187" s="545" t="e">
        <f t="shared" si="193"/>
        <v>#DIV/0!</v>
      </c>
      <c r="Q187" s="1261" t="e">
        <f t="shared" si="176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3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5" max="16" man="1"/>
  </rowBreaks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V187"/>
  <sheetViews>
    <sheetView zoomScale="85" zoomScaleNormal="85" workbookViewId="0">
      <selection activeCell="B111" sqref="B111"/>
    </sheetView>
  </sheetViews>
  <sheetFormatPr defaultColWidth="9.109375" defaultRowHeight="14.4"/>
  <cols>
    <col min="1" max="1" width="30.441406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M3'!C35/1000</f>
        <v>0</v>
      </c>
      <c r="E5" s="372">
        <f>+'SAHA AYLIK ÜRÜN M3'!D35/1000</f>
        <v>0</v>
      </c>
      <c r="F5" s="372">
        <f>+'SAHA AYLIK ÜRÜN M3'!E35/1000</f>
        <v>0</v>
      </c>
      <c r="G5" s="372">
        <f>+'SAHA AYLIK ÜRÜN M3'!F35/1000</f>
        <v>0</v>
      </c>
      <c r="H5" s="373">
        <f>+'SAHA AYLIK ÜRÜN M3'!G35/1000</f>
        <v>0</v>
      </c>
      <c r="I5" s="373">
        <f>+'SAHA AYLIK ÜRÜN M3'!H35/1000</f>
        <v>0</v>
      </c>
      <c r="J5" s="373">
        <f>+'SAHA AYLIK ÜRÜN M3'!I35/1000</f>
        <v>0</v>
      </c>
      <c r="K5" s="373">
        <f>+'SAHA AYLIK ÜRÜN M3'!J35/1000</f>
        <v>0</v>
      </c>
      <c r="L5" s="373">
        <f>+'SAHA AYLIK ÜRÜN M3'!K35/1000</f>
        <v>0</v>
      </c>
      <c r="M5" s="373">
        <f>+'SAHA AYLIK ÜRÜN M3'!L35/1000</f>
        <v>0</v>
      </c>
      <c r="N5" s="373">
        <f>+'SAHA AYLIK ÜRÜN M3'!M35/1000</f>
        <v>0</v>
      </c>
      <c r="O5" s="374">
        <f>+'SAHA AYLIK ÜRÜN M3'!N35/1000</f>
        <v>0</v>
      </c>
      <c r="P5" s="369">
        <f t="shared" ref="P5" si="4">SUM(D5:O5)</f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5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7">
        <f>SUM(B5)</f>
        <v>0</v>
      </c>
      <c r="C7" s="387">
        <f>SUM(C5)</f>
        <v>0</v>
      </c>
      <c r="D7" s="388">
        <f>SUM(D5:D6)</f>
        <v>0</v>
      </c>
      <c r="E7" s="389">
        <f t="shared" ref="E7:O7" si="6">SUM(E5:E6)</f>
        <v>0</v>
      </c>
      <c r="F7" s="389">
        <f t="shared" si="6"/>
        <v>0</v>
      </c>
      <c r="G7" s="389">
        <f t="shared" si="6"/>
        <v>0</v>
      </c>
      <c r="H7" s="389">
        <f t="shared" si="6"/>
        <v>0</v>
      </c>
      <c r="I7" s="389">
        <f t="shared" si="6"/>
        <v>0</v>
      </c>
      <c r="J7" s="389">
        <f t="shared" si="6"/>
        <v>0</v>
      </c>
      <c r="K7" s="389">
        <f t="shared" si="6"/>
        <v>0</v>
      </c>
      <c r="L7" s="389">
        <f t="shared" si="6"/>
        <v>0</v>
      </c>
      <c r="M7" s="389">
        <f t="shared" si="6"/>
        <v>0</v>
      </c>
      <c r="N7" s="389">
        <f t="shared" si="6"/>
        <v>0</v>
      </c>
      <c r="O7" s="390">
        <f t="shared" si="6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M3'!C36/1000</f>
        <v>0</v>
      </c>
      <c r="E8" s="397">
        <f>+'SAHA AYLIK ÜRÜN M3'!D36/1000</f>
        <v>0</v>
      </c>
      <c r="F8" s="397">
        <f>+'SAHA AYLIK ÜRÜN M3'!E36/1000</f>
        <v>0</v>
      </c>
      <c r="G8" s="397">
        <f>+'SAHA AYLIK ÜRÜN M3'!F36/1000</f>
        <v>0</v>
      </c>
      <c r="H8" s="397">
        <f>+'SAHA AYLIK ÜRÜN M3'!G36/1000</f>
        <v>0</v>
      </c>
      <c r="I8" s="397">
        <f>+'SAHA AYLIK ÜRÜN M3'!H36/1000</f>
        <v>0</v>
      </c>
      <c r="J8" s="397">
        <f>+'SAHA AYLIK ÜRÜN M3'!I36/1000</f>
        <v>0</v>
      </c>
      <c r="K8" s="397">
        <f>+'SAHA AYLIK ÜRÜN M3'!J36/1000</f>
        <v>0</v>
      </c>
      <c r="L8" s="397">
        <f>+'SAHA AYLIK ÜRÜN M3'!K36/1000</f>
        <v>0</v>
      </c>
      <c r="M8" s="397">
        <f>+'SAHA AYLIK ÜRÜN M3'!L36/1000</f>
        <v>0</v>
      </c>
      <c r="N8" s="397">
        <f>+'SAHA AYLIK ÜRÜN M3'!M36/1000</f>
        <v>0</v>
      </c>
      <c r="O8" s="398">
        <f>+'SAHA AYLIK ÜRÜN M3'!N36/1000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M3'!C33/1000</f>
        <v>0</v>
      </c>
      <c r="E9" s="403">
        <f>+'SAHA AYLIK ÜRÜN M3'!D33/1000</f>
        <v>0</v>
      </c>
      <c r="F9" s="403">
        <f>+'SAHA AYLIK ÜRÜN M3'!E33/1000</f>
        <v>0</v>
      </c>
      <c r="G9" s="403">
        <f>+'SAHA AYLIK ÜRÜN M3'!F33/1000</f>
        <v>0</v>
      </c>
      <c r="H9" s="403">
        <f>+'SAHA AYLIK ÜRÜN M3'!G33/1000</f>
        <v>0</v>
      </c>
      <c r="I9" s="403">
        <f>+'SAHA AYLIK ÜRÜN M3'!H33/1000</f>
        <v>0</v>
      </c>
      <c r="J9" s="403">
        <f>+'SAHA AYLIK ÜRÜN M3'!I33/1000</f>
        <v>0</v>
      </c>
      <c r="K9" s="403">
        <f>+'SAHA AYLIK ÜRÜN M3'!J33/1000</f>
        <v>0</v>
      </c>
      <c r="L9" s="403">
        <f>+'SAHA AYLIK ÜRÜN M3'!K33/1000</f>
        <v>0</v>
      </c>
      <c r="M9" s="403">
        <f>+'SAHA AYLIK ÜRÜN M3'!L33/1000</f>
        <v>0</v>
      </c>
      <c r="N9" s="403">
        <f>+'SAHA AYLIK ÜRÜN M3'!M33/1000</f>
        <v>0</v>
      </c>
      <c r="O9" s="404">
        <f>+'SAHA AYLIK ÜRÜN M3'!N33/1000</f>
        <v>0</v>
      </c>
      <c r="P9" s="386">
        <f t="shared" ref="P9:P11" si="7">SUM(D9:O9)</f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>
        <f>+'SAHA AYLIK ÜRÜN M3'!C31/1000</f>
        <v>0</v>
      </c>
      <c r="E10" s="382">
        <f>+'SAHA AYLIK ÜRÜN M3'!D31/1000</f>
        <v>0</v>
      </c>
      <c r="F10" s="382">
        <f>+'SAHA AYLIK ÜRÜN M3'!E31/1000</f>
        <v>0</v>
      </c>
      <c r="G10" s="382">
        <f>+'SAHA AYLIK ÜRÜN M3'!F31/1000</f>
        <v>0</v>
      </c>
      <c r="H10" s="382">
        <f>+'SAHA AYLIK ÜRÜN M3'!G31/1000</f>
        <v>0</v>
      </c>
      <c r="I10" s="382">
        <f>+'SAHA AYLIK ÜRÜN M3'!H31/1000</f>
        <v>0</v>
      </c>
      <c r="J10" s="382">
        <f>+'SAHA AYLIK ÜRÜN M3'!I31/1000</f>
        <v>0</v>
      </c>
      <c r="K10" s="382">
        <f>+'SAHA AYLIK ÜRÜN M3'!J31/1000</f>
        <v>0</v>
      </c>
      <c r="L10" s="382">
        <f>+'SAHA AYLIK ÜRÜN M3'!K31/1000</f>
        <v>0</v>
      </c>
      <c r="M10" s="382">
        <f>+'SAHA AYLIK ÜRÜN M3'!L31/1000</f>
        <v>0</v>
      </c>
      <c r="N10" s="382">
        <f>+'SAHA AYLIK ÜRÜN M3'!M31/1000</f>
        <v>0</v>
      </c>
      <c r="O10" s="383">
        <f>+'SAHA AYLIK ÜRÜN M3'!N31/1000</f>
        <v>0</v>
      </c>
      <c r="P10" s="399">
        <f t="shared" si="7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M3'!C34/1000</f>
        <v>0</v>
      </c>
      <c r="E11" s="403">
        <f>+'SAHA AYLIK ÜRÜN M3'!D34/1000</f>
        <v>0</v>
      </c>
      <c r="F11" s="403">
        <f>+'SAHA AYLIK ÜRÜN M3'!E34/1000</f>
        <v>0</v>
      </c>
      <c r="G11" s="403">
        <f>+'SAHA AYLIK ÜRÜN M3'!F34/1000</f>
        <v>0</v>
      </c>
      <c r="H11" s="403">
        <f>+'SAHA AYLIK ÜRÜN M3'!G34/1000</f>
        <v>0</v>
      </c>
      <c r="I11" s="403">
        <f>+'SAHA AYLIK ÜRÜN M3'!H34/1000</f>
        <v>0</v>
      </c>
      <c r="J11" s="403">
        <f>+'SAHA AYLIK ÜRÜN M3'!I34/1000</f>
        <v>0</v>
      </c>
      <c r="K11" s="403">
        <f>+'SAHA AYLIK ÜRÜN M3'!J34/1000</f>
        <v>0</v>
      </c>
      <c r="L11" s="403">
        <f>+'SAHA AYLIK ÜRÜN M3'!K34/1000</f>
        <v>0</v>
      </c>
      <c r="M11" s="403">
        <f>+'SAHA AYLIK ÜRÜN M3'!L34/1000</f>
        <v>0</v>
      </c>
      <c r="N11" s="403">
        <f>+'SAHA AYLIK ÜRÜN M3'!M34/1000</f>
        <v>0</v>
      </c>
      <c r="O11" s="404">
        <f>+'SAHA AYLIK ÜRÜN M3'!N34/1000</f>
        <v>0</v>
      </c>
      <c r="P11" s="386">
        <f t="shared" si="7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5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8">SUM(E9:E12)</f>
        <v>0</v>
      </c>
      <c r="F13" s="414">
        <f t="shared" si="8"/>
        <v>0</v>
      </c>
      <c r="G13" s="414">
        <f t="shared" si="8"/>
        <v>0</v>
      </c>
      <c r="H13" s="414">
        <f t="shared" si="8"/>
        <v>0</v>
      </c>
      <c r="I13" s="414">
        <f t="shared" si="8"/>
        <v>0</v>
      </c>
      <c r="J13" s="414">
        <f t="shared" si="8"/>
        <v>0</v>
      </c>
      <c r="K13" s="414">
        <f t="shared" si="8"/>
        <v>0</v>
      </c>
      <c r="L13" s="414">
        <f t="shared" si="8"/>
        <v>0</v>
      </c>
      <c r="M13" s="414">
        <f t="shared" si="8"/>
        <v>0</v>
      </c>
      <c r="N13" s="414">
        <f t="shared" si="8"/>
        <v>0</v>
      </c>
      <c r="O13" s="412">
        <f t="shared" si="8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9">SUM(B15:B16)</f>
        <v>0</v>
      </c>
      <c r="C14" s="416">
        <f t="shared" si="9"/>
        <v>0</v>
      </c>
      <c r="D14" s="417">
        <f>SUM(D15:D16)</f>
        <v>0</v>
      </c>
      <c r="E14" s="418">
        <f t="shared" ref="E14:O14" si="10">SUM(E15:E16)</f>
        <v>0</v>
      </c>
      <c r="F14" s="418">
        <f t="shared" si="10"/>
        <v>0</v>
      </c>
      <c r="G14" s="418">
        <f t="shared" si="10"/>
        <v>0</v>
      </c>
      <c r="H14" s="418">
        <f t="shared" si="10"/>
        <v>0</v>
      </c>
      <c r="I14" s="418">
        <f t="shared" si="10"/>
        <v>0</v>
      </c>
      <c r="J14" s="418">
        <f t="shared" si="10"/>
        <v>0</v>
      </c>
      <c r="K14" s="418">
        <f t="shared" si="10"/>
        <v>0</v>
      </c>
      <c r="L14" s="418">
        <f t="shared" si="10"/>
        <v>0</v>
      </c>
      <c r="M14" s="418">
        <f t="shared" si="10"/>
        <v>0</v>
      </c>
      <c r="N14" s="418">
        <f t="shared" si="10"/>
        <v>0</v>
      </c>
      <c r="O14" s="419">
        <f t="shared" si="10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M3'!C37/1000</f>
        <v>0</v>
      </c>
      <c r="E16" s="434">
        <f>+'SAHA AYLIK ÜRÜN M3'!D37/1000</f>
        <v>0</v>
      </c>
      <c r="F16" s="434">
        <f>+'SAHA AYLIK ÜRÜN M3'!E37/1000</f>
        <v>0</v>
      </c>
      <c r="G16" s="434">
        <f>+'SAHA AYLIK ÜRÜN M3'!F37/1000</f>
        <v>0</v>
      </c>
      <c r="H16" s="434">
        <f>+'SAHA AYLIK ÜRÜN M3'!G37/1000</f>
        <v>0</v>
      </c>
      <c r="I16" s="434">
        <f>+'SAHA AYLIK ÜRÜN M3'!H37/1000</f>
        <v>0</v>
      </c>
      <c r="J16" s="434">
        <f>+'SAHA AYLIK ÜRÜN M3'!I37/1000</f>
        <v>0</v>
      </c>
      <c r="K16" s="434">
        <f>+'SAHA AYLIK ÜRÜN M3'!J37/1000</f>
        <v>0</v>
      </c>
      <c r="L16" s="434">
        <f>+'SAHA AYLIK ÜRÜN M3'!K37/1000</f>
        <v>0</v>
      </c>
      <c r="M16" s="434">
        <f>+'SAHA AYLIK ÜRÜN M3'!L37/1000</f>
        <v>0</v>
      </c>
      <c r="N16" s="434">
        <f>+'SAHA AYLIK ÜRÜN M3'!M37/1000</f>
        <v>0</v>
      </c>
      <c r="O16" s="435">
        <f>+'SAHA AYLIK ÜRÜN M3'!N37/1000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11">SUM(B18:B19)</f>
        <v>0</v>
      </c>
      <c r="C17" s="416">
        <f>(B17/9)*12</f>
        <v>0</v>
      </c>
      <c r="D17" s="417">
        <f>SUM(D18:D19)</f>
        <v>0</v>
      </c>
      <c r="E17" s="418">
        <f t="shared" ref="E17:O17" si="12">SUM(E18:E19)</f>
        <v>0</v>
      </c>
      <c r="F17" s="418">
        <f t="shared" si="12"/>
        <v>0</v>
      </c>
      <c r="G17" s="418">
        <f t="shared" si="12"/>
        <v>0</v>
      </c>
      <c r="H17" s="418">
        <f t="shared" si="12"/>
        <v>0</v>
      </c>
      <c r="I17" s="418">
        <f t="shared" si="12"/>
        <v>0</v>
      </c>
      <c r="J17" s="418">
        <f t="shared" si="12"/>
        <v>0</v>
      </c>
      <c r="K17" s="418">
        <f t="shared" si="12"/>
        <v>0</v>
      </c>
      <c r="L17" s="418">
        <f t="shared" si="12"/>
        <v>0</v>
      </c>
      <c r="M17" s="418">
        <f t="shared" si="12"/>
        <v>0</v>
      </c>
      <c r="N17" s="418">
        <f t="shared" si="12"/>
        <v>0</v>
      </c>
      <c r="O17" s="419">
        <f t="shared" si="12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895">
        <f>+M.Yağ_Adbulue!E8/1000</f>
        <v>0</v>
      </c>
      <c r="E18" s="895">
        <f>+M.Yağ_Adbulue!F8/1000</f>
        <v>0</v>
      </c>
      <c r="F18" s="895">
        <f>+M.Yağ_Adbulue!G8/1000</f>
        <v>0</v>
      </c>
      <c r="G18" s="895">
        <f>+M.Yağ_Adbulue!H8/1000</f>
        <v>0</v>
      </c>
      <c r="H18" s="895">
        <f>+M.Yağ_Adbulue!I8/1000</f>
        <v>0</v>
      </c>
      <c r="I18" s="895">
        <f>+M.Yağ_Adbulue!J8/1000</f>
        <v>0</v>
      </c>
      <c r="J18" s="895">
        <f>+M.Yağ_Adbulue!K8/1000</f>
        <v>0</v>
      </c>
      <c r="K18" s="895">
        <f>+M.Yağ_Adbulue!L8/1000</f>
        <v>0</v>
      </c>
      <c r="L18" s="895">
        <f>+M.Yağ_Adbulue!M8/1000</f>
        <v>0</v>
      </c>
      <c r="M18" s="895">
        <f>+M.Yağ_Adbulue!N8/1000</f>
        <v>0</v>
      </c>
      <c r="N18" s="895">
        <f>+M.Yağ_Adbulue!O8/1000</f>
        <v>0</v>
      </c>
      <c r="O18" s="895">
        <f>+M.Yağ_Adbulue!P8/1000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898">
        <f>+M.Yağ_Adbulue!E26/1000</f>
        <v>0</v>
      </c>
      <c r="E19" s="898">
        <f>+M.Yağ_Adbulue!F26/1000</f>
        <v>0</v>
      </c>
      <c r="F19" s="898">
        <f>+M.Yağ_Adbulue!G26/1000</f>
        <v>0</v>
      </c>
      <c r="G19" s="898">
        <f>+M.Yağ_Adbulue!H26/1000</f>
        <v>0</v>
      </c>
      <c r="H19" s="898">
        <f>+M.Yağ_Adbulue!I26/1000</f>
        <v>0</v>
      </c>
      <c r="I19" s="898">
        <f>+M.Yağ_Adbulue!J26/1000</f>
        <v>0</v>
      </c>
      <c r="J19" s="898">
        <f>+M.Yağ_Adbulue!K26/1000</f>
        <v>0</v>
      </c>
      <c r="K19" s="898">
        <f>+M.Yağ_Adbulue!L26/1000</f>
        <v>0</v>
      </c>
      <c r="L19" s="898">
        <f>+M.Yağ_Adbulue!M26/1000</f>
        <v>0</v>
      </c>
      <c r="M19" s="898">
        <f>+M.Yağ_Adbulue!N26/1000</f>
        <v>0</v>
      </c>
      <c r="N19" s="898">
        <f>+M.Yağ_Adbulue!O26/1000</f>
        <v>0</v>
      </c>
      <c r="O19" s="898">
        <f>+M.Yağ_Adbulue!P26/1000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3">D28+D29+D34</f>
        <v>0</v>
      </c>
      <c r="E25" s="366">
        <f t="shared" si="13"/>
        <v>0</v>
      </c>
      <c r="F25" s="366">
        <f t="shared" si="13"/>
        <v>0</v>
      </c>
      <c r="G25" s="366">
        <f t="shared" si="13"/>
        <v>0</v>
      </c>
      <c r="H25" s="366">
        <f t="shared" si="13"/>
        <v>0</v>
      </c>
      <c r="I25" s="366">
        <f t="shared" si="13"/>
        <v>0</v>
      </c>
      <c r="J25" s="366">
        <f t="shared" si="13"/>
        <v>0</v>
      </c>
      <c r="K25" s="366">
        <f t="shared" si="13"/>
        <v>0</v>
      </c>
      <c r="L25" s="366">
        <f t="shared" si="13"/>
        <v>0</v>
      </c>
      <c r="M25" s="366">
        <f t="shared" si="13"/>
        <v>0</v>
      </c>
      <c r="N25" s="366">
        <f t="shared" si="13"/>
        <v>0</v>
      </c>
      <c r="O25" s="364">
        <f t="shared" si="13"/>
        <v>0</v>
      </c>
      <c r="P25" s="363">
        <f t="shared" ref="P25:P44" si="14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Fiyat'!D101</f>
        <v>0</v>
      </c>
      <c r="E26" s="372">
        <f>E5*'Satış Fiyat'!E101</f>
        <v>0</v>
      </c>
      <c r="F26" s="372">
        <f>F5*'Satış Fiyat'!F101</f>
        <v>0</v>
      </c>
      <c r="G26" s="372">
        <f>G5*'Satış Fiyat'!G101</f>
        <v>0</v>
      </c>
      <c r="H26" s="373">
        <f>H5*'Satış Fiyat'!H101</f>
        <v>0</v>
      </c>
      <c r="I26" s="373">
        <f>I5*'Satış Fiyat'!I101</f>
        <v>0</v>
      </c>
      <c r="J26" s="373">
        <f>J5*'Satış Fiyat'!J101</f>
        <v>0</v>
      </c>
      <c r="K26" s="373">
        <f>K5*'Satış Fiyat'!K101</f>
        <v>0</v>
      </c>
      <c r="L26" s="373">
        <f>L5*'Satış Fiyat'!L101</f>
        <v>0</v>
      </c>
      <c r="M26" s="373">
        <f>M5*'Satış Fiyat'!M101</f>
        <v>0</v>
      </c>
      <c r="N26" s="373">
        <f>N5*'Satış Fiyat'!N101</f>
        <v>0</v>
      </c>
      <c r="O26" s="374">
        <f>O5*'Satış Fiyat'!O101</f>
        <v>0</v>
      </c>
      <c r="P26" s="369">
        <f t="shared" si="14"/>
        <v>0</v>
      </c>
      <c r="Q26" s="1237" t="str">
        <f t="shared" ref="Q26:Q40" si="15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Fiyat'!D102</f>
        <v>0</v>
      </c>
      <c r="E27" s="381">
        <f>E6*'Satış Fiyat'!E102</f>
        <v>0</v>
      </c>
      <c r="F27" s="381">
        <f>F6*'Satış Fiyat'!F102</f>
        <v>0</v>
      </c>
      <c r="G27" s="381">
        <f>G6*'Satış Fiyat'!G102</f>
        <v>0</v>
      </c>
      <c r="H27" s="382">
        <f>H6*'Satış Fiyat'!H102</f>
        <v>0</v>
      </c>
      <c r="I27" s="382">
        <f>I6*'Satış Fiyat'!I102</f>
        <v>0</v>
      </c>
      <c r="J27" s="382">
        <f>J6*'Satış Fiyat'!J102</f>
        <v>0</v>
      </c>
      <c r="K27" s="382">
        <f>K6*'Satış Fiyat'!K102</f>
        <v>0</v>
      </c>
      <c r="L27" s="382">
        <f>L6*'Satış Fiyat'!L102</f>
        <v>0</v>
      </c>
      <c r="M27" s="382">
        <f>M6*'Satış Fiyat'!M102</f>
        <v>0</v>
      </c>
      <c r="N27" s="382">
        <f>N6*'Satış Fiyat'!N102</f>
        <v>0</v>
      </c>
      <c r="O27" s="383">
        <f>O6*'Satış Fiyat'!O102</f>
        <v>0</v>
      </c>
      <c r="P27" s="378">
        <f t="shared" si="14"/>
        <v>0</v>
      </c>
      <c r="Q27" s="1238" t="str">
        <f t="shared" si="15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6">SUM(D26:D27)</f>
        <v>0</v>
      </c>
      <c r="E28" s="389">
        <f t="shared" si="16"/>
        <v>0</v>
      </c>
      <c r="F28" s="389">
        <f t="shared" si="16"/>
        <v>0</v>
      </c>
      <c r="G28" s="389">
        <f t="shared" si="16"/>
        <v>0</v>
      </c>
      <c r="H28" s="389">
        <f t="shared" si="16"/>
        <v>0</v>
      </c>
      <c r="I28" s="389">
        <f t="shared" si="16"/>
        <v>0</v>
      </c>
      <c r="J28" s="389">
        <f t="shared" si="16"/>
        <v>0</v>
      </c>
      <c r="K28" s="389">
        <f t="shared" si="16"/>
        <v>0</v>
      </c>
      <c r="L28" s="389">
        <f t="shared" si="16"/>
        <v>0</v>
      </c>
      <c r="M28" s="389">
        <f>SUM(M26:M27)</f>
        <v>0</v>
      </c>
      <c r="N28" s="389">
        <f t="shared" si="16"/>
        <v>0</v>
      </c>
      <c r="O28" s="390">
        <f t="shared" si="16"/>
        <v>0</v>
      </c>
      <c r="P28" s="391">
        <f t="shared" si="14"/>
        <v>0</v>
      </c>
      <c r="Q28" s="1239" t="str">
        <f t="shared" si="15"/>
        <v>-</v>
      </c>
    </row>
    <row r="29" spans="1:22" ht="16.5" customHeight="1">
      <c r="A29" s="393" t="s">
        <v>17</v>
      </c>
      <c r="B29" s="394"/>
      <c r="C29" s="395"/>
      <c r="D29" s="396">
        <f>D8*'Satış Fiyat'!D104</f>
        <v>0</v>
      </c>
      <c r="E29" s="397">
        <f>E8*'Satış Fiyat'!E104</f>
        <v>0</v>
      </c>
      <c r="F29" s="397">
        <f>F8*'Satış Fiyat'!F104</f>
        <v>0</v>
      </c>
      <c r="G29" s="397">
        <f>G8*'Satış Fiyat'!G104</f>
        <v>0</v>
      </c>
      <c r="H29" s="397">
        <f>H8*'Satış Fiyat'!H104</f>
        <v>0</v>
      </c>
      <c r="I29" s="397">
        <f>I8*'Satış Fiyat'!I104</f>
        <v>0</v>
      </c>
      <c r="J29" s="397">
        <f>J8*'Satış Fiyat'!J104</f>
        <v>0</v>
      </c>
      <c r="K29" s="397">
        <f>K8*'Satış Fiyat'!K104</f>
        <v>0</v>
      </c>
      <c r="L29" s="397">
        <f>L8*'Satış Fiyat'!L104</f>
        <v>0</v>
      </c>
      <c r="M29" s="397">
        <f>M8*'Satış Fiyat'!M104</f>
        <v>0</v>
      </c>
      <c r="N29" s="397">
        <f>N8*'Satış Fiyat'!N104</f>
        <v>0</v>
      </c>
      <c r="O29" s="398">
        <f>O8*'Satış Fiyat'!O104</f>
        <v>0</v>
      </c>
      <c r="P29" s="399">
        <f t="shared" si="14"/>
        <v>0</v>
      </c>
      <c r="Q29" s="1238" t="str">
        <f t="shared" si="15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Fiyat'!D105</f>
        <v>0</v>
      </c>
      <c r="E30" s="389">
        <f>E9*'Satış Fiyat'!E105</f>
        <v>0</v>
      </c>
      <c r="F30" s="389">
        <f>F9*'Satış Fiyat'!F105</f>
        <v>0</v>
      </c>
      <c r="G30" s="389">
        <f>G9*'Satış Fiyat'!G105</f>
        <v>0</v>
      </c>
      <c r="H30" s="389">
        <f>H9*'Satış Fiyat'!H105</f>
        <v>0</v>
      </c>
      <c r="I30" s="389">
        <f>I9*'Satış Fiyat'!I105</f>
        <v>0</v>
      </c>
      <c r="J30" s="389">
        <f>J9*'Satış Fiyat'!J105</f>
        <v>0</v>
      </c>
      <c r="K30" s="389">
        <f>K9*'Satış Fiyat'!K105</f>
        <v>0</v>
      </c>
      <c r="L30" s="389">
        <f>L9*'Satış Fiyat'!L105</f>
        <v>0</v>
      </c>
      <c r="M30" s="389">
        <f>M9*'Satış Fiyat'!M105</f>
        <v>0</v>
      </c>
      <c r="N30" s="389">
        <f>N9*'Satış Fiyat'!N105</f>
        <v>0</v>
      </c>
      <c r="O30" s="390">
        <f>O9*'Satış Fiyat'!O105</f>
        <v>0</v>
      </c>
      <c r="P30" s="386">
        <f t="shared" si="14"/>
        <v>0</v>
      </c>
      <c r="Q30" s="1240" t="str">
        <f t="shared" si="15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Fiyat'!D106</f>
        <v>0</v>
      </c>
      <c r="E31" s="397">
        <f>E10*'Satış Fiyat'!E106</f>
        <v>0</v>
      </c>
      <c r="F31" s="397">
        <f>F10*'Satış Fiyat'!F106</f>
        <v>0</v>
      </c>
      <c r="G31" s="397">
        <f>G10*'Satış Fiyat'!G106</f>
        <v>0</v>
      </c>
      <c r="H31" s="397">
        <f>H10*'Satış Fiyat'!H106</f>
        <v>0</v>
      </c>
      <c r="I31" s="397">
        <f>I10*'Satış Fiyat'!I106</f>
        <v>0</v>
      </c>
      <c r="J31" s="397">
        <f>J10*'Satış Fiyat'!J106</f>
        <v>0</v>
      </c>
      <c r="K31" s="397">
        <f>K10*'Satış Fiyat'!K106</f>
        <v>0</v>
      </c>
      <c r="L31" s="397">
        <f>L10*'Satış Fiyat'!L106</f>
        <v>0</v>
      </c>
      <c r="M31" s="397">
        <f>M10*'Satış Fiyat'!M106</f>
        <v>0</v>
      </c>
      <c r="N31" s="397">
        <f>N10*'Satış Fiyat'!N106</f>
        <v>0</v>
      </c>
      <c r="O31" s="398">
        <f>O10*'Satış Fiyat'!O106</f>
        <v>0</v>
      </c>
      <c r="P31" s="399">
        <f t="shared" si="14"/>
        <v>0</v>
      </c>
      <c r="Q31" s="1238" t="str">
        <f t="shared" si="15"/>
        <v>-</v>
      </c>
    </row>
    <row r="32" spans="1:22" ht="16.5" customHeight="1">
      <c r="A32" s="400" t="s">
        <v>83</v>
      </c>
      <c r="B32" s="408"/>
      <c r="C32" s="404"/>
      <c r="D32" s="402">
        <f>D11*'Satış Fiyat'!D107</f>
        <v>0</v>
      </c>
      <c r="E32" s="403">
        <f>E11*'Satış Fiyat'!E107</f>
        <v>0</v>
      </c>
      <c r="F32" s="389">
        <f>F11*'Satış Fiyat'!F107</f>
        <v>0</v>
      </c>
      <c r="G32" s="403">
        <f>G11*'Satış Fiyat'!G107</f>
        <v>0</v>
      </c>
      <c r="H32" s="403">
        <f>H11*'Satış Fiyat'!H107</f>
        <v>0</v>
      </c>
      <c r="I32" s="403">
        <f>I11*'Satış Fiyat'!I107</f>
        <v>0</v>
      </c>
      <c r="J32" s="403">
        <f>J11*'Satış Fiyat'!J107</f>
        <v>0</v>
      </c>
      <c r="K32" s="403">
        <f>K11*'Satış Fiyat'!K107</f>
        <v>0</v>
      </c>
      <c r="L32" s="403">
        <f>L11*'Satış Fiyat'!L107</f>
        <v>0</v>
      </c>
      <c r="M32" s="403">
        <f>M11*'Satış Fiyat'!M107</f>
        <v>0</v>
      </c>
      <c r="N32" s="403">
        <f>N11*'Satış Fiyat'!N107</f>
        <v>0</v>
      </c>
      <c r="O32" s="404">
        <f>O11*'Satış Fiyat'!O107</f>
        <v>0</v>
      </c>
      <c r="P32" s="386">
        <f t="shared" si="14"/>
        <v>0</v>
      </c>
      <c r="Q32" s="1240" t="str">
        <f t="shared" si="15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Fiyat'!D108</f>
        <v>0</v>
      </c>
      <c r="E33" s="382">
        <f>E12*'Satış Fiyat'!E108</f>
        <v>0</v>
      </c>
      <c r="F33" s="382">
        <f>F12*'Satış Fiyat'!F108</f>
        <v>0</v>
      </c>
      <c r="G33" s="382">
        <f>G12*'Satış Fiyat'!G108</f>
        <v>0</v>
      </c>
      <c r="H33" s="382">
        <f>H12*'Satış Fiyat'!H108</f>
        <v>0</v>
      </c>
      <c r="I33" s="381">
        <f>I12*'Satış Fiyat'!I108</f>
        <v>0</v>
      </c>
      <c r="J33" s="381">
        <f>J12*'Satış Fiyat'!J108</f>
        <v>0</v>
      </c>
      <c r="K33" s="382">
        <f>K12*'Satış Fiyat'!K108</f>
        <v>0</v>
      </c>
      <c r="L33" s="382">
        <f>L12*'Satış Fiyat'!L108</f>
        <v>0</v>
      </c>
      <c r="M33" s="382">
        <f>M12*'Satış Fiyat'!M108</f>
        <v>0</v>
      </c>
      <c r="N33" s="382">
        <f>N12*'Satış Fiyat'!N108</f>
        <v>0</v>
      </c>
      <c r="O33" s="383">
        <f>O12*'Satış Fiyat'!O108</f>
        <v>0</v>
      </c>
      <c r="P33" s="399">
        <f t="shared" si="14"/>
        <v>0</v>
      </c>
      <c r="Q33" s="1238" t="str">
        <f t="shared" si="15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7">SUM(E30:E33)</f>
        <v>0</v>
      </c>
      <c r="F34" s="414">
        <f t="shared" si="17"/>
        <v>0</v>
      </c>
      <c r="G34" s="414">
        <f t="shared" si="17"/>
        <v>0</v>
      </c>
      <c r="H34" s="414">
        <f t="shared" si="17"/>
        <v>0</v>
      </c>
      <c r="I34" s="414">
        <f t="shared" si="17"/>
        <v>0</v>
      </c>
      <c r="J34" s="414">
        <f t="shared" si="17"/>
        <v>0</v>
      </c>
      <c r="K34" s="414">
        <f t="shared" si="17"/>
        <v>0</v>
      </c>
      <c r="L34" s="414">
        <f t="shared" si="17"/>
        <v>0</v>
      </c>
      <c r="M34" s="414">
        <f t="shared" si="17"/>
        <v>0</v>
      </c>
      <c r="N34" s="414">
        <f t="shared" si="17"/>
        <v>0</v>
      </c>
      <c r="O34" s="412">
        <f t="shared" si="17"/>
        <v>0</v>
      </c>
      <c r="P34" s="411">
        <f t="shared" si="14"/>
        <v>0</v>
      </c>
      <c r="Q34" s="1241" t="str">
        <f t="shared" si="15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8">SUM(C36:C37)</f>
        <v>0</v>
      </c>
      <c r="D35" s="417">
        <f t="shared" ref="D35:O35" si="19">SUM(D36:D37)</f>
        <v>0</v>
      </c>
      <c r="E35" s="418">
        <f t="shared" si="19"/>
        <v>0</v>
      </c>
      <c r="F35" s="418">
        <f t="shared" si="19"/>
        <v>0</v>
      </c>
      <c r="G35" s="418">
        <f t="shared" si="19"/>
        <v>0</v>
      </c>
      <c r="H35" s="418">
        <f t="shared" si="19"/>
        <v>0</v>
      </c>
      <c r="I35" s="418">
        <f t="shared" si="19"/>
        <v>0</v>
      </c>
      <c r="J35" s="418">
        <f t="shared" si="19"/>
        <v>0</v>
      </c>
      <c r="K35" s="418">
        <f t="shared" si="19"/>
        <v>0</v>
      </c>
      <c r="L35" s="418">
        <f t="shared" si="19"/>
        <v>0</v>
      </c>
      <c r="M35" s="418">
        <f t="shared" si="19"/>
        <v>0</v>
      </c>
      <c r="N35" s="418">
        <f t="shared" si="19"/>
        <v>0</v>
      </c>
      <c r="O35" s="419">
        <f t="shared" si="19"/>
        <v>0</v>
      </c>
      <c r="P35" s="420">
        <f t="shared" si="14"/>
        <v>0</v>
      </c>
      <c r="Q35" s="1242" t="str">
        <f t="shared" si="15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Fiyat'!D111</f>
        <v>0</v>
      </c>
      <c r="E36" s="426">
        <f>E15*'Satış Fiyat'!E111</f>
        <v>0</v>
      </c>
      <c r="F36" s="426">
        <f>F15*'Satış Fiyat'!F111</f>
        <v>0</v>
      </c>
      <c r="G36" s="426">
        <f>G15*'Satış Fiyat'!G111</f>
        <v>0</v>
      </c>
      <c r="H36" s="426">
        <f>H15*'Satış Fiyat'!H111</f>
        <v>0</v>
      </c>
      <c r="I36" s="426">
        <f>I15*'Satış Fiyat'!I111</f>
        <v>0</v>
      </c>
      <c r="J36" s="426">
        <f>J15*'Satış Fiyat'!J111</f>
        <v>0</v>
      </c>
      <c r="K36" s="426">
        <f>K15*'Satış Fiyat'!K111</f>
        <v>0</v>
      </c>
      <c r="L36" s="426">
        <f>L15*'Satış Fiyat'!L111</f>
        <v>0</v>
      </c>
      <c r="M36" s="426">
        <f>M15*'Satış Fiyat'!M111</f>
        <v>0</v>
      </c>
      <c r="N36" s="426">
        <f>N15*'Satış Fiyat'!N111</f>
        <v>0</v>
      </c>
      <c r="O36" s="427">
        <f>O15*'Satış Fiyat'!O111</f>
        <v>0</v>
      </c>
      <c r="P36" s="428">
        <f t="shared" si="14"/>
        <v>0</v>
      </c>
      <c r="Q36" s="1243" t="str">
        <f t="shared" si="15"/>
        <v>-</v>
      </c>
    </row>
    <row r="37" spans="1:22" ht="16.5" customHeight="1" thickBot="1">
      <c r="A37" s="430" t="s">
        <v>20</v>
      </c>
      <c r="B37" s="431"/>
      <c r="C37" s="432">
        <f>B37/9*12</f>
        <v>0</v>
      </c>
      <c r="D37" s="433">
        <f>D16*'Satış Fiyat'!D112</f>
        <v>0</v>
      </c>
      <c r="E37" s="434">
        <f>E16*'Satış Fiyat'!E112</f>
        <v>0</v>
      </c>
      <c r="F37" s="434">
        <f>F16*'Satış Fiyat'!F112</f>
        <v>0</v>
      </c>
      <c r="G37" s="434">
        <f>G16*'Satış Fiyat'!G112</f>
        <v>0</v>
      </c>
      <c r="H37" s="434">
        <f>H16*'Satış Fiyat'!H112</f>
        <v>0</v>
      </c>
      <c r="I37" s="434">
        <f>I16*'Satış Fiyat'!I112</f>
        <v>0</v>
      </c>
      <c r="J37" s="434">
        <f>J16*'Satış Fiyat'!J112</f>
        <v>0</v>
      </c>
      <c r="K37" s="434">
        <f>K16*'Satış Fiyat'!K112</f>
        <v>0</v>
      </c>
      <c r="L37" s="434">
        <f>L16*'Satış Fiyat'!L112</f>
        <v>0</v>
      </c>
      <c r="M37" s="434">
        <f>M16*'Satış Fiyat'!M112</f>
        <v>0</v>
      </c>
      <c r="N37" s="434">
        <f>N16*'Satış Fiyat'!N112</f>
        <v>0</v>
      </c>
      <c r="O37" s="435">
        <f>O16*'Satış Fiyat'!O112</f>
        <v>0</v>
      </c>
      <c r="P37" s="436">
        <f t="shared" si="14"/>
        <v>0</v>
      </c>
      <c r="Q37" s="1244" t="str">
        <f t="shared" si="15"/>
        <v>-</v>
      </c>
    </row>
    <row r="38" spans="1:22" ht="22.5" customHeight="1" thickBot="1">
      <c r="A38" s="362" t="s">
        <v>30</v>
      </c>
      <c r="B38" s="363">
        <f t="shared" ref="B38:C38" si="20">SUM(B39:B40)</f>
        <v>0</v>
      </c>
      <c r="C38" s="416">
        <f t="shared" si="20"/>
        <v>0</v>
      </c>
      <c r="D38" s="417">
        <f t="shared" ref="D38:O38" si="21">SUM(D39:D40)</f>
        <v>0</v>
      </c>
      <c r="E38" s="418">
        <f t="shared" si="21"/>
        <v>0</v>
      </c>
      <c r="F38" s="418">
        <f t="shared" si="21"/>
        <v>0</v>
      </c>
      <c r="G38" s="418">
        <f t="shared" si="21"/>
        <v>0</v>
      </c>
      <c r="H38" s="418">
        <f t="shared" si="21"/>
        <v>0</v>
      </c>
      <c r="I38" s="418">
        <f t="shared" si="21"/>
        <v>0</v>
      </c>
      <c r="J38" s="418">
        <f t="shared" si="21"/>
        <v>0</v>
      </c>
      <c r="K38" s="418">
        <f t="shared" si="21"/>
        <v>0</v>
      </c>
      <c r="L38" s="418">
        <f t="shared" si="21"/>
        <v>0</v>
      </c>
      <c r="M38" s="418">
        <f t="shared" si="21"/>
        <v>0</v>
      </c>
      <c r="N38" s="418">
        <f t="shared" si="21"/>
        <v>0</v>
      </c>
      <c r="O38" s="419">
        <f t="shared" si="21"/>
        <v>0</v>
      </c>
      <c r="P38" s="420">
        <f t="shared" si="14"/>
        <v>0</v>
      </c>
      <c r="Q38" s="1242" t="str">
        <f t="shared" si="15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Fiyat'!D114</f>
        <v>0</v>
      </c>
      <c r="E39" s="426">
        <f>E18*'Satış Fiyat'!E114</f>
        <v>0</v>
      </c>
      <c r="F39" s="426">
        <f>F18*'Satış Fiyat'!F114</f>
        <v>0</v>
      </c>
      <c r="G39" s="426">
        <f>G18*'Satış Fiyat'!G114</f>
        <v>0</v>
      </c>
      <c r="H39" s="426">
        <f>H18*'Satış Fiyat'!H114</f>
        <v>0</v>
      </c>
      <c r="I39" s="426">
        <f>I18*'Satış Fiyat'!I114</f>
        <v>0</v>
      </c>
      <c r="J39" s="426">
        <f>J18*'Satış Fiyat'!J114</f>
        <v>0</v>
      </c>
      <c r="K39" s="426">
        <f>K18*'Satış Fiyat'!K114</f>
        <v>0</v>
      </c>
      <c r="L39" s="426">
        <f>L18*'Satış Fiyat'!L114</f>
        <v>0</v>
      </c>
      <c r="M39" s="426">
        <f>M18*'Satış Fiyat'!M114</f>
        <v>0</v>
      </c>
      <c r="N39" s="426">
        <f>N18*'Satış Fiyat'!N114</f>
        <v>0</v>
      </c>
      <c r="O39" s="427">
        <f>O18*'Satış Fiyat'!O114</f>
        <v>0</v>
      </c>
      <c r="P39" s="428">
        <f t="shared" si="14"/>
        <v>0</v>
      </c>
      <c r="Q39" s="1243" t="str">
        <f t="shared" si="15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Fiyat'!D115</f>
        <v>0</v>
      </c>
      <c r="E40" s="442">
        <f>E19*'Satış Fiyat'!E115</f>
        <v>0</v>
      </c>
      <c r="F40" s="442">
        <f>F19*'Satış Fiyat'!F115</f>
        <v>0</v>
      </c>
      <c r="G40" s="442">
        <f>G19*'Satış Fiyat'!G115</f>
        <v>0</v>
      </c>
      <c r="H40" s="442">
        <f>H19*'Satış Fiyat'!H115</f>
        <v>0</v>
      </c>
      <c r="I40" s="442">
        <f>I19*'Satış Fiyat'!I115</f>
        <v>0</v>
      </c>
      <c r="J40" s="442">
        <f>J19*'Satış Fiyat'!J115</f>
        <v>0</v>
      </c>
      <c r="K40" s="442">
        <f>K19*'Satış Fiyat'!K115</f>
        <v>0</v>
      </c>
      <c r="L40" s="442">
        <f>L19*'Satış Fiyat'!L115</f>
        <v>0</v>
      </c>
      <c r="M40" s="442">
        <f>M19*'Satış Fiyat'!M115</f>
        <v>0</v>
      </c>
      <c r="N40" s="442">
        <f>N19*'Satış Fiyat'!N115</f>
        <v>0</v>
      </c>
      <c r="O40" s="443">
        <f>O19*'Satış Fiyat'!O115</f>
        <v>0</v>
      </c>
      <c r="P40" s="444">
        <f t="shared" si="14"/>
        <v>0</v>
      </c>
      <c r="Q40" s="1245" t="str">
        <f t="shared" si="15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Fiyat'!D117</f>
        <v>0</v>
      </c>
      <c r="E42" s="366">
        <f>E21*'Satış Fiyat'!E117</f>
        <v>0</v>
      </c>
      <c r="F42" s="366">
        <f>F21*'Satış Fiyat'!F117</f>
        <v>0</v>
      </c>
      <c r="G42" s="366">
        <f>G21*'Satış Fiyat'!G117</f>
        <v>0</v>
      </c>
      <c r="H42" s="366">
        <f>H21*'Satış Fiyat'!H117</f>
        <v>0</v>
      </c>
      <c r="I42" s="366">
        <f>I21*'Satış Fiyat'!I117</f>
        <v>0</v>
      </c>
      <c r="J42" s="366">
        <f>J21*'Satış Fiyat'!J117</f>
        <v>0</v>
      </c>
      <c r="K42" s="366">
        <f>K21*'Satış Fiyat'!K117</f>
        <v>0</v>
      </c>
      <c r="L42" s="366">
        <f>L21*'Satış Fiyat'!L117</f>
        <v>0</v>
      </c>
      <c r="M42" s="366">
        <f>M21*'Satış Fiyat'!M117</f>
        <v>0</v>
      </c>
      <c r="N42" s="366">
        <f>N21*'Satış Fiyat'!N117</f>
        <v>0</v>
      </c>
      <c r="O42" s="448">
        <f>O21*'Satış Fiyat'!O117</f>
        <v>0</v>
      </c>
      <c r="P42" s="363">
        <f t="shared" si="14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4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2">+C25+C35+C38+C42</f>
        <v>0</v>
      </c>
      <c r="D44" s="365">
        <f t="shared" ref="D44:O44" si="23">+D25+D35+D38+D42</f>
        <v>0</v>
      </c>
      <c r="E44" s="366">
        <f t="shared" si="23"/>
        <v>0</v>
      </c>
      <c r="F44" s="366">
        <f t="shared" si="23"/>
        <v>0</v>
      </c>
      <c r="G44" s="366">
        <f>+G25+G35+G38+G42</f>
        <v>0</v>
      </c>
      <c r="H44" s="366">
        <f t="shared" si="23"/>
        <v>0</v>
      </c>
      <c r="I44" s="366">
        <f t="shared" si="23"/>
        <v>0</v>
      </c>
      <c r="J44" s="366">
        <f t="shared" si="23"/>
        <v>0</v>
      </c>
      <c r="K44" s="366">
        <f t="shared" si="23"/>
        <v>0</v>
      </c>
      <c r="L44" s="366">
        <f t="shared" si="23"/>
        <v>0</v>
      </c>
      <c r="M44" s="366">
        <f t="shared" si="23"/>
        <v>0</v>
      </c>
      <c r="N44" s="366">
        <f t="shared" si="23"/>
        <v>0</v>
      </c>
      <c r="O44" s="364">
        <f t="shared" si="23"/>
        <v>0</v>
      </c>
      <c r="P44" s="363">
        <f t="shared" si="14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4">C51+C52+C57</f>
        <v>0</v>
      </c>
      <c r="D48" s="365">
        <f t="shared" ref="D48:O48" si="25">D51+D52+D57</f>
        <v>0</v>
      </c>
      <c r="E48" s="366">
        <f t="shared" si="25"/>
        <v>0</v>
      </c>
      <c r="F48" s="366">
        <f t="shared" si="25"/>
        <v>0</v>
      </c>
      <c r="G48" s="366">
        <f t="shared" si="25"/>
        <v>0</v>
      </c>
      <c r="H48" s="366">
        <f t="shared" si="25"/>
        <v>0</v>
      </c>
      <c r="I48" s="366">
        <f t="shared" si="25"/>
        <v>0</v>
      </c>
      <c r="J48" s="366">
        <f t="shared" si="25"/>
        <v>0</v>
      </c>
      <c r="K48" s="366">
        <f t="shared" si="25"/>
        <v>0</v>
      </c>
      <c r="L48" s="366">
        <f t="shared" si="25"/>
        <v>0</v>
      </c>
      <c r="M48" s="366">
        <f t="shared" si="25"/>
        <v>0</v>
      </c>
      <c r="N48" s="366">
        <f t="shared" si="25"/>
        <v>0</v>
      </c>
      <c r="O48" s="364">
        <f t="shared" si="25"/>
        <v>0</v>
      </c>
      <c r="P48" s="363">
        <f t="shared" ref="P48:P67" si="26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7">+$S$49*E26</f>
        <v>0</v>
      </c>
      <c r="F49" s="373">
        <f>+$S$49*F26</f>
        <v>0</v>
      </c>
      <c r="G49" s="373">
        <f>+$T$49*G26</f>
        <v>0</v>
      </c>
      <c r="H49" s="373">
        <f t="shared" ref="H49" si="28">+$T$49*H26</f>
        <v>0</v>
      </c>
      <c r="I49" s="373">
        <f>+$T$49*I26</f>
        <v>0</v>
      </c>
      <c r="J49" s="373">
        <f>+$U$49*J26</f>
        <v>0</v>
      </c>
      <c r="K49" s="373">
        <f t="shared" ref="K49" si="29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6"/>
        <v>0</v>
      </c>
      <c r="Q49" s="1237" t="str">
        <f t="shared" ref="Q49:Q63" si="30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31">+$S$50*E27</f>
        <v>0</v>
      </c>
      <c r="F50" s="382">
        <f t="shared" si="31"/>
        <v>0</v>
      </c>
      <c r="G50" s="382">
        <f t="shared" si="31"/>
        <v>0</v>
      </c>
      <c r="H50" s="382">
        <f t="shared" si="31"/>
        <v>0</v>
      </c>
      <c r="I50" s="382">
        <f t="shared" si="31"/>
        <v>0</v>
      </c>
      <c r="J50" s="382">
        <f t="shared" si="31"/>
        <v>0</v>
      </c>
      <c r="K50" s="382">
        <f t="shared" si="31"/>
        <v>0</v>
      </c>
      <c r="L50" s="382">
        <f t="shared" si="31"/>
        <v>0</v>
      </c>
      <c r="M50" s="382">
        <f t="shared" si="31"/>
        <v>0</v>
      </c>
      <c r="N50" s="382">
        <f t="shared" si="31"/>
        <v>0</v>
      </c>
      <c r="O50" s="383">
        <f t="shared" si="31"/>
        <v>0</v>
      </c>
      <c r="P50" s="378">
        <f t="shared" si="26"/>
        <v>0</v>
      </c>
      <c r="Q50" s="1238" t="str">
        <f t="shared" si="30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2">SUM(E49:E50)</f>
        <v>0</v>
      </c>
      <c r="F51" s="389">
        <f t="shared" si="32"/>
        <v>0</v>
      </c>
      <c r="G51" s="389">
        <f>SUM(G49:G50)</f>
        <v>0</v>
      </c>
      <c r="H51" s="389">
        <f t="shared" ref="H51" si="33">SUM(H49:H50)</f>
        <v>0</v>
      </c>
      <c r="I51" s="389">
        <f>SUM(I49:I50)</f>
        <v>0</v>
      </c>
      <c r="J51" s="389">
        <f>SUM(J49:J50)</f>
        <v>0</v>
      </c>
      <c r="K51" s="389">
        <f t="shared" ref="K51" si="34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6"/>
        <v>0</v>
      </c>
      <c r="Q51" s="1239" t="str">
        <f t="shared" si="30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5">+$S$52*E29</f>
        <v>0</v>
      </c>
      <c r="F52" s="397">
        <f>+$S$52*F29</f>
        <v>0</v>
      </c>
      <c r="G52" s="397">
        <f>+$T$52*G29</f>
        <v>0</v>
      </c>
      <c r="H52" s="397">
        <f t="shared" ref="H52" si="36">+$T$52*H29</f>
        <v>0</v>
      </c>
      <c r="I52" s="397">
        <f>+$T$52*I29</f>
        <v>0</v>
      </c>
      <c r="J52" s="397">
        <f>+$U$52*J29</f>
        <v>0</v>
      </c>
      <c r="K52" s="397">
        <f t="shared" ref="K52" si="37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6"/>
        <v>0</v>
      </c>
      <c r="Q52" s="1238" t="str">
        <f t="shared" si="30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8">+$S$53*D30</f>
        <v>0</v>
      </c>
      <c r="E53" s="403">
        <f t="shared" si="38"/>
        <v>0</v>
      </c>
      <c r="F53" s="403">
        <f t="shared" si="38"/>
        <v>0</v>
      </c>
      <c r="G53" s="403">
        <f>+$T$53*G30</f>
        <v>0</v>
      </c>
      <c r="H53" s="403">
        <f t="shared" ref="H53" si="39">+$T$53*H30</f>
        <v>0</v>
      </c>
      <c r="I53" s="403">
        <f>+$T$53*I30</f>
        <v>0</v>
      </c>
      <c r="J53" s="403">
        <f>+$U$53*J30</f>
        <v>0</v>
      </c>
      <c r="K53" s="403">
        <f t="shared" ref="K53" si="40">+$U$53*K30</f>
        <v>0</v>
      </c>
      <c r="L53" s="403">
        <f>+$U$53*L30</f>
        <v>0</v>
      </c>
      <c r="M53" s="403">
        <f>+$V$53*M30</f>
        <v>0</v>
      </c>
      <c r="N53" s="403">
        <f t="shared" ref="N53" si="41">+$V$53*N30</f>
        <v>0</v>
      </c>
      <c r="O53" s="404">
        <f>+$V$53*O30</f>
        <v>0</v>
      </c>
      <c r="P53" s="386">
        <f t="shared" si="26"/>
        <v>0</v>
      </c>
      <c r="Q53" s="1240" t="str">
        <f t="shared" si="30"/>
        <v>-</v>
      </c>
      <c r="S53" s="461">
        <v>1.4999999999999999E-2</v>
      </c>
      <c r="T53" s="461">
        <v>1.4999999999999999E-2</v>
      </c>
      <c r="U53" s="461">
        <v>1.4999999999999999E-2</v>
      </c>
      <c r="V53" s="461">
        <v>1.4999999999999999E-2</v>
      </c>
    </row>
    <row r="54" spans="1:22" ht="16.5" hidden="1" customHeight="1">
      <c r="A54" s="406" t="s">
        <v>82</v>
      </c>
      <c r="B54" s="394"/>
      <c r="C54" s="395"/>
      <c r="D54" s="407">
        <f t="shared" ref="D54:O54" si="42">+$S$54*D31</f>
        <v>0</v>
      </c>
      <c r="E54" s="382">
        <f t="shared" si="42"/>
        <v>0</v>
      </c>
      <c r="F54" s="382">
        <f t="shared" si="42"/>
        <v>0</v>
      </c>
      <c r="G54" s="382">
        <f t="shared" si="42"/>
        <v>0</v>
      </c>
      <c r="H54" s="382">
        <f t="shared" si="42"/>
        <v>0</v>
      </c>
      <c r="I54" s="382">
        <f t="shared" si="42"/>
        <v>0</v>
      </c>
      <c r="J54" s="382">
        <f t="shared" si="42"/>
        <v>0</v>
      </c>
      <c r="K54" s="382">
        <f t="shared" si="42"/>
        <v>0</v>
      </c>
      <c r="L54" s="382">
        <f t="shared" si="42"/>
        <v>0</v>
      </c>
      <c r="M54" s="382">
        <f t="shared" si="42"/>
        <v>0</v>
      </c>
      <c r="N54" s="382">
        <f t="shared" si="42"/>
        <v>0</v>
      </c>
      <c r="O54" s="383">
        <f t="shared" si="42"/>
        <v>0</v>
      </c>
      <c r="P54" s="399">
        <f t="shared" si="26"/>
        <v>0</v>
      </c>
      <c r="Q54" s="1238" t="str">
        <f t="shared" si="30"/>
        <v>-</v>
      </c>
      <c r="S54" s="461">
        <v>1.4999999999999999E-2</v>
      </c>
      <c r="T54" s="461">
        <v>1.4999999999999999E-2</v>
      </c>
      <c r="U54" s="461">
        <v>1.4999999999999999E-2</v>
      </c>
      <c r="V54" s="461">
        <v>1.4999999999999999E-2</v>
      </c>
    </row>
    <row r="55" spans="1:22" ht="16.5" customHeight="1">
      <c r="A55" s="400" t="s">
        <v>83</v>
      </c>
      <c r="B55" s="408"/>
      <c r="C55" s="404">
        <f>B55/10*12</f>
        <v>0</v>
      </c>
      <c r="D55" s="402">
        <f t="shared" ref="D55:F55" si="43">+$S$55*D32</f>
        <v>0</v>
      </c>
      <c r="E55" s="403">
        <f t="shared" si="43"/>
        <v>0</v>
      </c>
      <c r="F55" s="403">
        <f t="shared" si="43"/>
        <v>0</v>
      </c>
      <c r="G55" s="403">
        <f>+$T$55*G32</f>
        <v>0</v>
      </c>
      <c r="H55" s="403">
        <f t="shared" ref="H55" si="44">+$T$55*H32</f>
        <v>0</v>
      </c>
      <c r="I55" s="403">
        <f>+$T$55*I32</f>
        <v>0</v>
      </c>
      <c r="J55" s="403">
        <f>+$U$55*J32</f>
        <v>0</v>
      </c>
      <c r="K55" s="403">
        <f t="shared" ref="K55" si="45">+$U$55*K32</f>
        <v>0</v>
      </c>
      <c r="L55" s="403">
        <f>+$U$55*L32</f>
        <v>0</v>
      </c>
      <c r="M55" s="403">
        <f>+$V$55*M32</f>
        <v>0</v>
      </c>
      <c r="N55" s="403">
        <f t="shared" ref="N55" si="46">+$V$55*N32</f>
        <v>0</v>
      </c>
      <c r="O55" s="404">
        <f>+$V$55*O32</f>
        <v>0</v>
      </c>
      <c r="P55" s="386">
        <f t="shared" si="26"/>
        <v>0</v>
      </c>
      <c r="Q55" s="1240" t="str">
        <f t="shared" si="30"/>
        <v>-</v>
      </c>
      <c r="S55" s="461">
        <v>1.4999999999999999E-2</v>
      </c>
      <c r="T55" s="461">
        <v>1.4999999999999999E-2</v>
      </c>
      <c r="U55" s="461">
        <v>1.4999999999999999E-2</v>
      </c>
      <c r="V55" s="461">
        <v>1.4999999999999999E-2</v>
      </c>
    </row>
    <row r="56" spans="1:22" ht="16.5" hidden="1" customHeight="1">
      <c r="A56" s="406" t="s">
        <v>84</v>
      </c>
      <c r="B56" s="378"/>
      <c r="C56" s="379"/>
      <c r="D56" s="407">
        <f t="shared" ref="D56:O56" si="47">+$S$56*D33</f>
        <v>0</v>
      </c>
      <c r="E56" s="382">
        <f t="shared" si="47"/>
        <v>0</v>
      </c>
      <c r="F56" s="382">
        <f t="shared" si="47"/>
        <v>0</v>
      </c>
      <c r="G56" s="382">
        <f t="shared" si="47"/>
        <v>0</v>
      </c>
      <c r="H56" s="382">
        <f t="shared" si="47"/>
        <v>0</v>
      </c>
      <c r="I56" s="382">
        <f t="shared" si="47"/>
        <v>0</v>
      </c>
      <c r="J56" s="382">
        <f t="shared" si="47"/>
        <v>0</v>
      </c>
      <c r="K56" s="382">
        <f t="shared" si="47"/>
        <v>0</v>
      </c>
      <c r="L56" s="382">
        <f t="shared" si="47"/>
        <v>0</v>
      </c>
      <c r="M56" s="382">
        <f t="shared" si="47"/>
        <v>0</v>
      </c>
      <c r="N56" s="382">
        <f t="shared" si="47"/>
        <v>0</v>
      </c>
      <c r="O56" s="383">
        <f t="shared" si="47"/>
        <v>0</v>
      </c>
      <c r="P56" s="399">
        <f t="shared" si="26"/>
        <v>0</v>
      </c>
      <c r="Q56" s="1238" t="str">
        <f t="shared" si="30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8">SUM(B53:B56)</f>
        <v>0</v>
      </c>
      <c r="C57" s="412">
        <f t="shared" si="48"/>
        <v>0</v>
      </c>
      <c r="D57" s="413">
        <f t="shared" ref="D57:F57" si="49">SUM(D53:D56)</f>
        <v>0</v>
      </c>
      <c r="E57" s="414">
        <f t="shared" si="49"/>
        <v>0</v>
      </c>
      <c r="F57" s="414">
        <f t="shared" si="49"/>
        <v>0</v>
      </c>
      <c r="G57" s="414">
        <f>SUM(G53:G56)</f>
        <v>0</v>
      </c>
      <c r="H57" s="414">
        <f t="shared" ref="H57" si="50">SUM(H53:H56)</f>
        <v>0</v>
      </c>
      <c r="I57" s="414">
        <f>SUM(I53:I56)</f>
        <v>0</v>
      </c>
      <c r="J57" s="414">
        <f>SUM(J53:J56)</f>
        <v>0</v>
      </c>
      <c r="K57" s="414">
        <f t="shared" ref="K57" si="51">SUM(K53:K56)</f>
        <v>0</v>
      </c>
      <c r="L57" s="414">
        <f>SUM(L53:L56)</f>
        <v>0</v>
      </c>
      <c r="M57" s="414">
        <f>SUM(M53:M56)</f>
        <v>0</v>
      </c>
      <c r="N57" s="414">
        <f t="shared" ref="N57" si="52">SUM(N53:N56)</f>
        <v>0</v>
      </c>
      <c r="O57" s="412">
        <f>SUM(O53:O56)</f>
        <v>0</v>
      </c>
      <c r="P57" s="411">
        <f t="shared" si="26"/>
        <v>0</v>
      </c>
      <c r="Q57" s="1241" t="str">
        <f t="shared" si="30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3">SUM(C59:C60)</f>
        <v>0</v>
      </c>
      <c r="D58" s="417">
        <f t="shared" ref="D58:F58" si="54">SUM(D59:D60)</f>
        <v>0</v>
      </c>
      <c r="E58" s="418">
        <f t="shared" si="54"/>
        <v>0</v>
      </c>
      <c r="F58" s="418">
        <f t="shared" si="54"/>
        <v>0</v>
      </c>
      <c r="G58" s="418">
        <f>SUM(G59:G60)</f>
        <v>0</v>
      </c>
      <c r="H58" s="418">
        <f t="shared" ref="H58" si="55">SUM(H59:H60)</f>
        <v>0</v>
      </c>
      <c r="I58" s="418">
        <f>SUM(I59:I60)</f>
        <v>0</v>
      </c>
      <c r="J58" s="418">
        <f>SUM(J59:J60)</f>
        <v>0</v>
      </c>
      <c r="K58" s="418">
        <f t="shared" ref="K58" si="56">SUM(K59:K60)</f>
        <v>0</v>
      </c>
      <c r="L58" s="418">
        <f>SUM(L59:L60)</f>
        <v>0</v>
      </c>
      <c r="M58" s="418">
        <f>SUM(M59:M60)</f>
        <v>0</v>
      </c>
      <c r="N58" s="418">
        <f t="shared" ref="N58" si="57">SUM(N59:N60)</f>
        <v>0</v>
      </c>
      <c r="O58" s="419">
        <f>SUM(O59:O60)</f>
        <v>0</v>
      </c>
      <c r="P58" s="420">
        <f t="shared" si="26"/>
        <v>0</v>
      </c>
      <c r="Q58" s="1242" t="str">
        <f t="shared" si="30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8">+$S$59*E36</f>
        <v>0</v>
      </c>
      <c r="F59" s="426">
        <f t="shared" si="58"/>
        <v>0</v>
      </c>
      <c r="G59" s="426">
        <f>+$T$59*G36</f>
        <v>0</v>
      </c>
      <c r="H59" s="426">
        <f t="shared" ref="H59" si="59">+$T$59*H36</f>
        <v>0</v>
      </c>
      <c r="I59" s="426">
        <f>+$T$59*I36</f>
        <v>0</v>
      </c>
      <c r="J59" s="426">
        <f>+$U$59*J36</f>
        <v>0</v>
      </c>
      <c r="K59" s="426">
        <f t="shared" ref="K59" si="60">+$U$59*K36</f>
        <v>0</v>
      </c>
      <c r="L59" s="426">
        <f>+$U$59*L36</f>
        <v>0</v>
      </c>
      <c r="M59" s="426">
        <f>+$V$59*M36</f>
        <v>0</v>
      </c>
      <c r="N59" s="426">
        <f t="shared" ref="N59" si="61">+$V$59*N36</f>
        <v>0</v>
      </c>
      <c r="O59" s="427">
        <f>+$V$59*O36</f>
        <v>0</v>
      </c>
      <c r="P59" s="428">
        <f t="shared" si="26"/>
        <v>0</v>
      </c>
      <c r="Q59" s="1243" t="str">
        <f t="shared" si="30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2">+$S$60*E37</f>
        <v>0</v>
      </c>
      <c r="F60" s="434">
        <f t="shared" si="62"/>
        <v>0</v>
      </c>
      <c r="G60" s="434">
        <f>+$T$60*G37</f>
        <v>0</v>
      </c>
      <c r="H60" s="434">
        <f t="shared" ref="H60" si="63">+$T$60*H37</f>
        <v>0</v>
      </c>
      <c r="I60" s="434">
        <f>+$T$60*I37</f>
        <v>0</v>
      </c>
      <c r="J60" s="434">
        <f>+$U$60*J37</f>
        <v>0</v>
      </c>
      <c r="K60" s="434">
        <f t="shared" ref="K60" si="64">+$U$60*K37</f>
        <v>0</v>
      </c>
      <c r="L60" s="434">
        <f>+$U$60*L37</f>
        <v>0</v>
      </c>
      <c r="M60" s="434">
        <f>+$V$60*M37</f>
        <v>0</v>
      </c>
      <c r="N60" s="434">
        <f t="shared" ref="N60" si="65">+$V$60*N37</f>
        <v>0</v>
      </c>
      <c r="O60" s="435">
        <f>+$V$60*O37</f>
        <v>0</v>
      </c>
      <c r="P60" s="436">
        <f t="shared" si="26"/>
        <v>0</v>
      </c>
      <c r="Q60" s="1244" t="str">
        <f t="shared" si="30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6">SUM(B62:B63)</f>
        <v>0</v>
      </c>
      <c r="C61" s="416">
        <f t="shared" si="66"/>
        <v>0</v>
      </c>
      <c r="D61" s="417">
        <f t="shared" ref="D61:F61" si="67">SUM(D62:D63)</f>
        <v>0</v>
      </c>
      <c r="E61" s="418">
        <f t="shared" si="67"/>
        <v>0</v>
      </c>
      <c r="F61" s="418">
        <f t="shared" si="67"/>
        <v>0</v>
      </c>
      <c r="G61" s="418">
        <f>SUM(G62:G63)</f>
        <v>0</v>
      </c>
      <c r="H61" s="418">
        <f t="shared" ref="H61" si="68">SUM(H62:H63)</f>
        <v>0</v>
      </c>
      <c r="I61" s="418">
        <f>SUM(I62:I63)</f>
        <v>0</v>
      </c>
      <c r="J61" s="418">
        <f>SUM(J62:J63)</f>
        <v>0</v>
      </c>
      <c r="K61" s="418">
        <f t="shared" ref="K61" si="69">SUM(K62:K63)</f>
        <v>0</v>
      </c>
      <c r="L61" s="418">
        <f>SUM(L62:L63)</f>
        <v>0</v>
      </c>
      <c r="M61" s="418">
        <f>SUM(M62:M63)</f>
        <v>0</v>
      </c>
      <c r="N61" s="418">
        <f t="shared" ref="N61" si="70">SUM(N62:N63)</f>
        <v>0</v>
      </c>
      <c r="O61" s="419">
        <f>SUM(O62:O63)</f>
        <v>0</v>
      </c>
      <c r="P61" s="420">
        <f t="shared" si="26"/>
        <v>0</v>
      </c>
      <c r="Q61" s="1242" t="str">
        <f t="shared" si="30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71">+$S$62*E39</f>
        <v>0</v>
      </c>
      <c r="F62" s="426">
        <f t="shared" si="71"/>
        <v>0</v>
      </c>
      <c r="G62" s="426">
        <f>+$T$62*G39</f>
        <v>0</v>
      </c>
      <c r="H62" s="426">
        <f t="shared" ref="H62" si="72">+$T$62*H39</f>
        <v>0</v>
      </c>
      <c r="I62" s="426">
        <f>+$T$62*I39</f>
        <v>0</v>
      </c>
      <c r="J62" s="426">
        <f>+$U$62*J39</f>
        <v>0</v>
      </c>
      <c r="K62" s="426">
        <f t="shared" ref="K62" si="73">+$U$62*K39</f>
        <v>0</v>
      </c>
      <c r="L62" s="426">
        <f>+$U$62*L39</f>
        <v>0</v>
      </c>
      <c r="M62" s="426">
        <f>+$V$62*M39</f>
        <v>0</v>
      </c>
      <c r="N62" s="426">
        <f t="shared" ref="N62" si="74">+$V$62*N39</f>
        <v>0</v>
      </c>
      <c r="O62" s="427">
        <f>+$V$62*O39</f>
        <v>0</v>
      </c>
      <c r="P62" s="428">
        <f t="shared" si="26"/>
        <v>0</v>
      </c>
      <c r="Q62" s="1243" t="str">
        <f t="shared" si="30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5">+$S$63*E40</f>
        <v>0</v>
      </c>
      <c r="F63" s="442">
        <f t="shared" si="75"/>
        <v>0</v>
      </c>
      <c r="G63" s="442">
        <f>+$T$63*G40</f>
        <v>0</v>
      </c>
      <c r="H63" s="442">
        <f t="shared" ref="H63" si="76">+$T$63*H40</f>
        <v>0</v>
      </c>
      <c r="I63" s="442">
        <f>+$T$63*I40</f>
        <v>0</v>
      </c>
      <c r="J63" s="442">
        <f>+$U$63*J40</f>
        <v>0</v>
      </c>
      <c r="K63" s="442">
        <f t="shared" ref="K63" si="77">+$U$63*K40</f>
        <v>0</v>
      </c>
      <c r="L63" s="442">
        <f>+$U$63*L40</f>
        <v>0</v>
      </c>
      <c r="M63" s="442">
        <f>+$V$63*M40</f>
        <v>0</v>
      </c>
      <c r="N63" s="442">
        <f t="shared" ref="N63" si="78">+$V$63*N40</f>
        <v>0</v>
      </c>
      <c r="O63" s="443">
        <f>+$V$63*O40</f>
        <v>0</v>
      </c>
      <c r="P63" s="444">
        <f t="shared" si="26"/>
        <v>0</v>
      </c>
      <c r="Q63" s="1245" t="str">
        <f t="shared" si="30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>
        <f>B65/9*12</f>
        <v>0</v>
      </c>
      <c r="D65" s="365">
        <f>+$S$65*D42</f>
        <v>0</v>
      </c>
      <c r="E65" s="366">
        <f t="shared" ref="E65:F65" si="79">+$S$65*E42</f>
        <v>0</v>
      </c>
      <c r="F65" s="366">
        <f t="shared" si="79"/>
        <v>0</v>
      </c>
      <c r="G65" s="366">
        <f>+$T$65*G42</f>
        <v>0</v>
      </c>
      <c r="H65" s="366">
        <f t="shared" ref="H65" si="80">+$T$65*H42</f>
        <v>0</v>
      </c>
      <c r="I65" s="366">
        <f>+$T$65*I42</f>
        <v>0</v>
      </c>
      <c r="J65" s="366">
        <f>+$T$65*J42</f>
        <v>0</v>
      </c>
      <c r="K65" s="366">
        <f t="shared" ref="K65" si="81">+$T$65*K42</f>
        <v>0</v>
      </c>
      <c r="L65" s="366">
        <f>+$U$65*L42</f>
        <v>0</v>
      </c>
      <c r="M65" s="366">
        <f>+$V$65*M42</f>
        <v>0</v>
      </c>
      <c r="N65" s="366">
        <f t="shared" ref="N65" si="82">+$V$65*N42</f>
        <v>0</v>
      </c>
      <c r="O65" s="448">
        <f>+$V$65*O42</f>
        <v>0</v>
      </c>
      <c r="P65" s="363">
        <f t="shared" si="26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6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3">+C48+C58+C61+C65</f>
        <v>0</v>
      </c>
      <c r="D67" s="365">
        <f t="shared" ref="D67:O67" si="84">+D48+D58+D61+D65</f>
        <v>0</v>
      </c>
      <c r="E67" s="366">
        <f t="shared" si="84"/>
        <v>0</v>
      </c>
      <c r="F67" s="366">
        <f t="shared" si="84"/>
        <v>0</v>
      </c>
      <c r="G67" s="366">
        <f t="shared" si="84"/>
        <v>0</v>
      </c>
      <c r="H67" s="366">
        <f t="shared" si="84"/>
        <v>0</v>
      </c>
      <c r="I67" s="366">
        <f t="shared" si="84"/>
        <v>0</v>
      </c>
      <c r="J67" s="366">
        <f t="shared" si="84"/>
        <v>0</v>
      </c>
      <c r="K67" s="366">
        <f t="shared" si="84"/>
        <v>0</v>
      </c>
      <c r="L67" s="366">
        <f t="shared" si="84"/>
        <v>0</v>
      </c>
      <c r="M67" s="366">
        <f t="shared" si="84"/>
        <v>0</v>
      </c>
      <c r="N67" s="366">
        <f t="shared" si="84"/>
        <v>0</v>
      </c>
      <c r="O67" s="364">
        <f t="shared" si="84"/>
        <v>0</v>
      </c>
      <c r="P67" s="363">
        <f t="shared" si="26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5">C74+C75+C80</f>
        <v>0</v>
      </c>
      <c r="D71" s="365">
        <f t="shared" ref="D71:O71" si="86">D74+D75+D80</f>
        <v>0</v>
      </c>
      <c r="E71" s="366">
        <f t="shared" si="86"/>
        <v>0</v>
      </c>
      <c r="F71" s="366">
        <f t="shared" si="86"/>
        <v>0</v>
      </c>
      <c r="G71" s="366">
        <f t="shared" si="86"/>
        <v>0</v>
      </c>
      <c r="H71" s="366">
        <f t="shared" si="86"/>
        <v>0</v>
      </c>
      <c r="I71" s="366">
        <f t="shared" si="86"/>
        <v>0</v>
      </c>
      <c r="J71" s="366">
        <f t="shared" si="86"/>
        <v>0</v>
      </c>
      <c r="K71" s="366">
        <f t="shared" si="86"/>
        <v>0</v>
      </c>
      <c r="L71" s="366">
        <f t="shared" si="86"/>
        <v>0</v>
      </c>
      <c r="M71" s="366">
        <f t="shared" si="86"/>
        <v>0</v>
      </c>
      <c r="N71" s="366">
        <f t="shared" si="86"/>
        <v>0</v>
      </c>
      <c r="O71" s="364">
        <f t="shared" si="86"/>
        <v>0</v>
      </c>
      <c r="P71" s="363">
        <f>SUM(D71:O71)</f>
        <v>0</v>
      </c>
      <c r="Q71" s="1236" t="str">
        <f t="shared" ref="Q71:Q86" si="87">IF(P71=0,"-",P71/C71-1)</f>
        <v>-</v>
      </c>
    </row>
    <row r="72" spans="1:22" ht="16.5" customHeight="1">
      <c r="A72" s="368" t="s">
        <v>15</v>
      </c>
      <c r="B72" s="369">
        <f t="shared" ref="B72:C73" si="88">+B26-B49</f>
        <v>0</v>
      </c>
      <c r="C72" s="370">
        <f t="shared" si="88"/>
        <v>0</v>
      </c>
      <c r="D72" s="371">
        <f t="shared" ref="D72:O72" si="89">+D26-D49</f>
        <v>0</v>
      </c>
      <c r="E72" s="372">
        <f t="shared" si="89"/>
        <v>0</v>
      </c>
      <c r="F72" s="372">
        <f t="shared" si="89"/>
        <v>0</v>
      </c>
      <c r="G72" s="372">
        <f t="shared" si="89"/>
        <v>0</v>
      </c>
      <c r="H72" s="373">
        <f t="shared" si="89"/>
        <v>0</v>
      </c>
      <c r="I72" s="373">
        <f t="shared" si="89"/>
        <v>0</v>
      </c>
      <c r="J72" s="373">
        <f t="shared" si="89"/>
        <v>0</v>
      </c>
      <c r="K72" s="373">
        <f t="shared" si="89"/>
        <v>0</v>
      </c>
      <c r="L72" s="373">
        <f t="shared" si="89"/>
        <v>0</v>
      </c>
      <c r="M72" s="373">
        <f t="shared" si="89"/>
        <v>0</v>
      </c>
      <c r="N72" s="373">
        <f t="shared" si="89"/>
        <v>0</v>
      </c>
      <c r="O72" s="374">
        <f t="shared" si="89"/>
        <v>0</v>
      </c>
      <c r="P72" s="369">
        <f t="shared" ref="P72:P90" si="90">SUM(D72:O72)</f>
        <v>0</v>
      </c>
      <c r="Q72" s="1237" t="str">
        <f t="shared" si="87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8"/>
        <v>0</v>
      </c>
      <c r="C73" s="379">
        <f t="shared" si="88"/>
        <v>0</v>
      </c>
      <c r="D73" s="380">
        <f t="shared" ref="D73:O73" si="91">+D27-D50</f>
        <v>0</v>
      </c>
      <c r="E73" s="381">
        <f t="shared" si="91"/>
        <v>0</v>
      </c>
      <c r="F73" s="381">
        <f t="shared" si="91"/>
        <v>0</v>
      </c>
      <c r="G73" s="381">
        <f t="shared" si="91"/>
        <v>0</v>
      </c>
      <c r="H73" s="382">
        <f t="shared" si="91"/>
        <v>0</v>
      </c>
      <c r="I73" s="382">
        <f t="shared" si="91"/>
        <v>0</v>
      </c>
      <c r="J73" s="382">
        <f t="shared" si="91"/>
        <v>0</v>
      </c>
      <c r="K73" s="382">
        <f t="shared" si="91"/>
        <v>0</v>
      </c>
      <c r="L73" s="382">
        <f t="shared" si="91"/>
        <v>0</v>
      </c>
      <c r="M73" s="382">
        <f t="shared" si="91"/>
        <v>0</v>
      </c>
      <c r="N73" s="382">
        <f t="shared" si="91"/>
        <v>0</v>
      </c>
      <c r="O73" s="383">
        <f t="shared" si="91"/>
        <v>0</v>
      </c>
      <c r="P73" s="378">
        <f t="shared" si="90"/>
        <v>0</v>
      </c>
      <c r="Q73" s="1238" t="str">
        <f t="shared" si="87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2">SUM(D72:D73)</f>
        <v>0</v>
      </c>
      <c r="E74" s="389">
        <f t="shared" si="92"/>
        <v>0</v>
      </c>
      <c r="F74" s="389">
        <f t="shared" si="92"/>
        <v>0</v>
      </c>
      <c r="G74" s="389">
        <f t="shared" si="92"/>
        <v>0</v>
      </c>
      <c r="H74" s="389">
        <f t="shared" si="92"/>
        <v>0</v>
      </c>
      <c r="I74" s="389">
        <f t="shared" si="92"/>
        <v>0</v>
      </c>
      <c r="J74" s="389">
        <f t="shared" si="92"/>
        <v>0</v>
      </c>
      <c r="K74" s="389">
        <f t="shared" si="92"/>
        <v>0</v>
      </c>
      <c r="L74" s="389">
        <f t="shared" si="92"/>
        <v>0</v>
      </c>
      <c r="M74" s="389">
        <f t="shared" si="92"/>
        <v>0</v>
      </c>
      <c r="N74" s="389">
        <f t="shared" si="92"/>
        <v>0</v>
      </c>
      <c r="O74" s="390">
        <f t="shared" si="92"/>
        <v>0</v>
      </c>
      <c r="P74" s="391">
        <f t="shared" si="90"/>
        <v>0</v>
      </c>
      <c r="Q74" s="1239" t="str">
        <f t="shared" si="87"/>
        <v>-</v>
      </c>
    </row>
    <row r="75" spans="1:22" ht="16.5" customHeight="1">
      <c r="A75" s="393" t="s">
        <v>17</v>
      </c>
      <c r="B75" s="394">
        <f t="shared" ref="B75:C79" si="93">+B29-B52</f>
        <v>0</v>
      </c>
      <c r="C75" s="395">
        <f t="shared" si="93"/>
        <v>0</v>
      </c>
      <c r="D75" s="396">
        <f t="shared" ref="D75:O75" si="94">+D29-D52</f>
        <v>0</v>
      </c>
      <c r="E75" s="397">
        <f t="shared" si="94"/>
        <v>0</v>
      </c>
      <c r="F75" s="397">
        <f t="shared" si="94"/>
        <v>0</v>
      </c>
      <c r="G75" s="397">
        <f t="shared" si="94"/>
        <v>0</v>
      </c>
      <c r="H75" s="397">
        <f t="shared" si="94"/>
        <v>0</v>
      </c>
      <c r="I75" s="397">
        <f t="shared" si="94"/>
        <v>0</v>
      </c>
      <c r="J75" s="397">
        <f t="shared" si="94"/>
        <v>0</v>
      </c>
      <c r="K75" s="397">
        <f t="shared" si="94"/>
        <v>0</v>
      </c>
      <c r="L75" s="397">
        <f t="shared" si="94"/>
        <v>0</v>
      </c>
      <c r="M75" s="397">
        <f t="shared" si="94"/>
        <v>0</v>
      </c>
      <c r="N75" s="397">
        <f t="shared" si="94"/>
        <v>0</v>
      </c>
      <c r="O75" s="398">
        <f t="shared" si="94"/>
        <v>0</v>
      </c>
      <c r="P75" s="399">
        <f t="shared" si="90"/>
        <v>0</v>
      </c>
      <c r="Q75" s="1238" t="str">
        <f t="shared" si="87"/>
        <v>-</v>
      </c>
    </row>
    <row r="76" spans="1:22" ht="16.5" customHeight="1">
      <c r="A76" s="400" t="s">
        <v>81</v>
      </c>
      <c r="B76" s="386">
        <f t="shared" si="93"/>
        <v>0</v>
      </c>
      <c r="C76" s="401">
        <f t="shared" si="93"/>
        <v>0</v>
      </c>
      <c r="D76" s="388">
        <f t="shared" ref="D76:O76" si="95">+D30-D53</f>
        <v>0</v>
      </c>
      <c r="E76" s="389">
        <f t="shared" si="95"/>
        <v>0</v>
      </c>
      <c r="F76" s="389">
        <f t="shared" si="95"/>
        <v>0</v>
      </c>
      <c r="G76" s="389">
        <f t="shared" si="95"/>
        <v>0</v>
      </c>
      <c r="H76" s="389">
        <f t="shared" si="95"/>
        <v>0</v>
      </c>
      <c r="I76" s="389">
        <f t="shared" si="95"/>
        <v>0</v>
      </c>
      <c r="J76" s="389">
        <f t="shared" si="95"/>
        <v>0</v>
      </c>
      <c r="K76" s="389">
        <f t="shared" si="95"/>
        <v>0</v>
      </c>
      <c r="L76" s="389">
        <f t="shared" si="95"/>
        <v>0</v>
      </c>
      <c r="M76" s="389">
        <f t="shared" si="95"/>
        <v>0</v>
      </c>
      <c r="N76" s="389">
        <f t="shared" si="95"/>
        <v>0</v>
      </c>
      <c r="O76" s="390">
        <f t="shared" si="95"/>
        <v>0</v>
      </c>
      <c r="P76" s="386">
        <f t="shared" si="90"/>
        <v>0</v>
      </c>
      <c r="Q76" s="1240" t="str">
        <f t="shared" si="87"/>
        <v>-</v>
      </c>
    </row>
    <row r="77" spans="1:22" ht="16.5" hidden="1" customHeight="1">
      <c r="A77" s="406" t="s">
        <v>82</v>
      </c>
      <c r="B77" s="394">
        <f t="shared" si="93"/>
        <v>0</v>
      </c>
      <c r="C77" s="395">
        <f t="shared" si="93"/>
        <v>0</v>
      </c>
      <c r="D77" s="396">
        <f t="shared" ref="D77:O77" si="96">+D31-D54</f>
        <v>0</v>
      </c>
      <c r="E77" s="397">
        <f t="shared" si="96"/>
        <v>0</v>
      </c>
      <c r="F77" s="397">
        <f t="shared" si="96"/>
        <v>0</v>
      </c>
      <c r="G77" s="397">
        <f t="shared" si="96"/>
        <v>0</v>
      </c>
      <c r="H77" s="397">
        <f t="shared" si="96"/>
        <v>0</v>
      </c>
      <c r="I77" s="397">
        <f t="shared" si="96"/>
        <v>0</v>
      </c>
      <c r="J77" s="397">
        <f t="shared" si="96"/>
        <v>0</v>
      </c>
      <c r="K77" s="397">
        <f t="shared" si="96"/>
        <v>0</v>
      </c>
      <c r="L77" s="397">
        <f t="shared" si="96"/>
        <v>0</v>
      </c>
      <c r="M77" s="397">
        <f t="shared" si="96"/>
        <v>0</v>
      </c>
      <c r="N77" s="397">
        <f t="shared" si="96"/>
        <v>0</v>
      </c>
      <c r="O77" s="398">
        <f t="shared" si="96"/>
        <v>0</v>
      </c>
      <c r="P77" s="399">
        <f>SUM(D77:O77)</f>
        <v>0</v>
      </c>
      <c r="Q77" s="1238" t="str">
        <f t="shared" si="87"/>
        <v>-</v>
      </c>
    </row>
    <row r="78" spans="1:22" ht="16.5" customHeight="1">
      <c r="A78" s="400" t="s">
        <v>83</v>
      </c>
      <c r="B78" s="408">
        <f t="shared" si="93"/>
        <v>0</v>
      </c>
      <c r="C78" s="409">
        <f t="shared" si="93"/>
        <v>0</v>
      </c>
      <c r="D78" s="402">
        <f t="shared" ref="D78:O78" si="97">+D32-D55</f>
        <v>0</v>
      </c>
      <c r="E78" s="403">
        <f t="shared" si="97"/>
        <v>0</v>
      </c>
      <c r="F78" s="403">
        <f t="shared" si="97"/>
        <v>0</v>
      </c>
      <c r="G78" s="403">
        <f t="shared" si="97"/>
        <v>0</v>
      </c>
      <c r="H78" s="403">
        <f t="shared" si="97"/>
        <v>0</v>
      </c>
      <c r="I78" s="403">
        <f t="shared" si="97"/>
        <v>0</v>
      </c>
      <c r="J78" s="403">
        <f t="shared" si="97"/>
        <v>0</v>
      </c>
      <c r="K78" s="403">
        <f t="shared" si="97"/>
        <v>0</v>
      </c>
      <c r="L78" s="403">
        <f t="shared" si="97"/>
        <v>0</v>
      </c>
      <c r="M78" s="403">
        <f t="shared" si="97"/>
        <v>0</v>
      </c>
      <c r="N78" s="403">
        <f t="shared" si="97"/>
        <v>0</v>
      </c>
      <c r="O78" s="404">
        <f t="shared" si="97"/>
        <v>0</v>
      </c>
      <c r="P78" s="386">
        <f t="shared" si="90"/>
        <v>0</v>
      </c>
      <c r="Q78" s="1240" t="str">
        <f t="shared" si="87"/>
        <v>-</v>
      </c>
    </row>
    <row r="79" spans="1:22" ht="16.5" hidden="1" customHeight="1">
      <c r="A79" s="406" t="s">
        <v>84</v>
      </c>
      <c r="B79" s="378">
        <f t="shared" si="93"/>
        <v>0</v>
      </c>
      <c r="C79" s="379">
        <f t="shared" si="93"/>
        <v>0</v>
      </c>
      <c r="D79" s="407">
        <f t="shared" ref="D79:O79" si="98">+D33-D56</f>
        <v>0</v>
      </c>
      <c r="E79" s="382">
        <f t="shared" si="98"/>
        <v>0</v>
      </c>
      <c r="F79" s="382">
        <f t="shared" si="98"/>
        <v>0</v>
      </c>
      <c r="G79" s="382">
        <f t="shared" si="98"/>
        <v>0</v>
      </c>
      <c r="H79" s="382">
        <f t="shared" si="98"/>
        <v>0</v>
      </c>
      <c r="I79" s="381">
        <f t="shared" si="98"/>
        <v>0</v>
      </c>
      <c r="J79" s="381">
        <f t="shared" si="98"/>
        <v>0</v>
      </c>
      <c r="K79" s="382">
        <f t="shared" si="98"/>
        <v>0</v>
      </c>
      <c r="L79" s="382">
        <f t="shared" si="98"/>
        <v>0</v>
      </c>
      <c r="M79" s="382">
        <f t="shared" si="98"/>
        <v>0</v>
      </c>
      <c r="N79" s="382">
        <f t="shared" si="98"/>
        <v>0</v>
      </c>
      <c r="O79" s="383">
        <f t="shared" si="98"/>
        <v>0</v>
      </c>
      <c r="P79" s="399">
        <f t="shared" si="90"/>
        <v>0</v>
      </c>
      <c r="Q79" s="1238" t="str">
        <f t="shared" si="87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9">SUM(B76:B79)</f>
        <v>0</v>
      </c>
      <c r="C80" s="412">
        <f t="shared" si="99"/>
        <v>0</v>
      </c>
      <c r="D80" s="413">
        <f t="shared" ref="D80:O80" si="100">SUM(D76:D79)</f>
        <v>0</v>
      </c>
      <c r="E80" s="414">
        <f t="shared" si="100"/>
        <v>0</v>
      </c>
      <c r="F80" s="414">
        <f t="shared" si="100"/>
        <v>0</v>
      </c>
      <c r="G80" s="414">
        <f t="shared" si="100"/>
        <v>0</v>
      </c>
      <c r="H80" s="414">
        <f t="shared" si="100"/>
        <v>0</v>
      </c>
      <c r="I80" s="414">
        <f t="shared" si="100"/>
        <v>0</v>
      </c>
      <c r="J80" s="414">
        <f t="shared" si="100"/>
        <v>0</v>
      </c>
      <c r="K80" s="414">
        <f t="shared" si="100"/>
        <v>0</v>
      </c>
      <c r="L80" s="414">
        <f t="shared" si="100"/>
        <v>0</v>
      </c>
      <c r="M80" s="414">
        <f t="shared" si="100"/>
        <v>0</v>
      </c>
      <c r="N80" s="414">
        <f t="shared" si="100"/>
        <v>0</v>
      </c>
      <c r="O80" s="412">
        <f t="shared" si="100"/>
        <v>0</v>
      </c>
      <c r="P80" s="411">
        <f t="shared" si="90"/>
        <v>0</v>
      </c>
      <c r="Q80" s="1241" t="str">
        <f t="shared" si="87"/>
        <v>-</v>
      </c>
    </row>
    <row r="81" spans="1:22" ht="22.5" customHeight="1" thickBot="1">
      <c r="A81" s="362" t="s">
        <v>29</v>
      </c>
      <c r="B81" s="420">
        <f t="shared" ref="B81:C86" si="101">+B35-B58</f>
        <v>0</v>
      </c>
      <c r="C81" s="416">
        <f t="shared" si="101"/>
        <v>0</v>
      </c>
      <c r="D81" s="417">
        <f t="shared" ref="D81:O81" si="102">+D35-D58</f>
        <v>0</v>
      </c>
      <c r="E81" s="418">
        <f t="shared" si="102"/>
        <v>0</v>
      </c>
      <c r="F81" s="418">
        <f t="shared" si="102"/>
        <v>0</v>
      </c>
      <c r="G81" s="418">
        <f t="shared" si="102"/>
        <v>0</v>
      </c>
      <c r="H81" s="418">
        <f t="shared" si="102"/>
        <v>0</v>
      </c>
      <c r="I81" s="418">
        <f t="shared" si="102"/>
        <v>0</v>
      </c>
      <c r="J81" s="418">
        <f t="shared" si="102"/>
        <v>0</v>
      </c>
      <c r="K81" s="418">
        <f t="shared" si="102"/>
        <v>0</v>
      </c>
      <c r="L81" s="418">
        <f t="shared" si="102"/>
        <v>0</v>
      </c>
      <c r="M81" s="418">
        <f t="shared" si="102"/>
        <v>0</v>
      </c>
      <c r="N81" s="418">
        <f t="shared" si="102"/>
        <v>0</v>
      </c>
      <c r="O81" s="419">
        <f t="shared" si="102"/>
        <v>0</v>
      </c>
      <c r="P81" s="420">
        <f t="shared" si="90"/>
        <v>0</v>
      </c>
      <c r="Q81" s="1242" t="str">
        <f t="shared" si="87"/>
        <v>-</v>
      </c>
    </row>
    <row r="82" spans="1:22" ht="16.5" customHeight="1">
      <c r="A82" s="422" t="s">
        <v>19</v>
      </c>
      <c r="B82" s="423">
        <f t="shared" si="101"/>
        <v>0</v>
      </c>
      <c r="C82" s="424">
        <f t="shared" si="101"/>
        <v>0</v>
      </c>
      <c r="D82" s="425">
        <f t="shared" ref="D82:O82" si="103">+D36-D59</f>
        <v>0</v>
      </c>
      <c r="E82" s="426">
        <f t="shared" si="103"/>
        <v>0</v>
      </c>
      <c r="F82" s="426">
        <f t="shared" si="103"/>
        <v>0</v>
      </c>
      <c r="G82" s="426">
        <f t="shared" si="103"/>
        <v>0</v>
      </c>
      <c r="H82" s="426">
        <f t="shared" si="103"/>
        <v>0</v>
      </c>
      <c r="I82" s="426">
        <f t="shared" si="103"/>
        <v>0</v>
      </c>
      <c r="J82" s="426">
        <f t="shared" si="103"/>
        <v>0</v>
      </c>
      <c r="K82" s="426">
        <f t="shared" si="103"/>
        <v>0</v>
      </c>
      <c r="L82" s="426">
        <f t="shared" si="103"/>
        <v>0</v>
      </c>
      <c r="M82" s="426">
        <f t="shared" si="103"/>
        <v>0</v>
      </c>
      <c r="N82" s="426">
        <f t="shared" si="103"/>
        <v>0</v>
      </c>
      <c r="O82" s="427">
        <f t="shared" si="103"/>
        <v>0</v>
      </c>
      <c r="P82" s="428">
        <f t="shared" si="90"/>
        <v>0</v>
      </c>
      <c r="Q82" s="1243" t="str">
        <f t="shared" si="87"/>
        <v>-</v>
      </c>
    </row>
    <row r="83" spans="1:22" ht="16.5" customHeight="1" thickBot="1">
      <c r="A83" s="430" t="s">
        <v>20</v>
      </c>
      <c r="B83" s="431">
        <f t="shared" si="101"/>
        <v>0</v>
      </c>
      <c r="C83" s="432">
        <f t="shared" si="101"/>
        <v>0</v>
      </c>
      <c r="D83" s="433">
        <f t="shared" ref="D83:O83" si="104">+D37-D60</f>
        <v>0</v>
      </c>
      <c r="E83" s="434">
        <f t="shared" si="104"/>
        <v>0</v>
      </c>
      <c r="F83" s="434">
        <f t="shared" si="104"/>
        <v>0</v>
      </c>
      <c r="G83" s="434">
        <f t="shared" si="104"/>
        <v>0</v>
      </c>
      <c r="H83" s="434">
        <f t="shared" si="104"/>
        <v>0</v>
      </c>
      <c r="I83" s="434">
        <f t="shared" si="104"/>
        <v>0</v>
      </c>
      <c r="J83" s="434">
        <f t="shared" si="104"/>
        <v>0</v>
      </c>
      <c r="K83" s="434">
        <f t="shared" si="104"/>
        <v>0</v>
      </c>
      <c r="L83" s="434">
        <f t="shared" si="104"/>
        <v>0</v>
      </c>
      <c r="M83" s="434">
        <f t="shared" si="104"/>
        <v>0</v>
      </c>
      <c r="N83" s="434">
        <f t="shared" si="104"/>
        <v>0</v>
      </c>
      <c r="O83" s="435">
        <f t="shared" si="104"/>
        <v>0</v>
      </c>
      <c r="P83" s="436">
        <f t="shared" si="90"/>
        <v>0</v>
      </c>
      <c r="Q83" s="1244" t="str">
        <f t="shared" si="87"/>
        <v>-</v>
      </c>
    </row>
    <row r="84" spans="1:22" ht="22.5" customHeight="1" thickBot="1">
      <c r="A84" s="362" t="s">
        <v>30</v>
      </c>
      <c r="B84" s="363">
        <f t="shared" si="101"/>
        <v>0</v>
      </c>
      <c r="C84" s="364">
        <f t="shared" si="101"/>
        <v>0</v>
      </c>
      <c r="D84" s="365">
        <f t="shared" ref="D84:O84" si="105">+D38-D61</f>
        <v>0</v>
      </c>
      <c r="E84" s="366">
        <f t="shared" si="105"/>
        <v>0</v>
      </c>
      <c r="F84" s="366">
        <f t="shared" si="105"/>
        <v>0</v>
      </c>
      <c r="G84" s="366">
        <f t="shared" si="105"/>
        <v>0</v>
      </c>
      <c r="H84" s="366">
        <f t="shared" si="105"/>
        <v>0</v>
      </c>
      <c r="I84" s="366">
        <f t="shared" si="105"/>
        <v>0</v>
      </c>
      <c r="J84" s="366">
        <f t="shared" si="105"/>
        <v>0</v>
      </c>
      <c r="K84" s="366">
        <f t="shared" si="105"/>
        <v>0</v>
      </c>
      <c r="L84" s="366">
        <f t="shared" si="105"/>
        <v>0</v>
      </c>
      <c r="M84" s="366">
        <f t="shared" si="105"/>
        <v>0</v>
      </c>
      <c r="N84" s="366">
        <f t="shared" si="105"/>
        <v>0</v>
      </c>
      <c r="O84" s="448">
        <f t="shared" si="105"/>
        <v>0</v>
      </c>
      <c r="P84" s="363">
        <f t="shared" si="90"/>
        <v>0</v>
      </c>
      <c r="Q84" s="1236" t="str">
        <f t="shared" si="87"/>
        <v>-</v>
      </c>
    </row>
    <row r="85" spans="1:22" ht="16.5" customHeight="1">
      <c r="A85" s="422" t="s">
        <v>106</v>
      </c>
      <c r="B85" s="423">
        <f t="shared" si="101"/>
        <v>0</v>
      </c>
      <c r="C85" s="424">
        <f t="shared" si="101"/>
        <v>0</v>
      </c>
      <c r="D85" s="425">
        <f t="shared" ref="D85:O85" si="106">+D39-D62</f>
        <v>0</v>
      </c>
      <c r="E85" s="426">
        <f t="shared" si="106"/>
        <v>0</v>
      </c>
      <c r="F85" s="426">
        <f t="shared" si="106"/>
        <v>0</v>
      </c>
      <c r="G85" s="426">
        <f t="shared" si="106"/>
        <v>0</v>
      </c>
      <c r="H85" s="426">
        <f t="shared" si="106"/>
        <v>0</v>
      </c>
      <c r="I85" s="426">
        <f t="shared" si="106"/>
        <v>0</v>
      </c>
      <c r="J85" s="426">
        <f t="shared" si="106"/>
        <v>0</v>
      </c>
      <c r="K85" s="426">
        <f t="shared" si="106"/>
        <v>0</v>
      </c>
      <c r="L85" s="426">
        <f t="shared" si="106"/>
        <v>0</v>
      </c>
      <c r="M85" s="426">
        <f t="shared" si="106"/>
        <v>0</v>
      </c>
      <c r="N85" s="426">
        <f t="shared" si="106"/>
        <v>0</v>
      </c>
      <c r="O85" s="427">
        <f t="shared" si="106"/>
        <v>0</v>
      </c>
      <c r="P85" s="428">
        <f t="shared" si="90"/>
        <v>0</v>
      </c>
      <c r="Q85" s="1243" t="str">
        <f t="shared" si="87"/>
        <v>-</v>
      </c>
    </row>
    <row r="86" spans="1:22" ht="16.5" customHeight="1" thickBot="1">
      <c r="A86" s="438" t="s">
        <v>105</v>
      </c>
      <c r="B86" s="439">
        <f t="shared" si="101"/>
        <v>0</v>
      </c>
      <c r="C86" s="440">
        <f t="shared" si="101"/>
        <v>0</v>
      </c>
      <c r="D86" s="441">
        <f t="shared" ref="D86:O86" si="107">+D40-D63</f>
        <v>0</v>
      </c>
      <c r="E86" s="442">
        <f t="shared" si="107"/>
        <v>0</v>
      </c>
      <c r="F86" s="442">
        <f t="shared" si="107"/>
        <v>0</v>
      </c>
      <c r="G86" s="442">
        <f t="shared" si="107"/>
        <v>0</v>
      </c>
      <c r="H86" s="442">
        <f t="shared" si="107"/>
        <v>0</v>
      </c>
      <c r="I86" s="442">
        <f t="shared" si="107"/>
        <v>0</v>
      </c>
      <c r="J86" s="442">
        <f t="shared" si="107"/>
        <v>0</v>
      </c>
      <c r="K86" s="442">
        <f t="shared" si="107"/>
        <v>0</v>
      </c>
      <c r="L86" s="442">
        <f t="shared" si="107"/>
        <v>0</v>
      </c>
      <c r="M86" s="442">
        <f t="shared" si="107"/>
        <v>0</v>
      </c>
      <c r="N86" s="442">
        <f t="shared" si="107"/>
        <v>0</v>
      </c>
      <c r="O86" s="443">
        <f t="shared" si="107"/>
        <v>0</v>
      </c>
      <c r="P86" s="444">
        <f t="shared" si="90"/>
        <v>0</v>
      </c>
      <c r="Q86" s="1245" t="str">
        <f t="shared" si="87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8">+B42-B65</f>
        <v>0</v>
      </c>
      <c r="C88" s="364">
        <f t="shared" si="108"/>
        <v>0</v>
      </c>
      <c r="D88" s="365">
        <f t="shared" ref="D88:O88" si="109">+D42-D65</f>
        <v>0</v>
      </c>
      <c r="E88" s="366">
        <f t="shared" si="109"/>
        <v>0</v>
      </c>
      <c r="F88" s="366">
        <f t="shared" si="109"/>
        <v>0</v>
      </c>
      <c r="G88" s="366">
        <f t="shared" si="109"/>
        <v>0</v>
      </c>
      <c r="H88" s="366">
        <f t="shared" si="109"/>
        <v>0</v>
      </c>
      <c r="I88" s="366">
        <f t="shared" si="109"/>
        <v>0</v>
      </c>
      <c r="J88" s="366">
        <f t="shared" si="109"/>
        <v>0</v>
      </c>
      <c r="K88" s="366">
        <f t="shared" si="109"/>
        <v>0</v>
      </c>
      <c r="L88" s="366">
        <f t="shared" si="109"/>
        <v>0</v>
      </c>
      <c r="M88" s="366">
        <f t="shared" si="109"/>
        <v>0</v>
      </c>
      <c r="N88" s="366">
        <f t="shared" si="109"/>
        <v>0</v>
      </c>
      <c r="O88" s="448">
        <f t="shared" si="109"/>
        <v>0</v>
      </c>
      <c r="P88" s="363">
        <f t="shared" si="90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90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10">+C71+C81+C84+C88</f>
        <v>0</v>
      </c>
      <c r="D90" s="365">
        <f t="shared" ref="D90:O90" si="111">+D71+D81+D84+D88</f>
        <v>0</v>
      </c>
      <c r="E90" s="366">
        <f t="shared" si="111"/>
        <v>0</v>
      </c>
      <c r="F90" s="366">
        <f t="shared" si="111"/>
        <v>0</v>
      </c>
      <c r="G90" s="366">
        <f t="shared" si="111"/>
        <v>0</v>
      </c>
      <c r="H90" s="366">
        <f t="shared" si="111"/>
        <v>0</v>
      </c>
      <c r="I90" s="366">
        <f t="shared" si="111"/>
        <v>0</v>
      </c>
      <c r="J90" s="366">
        <f t="shared" si="111"/>
        <v>0</v>
      </c>
      <c r="K90" s="366">
        <f t="shared" si="111"/>
        <v>0</v>
      </c>
      <c r="L90" s="366">
        <f t="shared" si="111"/>
        <v>0</v>
      </c>
      <c r="M90" s="366">
        <f t="shared" si="111"/>
        <v>0</v>
      </c>
      <c r="N90" s="366">
        <f t="shared" si="111"/>
        <v>0</v>
      </c>
      <c r="O90" s="448">
        <f t="shared" si="111"/>
        <v>0</v>
      </c>
      <c r="P90" s="363">
        <f t="shared" si="90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643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2">C97+C98+C103</f>
        <v>0</v>
      </c>
      <c r="D94" s="365">
        <f t="shared" ref="D94:P94" si="113">D97+D98+D103</f>
        <v>0</v>
      </c>
      <c r="E94" s="366">
        <f t="shared" si="113"/>
        <v>0</v>
      </c>
      <c r="F94" s="366">
        <f t="shared" si="113"/>
        <v>0</v>
      </c>
      <c r="G94" s="366">
        <f t="shared" si="113"/>
        <v>0</v>
      </c>
      <c r="H94" s="366">
        <f t="shared" si="113"/>
        <v>0</v>
      </c>
      <c r="I94" s="366">
        <f t="shared" si="113"/>
        <v>0</v>
      </c>
      <c r="J94" s="366">
        <f t="shared" si="113"/>
        <v>0</v>
      </c>
      <c r="K94" s="366">
        <f t="shared" si="113"/>
        <v>0</v>
      </c>
      <c r="L94" s="366">
        <f t="shared" si="113"/>
        <v>0</v>
      </c>
      <c r="M94" s="366">
        <f t="shared" si="113"/>
        <v>0</v>
      </c>
      <c r="N94" s="366">
        <f t="shared" si="113"/>
        <v>0</v>
      </c>
      <c r="O94" s="364">
        <f t="shared" si="113"/>
        <v>0</v>
      </c>
      <c r="P94" s="363">
        <f t="shared" si="113"/>
        <v>0</v>
      </c>
      <c r="Q94" s="1236" t="str">
        <f t="shared" ref="Q94:Q109" si="114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Fiyat'!D101</f>
        <v>0</v>
      </c>
      <c r="E95" s="372">
        <f>E5*'Alış Fiyat'!E101</f>
        <v>0</v>
      </c>
      <c r="F95" s="372">
        <f>F5*'Alış Fiyat'!F101</f>
        <v>0</v>
      </c>
      <c r="G95" s="372">
        <f>G5*'Alış Fiyat'!G101</f>
        <v>0</v>
      </c>
      <c r="H95" s="373">
        <f>H5*'Alış Fiyat'!H101</f>
        <v>0</v>
      </c>
      <c r="I95" s="373">
        <f>I5*'Alış Fiyat'!I101</f>
        <v>0</v>
      </c>
      <c r="J95" s="373">
        <f>J5*'Alış Fiyat'!J101</f>
        <v>0</v>
      </c>
      <c r="K95" s="373">
        <f>K5*'Alış Fiyat'!K101</f>
        <v>0</v>
      </c>
      <c r="L95" s="373">
        <f>L5*'Alış Fiyat'!L101</f>
        <v>0</v>
      </c>
      <c r="M95" s="373">
        <f>M5*'Alış Fiyat'!M101</f>
        <v>0</v>
      </c>
      <c r="N95" s="373">
        <f>N5*'Alış Fiyat'!N101</f>
        <v>0</v>
      </c>
      <c r="O95" s="374">
        <f>O5*'Alış Fiyat'!O101</f>
        <v>0</v>
      </c>
      <c r="P95" s="369">
        <f t="shared" ref="P95:P102" si="115">SUM(D95:O95)</f>
        <v>0</v>
      </c>
      <c r="Q95" s="1237" t="str">
        <f t="shared" si="114"/>
        <v>-</v>
      </c>
      <c r="R95" s="376"/>
      <c r="S95" s="376"/>
      <c r="T95" s="376"/>
      <c r="U95" s="376"/>
      <c r="V95" s="376"/>
    </row>
    <row r="96" spans="1:22" ht="16.5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Fiyat'!D102</f>
        <v>0</v>
      </c>
      <c r="E96" s="381">
        <f>E6*'Alış Fiyat'!E102</f>
        <v>0</v>
      </c>
      <c r="F96" s="381">
        <f>F6*'Alış Fiyat'!F102</f>
        <v>0</v>
      </c>
      <c r="G96" s="381">
        <f>G6*'Alış Fiyat'!G102</f>
        <v>0</v>
      </c>
      <c r="H96" s="382">
        <f>H6*'Alış Fiyat'!H102</f>
        <v>0</v>
      </c>
      <c r="I96" s="382">
        <f>I6*'Alış Fiyat'!I102</f>
        <v>0</v>
      </c>
      <c r="J96" s="382">
        <f>J6*'Alış Fiyat'!J102</f>
        <v>0</v>
      </c>
      <c r="K96" s="382">
        <f>K6*'Alış Fiyat'!K102</f>
        <v>0</v>
      </c>
      <c r="L96" s="382">
        <f>L6*'Alış Fiyat'!L102</f>
        <v>0</v>
      </c>
      <c r="M96" s="382">
        <f>M6*'Alış Fiyat'!M102</f>
        <v>0</v>
      </c>
      <c r="N96" s="382">
        <f>N6*'Alış Fiyat'!N102</f>
        <v>0</v>
      </c>
      <c r="O96" s="383">
        <f>O6*'Alış Fiyat'!O102</f>
        <v>0</v>
      </c>
      <c r="P96" s="378">
        <f t="shared" si="115"/>
        <v>0</v>
      </c>
      <c r="Q96" s="1238" t="str">
        <f t="shared" si="114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6">SUM(D95:D96)</f>
        <v>0</v>
      </c>
      <c r="E97" s="389">
        <f t="shared" si="116"/>
        <v>0</v>
      </c>
      <c r="F97" s="389">
        <f t="shared" si="116"/>
        <v>0</v>
      </c>
      <c r="G97" s="389">
        <f t="shared" si="116"/>
        <v>0</v>
      </c>
      <c r="H97" s="389">
        <f t="shared" si="116"/>
        <v>0</v>
      </c>
      <c r="I97" s="389">
        <f t="shared" si="116"/>
        <v>0</v>
      </c>
      <c r="J97" s="389">
        <f t="shared" si="116"/>
        <v>0</v>
      </c>
      <c r="K97" s="389">
        <f t="shared" si="116"/>
        <v>0</v>
      </c>
      <c r="L97" s="389">
        <f t="shared" si="116"/>
        <v>0</v>
      </c>
      <c r="M97" s="389">
        <f t="shared" si="116"/>
        <v>0</v>
      </c>
      <c r="N97" s="389">
        <f t="shared" si="116"/>
        <v>0</v>
      </c>
      <c r="O97" s="390">
        <f t="shared" si="116"/>
        <v>0</v>
      </c>
      <c r="P97" s="391">
        <f t="shared" si="115"/>
        <v>0</v>
      </c>
      <c r="Q97" s="1239" t="str">
        <f t="shared" si="114"/>
        <v>-</v>
      </c>
    </row>
    <row r="98" spans="1:22" ht="16.5" customHeight="1">
      <c r="A98" s="393" t="s">
        <v>17</v>
      </c>
      <c r="B98" s="394"/>
      <c r="C98" s="395"/>
      <c r="D98" s="396">
        <f>D8*'Alış Fiyat'!D104</f>
        <v>0</v>
      </c>
      <c r="E98" s="397">
        <f>E8*'Alış Fiyat'!E104</f>
        <v>0</v>
      </c>
      <c r="F98" s="397">
        <f>F8*'Alış Fiyat'!F104</f>
        <v>0</v>
      </c>
      <c r="G98" s="397">
        <f>G8*'Alış Fiyat'!G104</f>
        <v>0</v>
      </c>
      <c r="H98" s="397">
        <f>H8*'Alış Fiyat'!H104</f>
        <v>0</v>
      </c>
      <c r="I98" s="397">
        <f>I8*'Alış Fiyat'!I104</f>
        <v>0</v>
      </c>
      <c r="J98" s="397">
        <f>J8*'Alış Fiyat'!J104</f>
        <v>0</v>
      </c>
      <c r="K98" s="397">
        <f>K8*'Alış Fiyat'!K104</f>
        <v>0</v>
      </c>
      <c r="L98" s="397">
        <f>L8*'Alış Fiyat'!L104</f>
        <v>0</v>
      </c>
      <c r="M98" s="397">
        <f>M8*'Alış Fiyat'!M104</f>
        <v>0</v>
      </c>
      <c r="N98" s="397">
        <f>N8*'Alış Fiyat'!N104</f>
        <v>0</v>
      </c>
      <c r="O98" s="398">
        <f>O8*'Alış Fiyat'!O104</f>
        <v>0</v>
      </c>
      <c r="P98" s="399">
        <f t="shared" si="115"/>
        <v>0</v>
      </c>
      <c r="Q98" s="1238" t="str">
        <f t="shared" si="114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Fiyat'!D105</f>
        <v>0</v>
      </c>
      <c r="E99" s="389">
        <f>E9*'Alış Fiyat'!E105</f>
        <v>0</v>
      </c>
      <c r="F99" s="389">
        <f>F9*'Alış Fiyat'!F105</f>
        <v>0</v>
      </c>
      <c r="G99" s="389">
        <f>G9*'Alış Fiyat'!G105</f>
        <v>0</v>
      </c>
      <c r="H99" s="389">
        <f>H9*'Alış Fiyat'!H105</f>
        <v>0</v>
      </c>
      <c r="I99" s="389">
        <f>I9*'Alış Fiyat'!I105</f>
        <v>0</v>
      </c>
      <c r="J99" s="389">
        <f>J9*'Alış Fiyat'!J105</f>
        <v>0</v>
      </c>
      <c r="K99" s="389">
        <f>K9*'Alış Fiyat'!K105</f>
        <v>0</v>
      </c>
      <c r="L99" s="389">
        <f>L9*'Alış Fiyat'!L105</f>
        <v>0</v>
      </c>
      <c r="M99" s="389">
        <f>M9*'Alış Fiyat'!M105</f>
        <v>0</v>
      </c>
      <c r="N99" s="389">
        <f>N9*'Alış Fiyat'!N105</f>
        <v>0</v>
      </c>
      <c r="O99" s="390">
        <f>O9*'Alış Fiyat'!O105</f>
        <v>0</v>
      </c>
      <c r="P99" s="386">
        <f t="shared" si="115"/>
        <v>0</v>
      </c>
      <c r="Q99" s="1240" t="str">
        <f t="shared" si="114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Fiyat'!D106</f>
        <v>0</v>
      </c>
      <c r="E100" s="397">
        <f>E10*'Alış Fiyat'!E106</f>
        <v>0</v>
      </c>
      <c r="F100" s="397">
        <f>F10*'Alış Fiyat'!F106</f>
        <v>0</v>
      </c>
      <c r="G100" s="397">
        <f>G10*'Alış Fiyat'!G106</f>
        <v>0</v>
      </c>
      <c r="H100" s="397">
        <f>H10*'Alış Fiyat'!H106</f>
        <v>0</v>
      </c>
      <c r="I100" s="397">
        <f>I10*'Alış Fiyat'!I106</f>
        <v>0</v>
      </c>
      <c r="J100" s="397">
        <f>J10*'Alış Fiyat'!J106</f>
        <v>0</v>
      </c>
      <c r="K100" s="397">
        <f>K10*'Alış Fiyat'!K106</f>
        <v>0</v>
      </c>
      <c r="L100" s="397">
        <f>L10*'Alış Fiyat'!L106</f>
        <v>0</v>
      </c>
      <c r="M100" s="397">
        <f>M10*'Alış Fiyat'!M106</f>
        <v>0</v>
      </c>
      <c r="N100" s="397">
        <f>N10*'Alış Fiyat'!N106</f>
        <v>0</v>
      </c>
      <c r="O100" s="398">
        <f>O10*'Alış Fiyat'!O106</f>
        <v>0</v>
      </c>
      <c r="P100" s="399">
        <f t="shared" si="115"/>
        <v>0</v>
      </c>
      <c r="Q100" s="1238" t="str">
        <f t="shared" si="114"/>
        <v>-</v>
      </c>
    </row>
    <row r="101" spans="1:22" ht="16.5" customHeight="1">
      <c r="A101" s="400" t="s">
        <v>83</v>
      </c>
      <c r="B101" s="408"/>
      <c r="C101" s="404"/>
      <c r="D101" s="402">
        <f>D11*'Alış Fiyat'!D107</f>
        <v>0</v>
      </c>
      <c r="E101" s="403">
        <f>E11*'Alış Fiyat'!E107</f>
        <v>0</v>
      </c>
      <c r="F101" s="403">
        <f>F11*'Alış Fiyat'!F107</f>
        <v>0</v>
      </c>
      <c r="G101" s="403">
        <f>G11*'Alış Fiyat'!G107</f>
        <v>0</v>
      </c>
      <c r="H101" s="403">
        <f>H11*'Alış Fiyat'!H107</f>
        <v>0</v>
      </c>
      <c r="I101" s="403">
        <f>I11*'Alış Fiyat'!I107</f>
        <v>0</v>
      </c>
      <c r="J101" s="403">
        <f>J11*'Alış Fiyat'!J107</f>
        <v>0</v>
      </c>
      <c r="K101" s="403">
        <f>K11*'Alış Fiyat'!K107</f>
        <v>0</v>
      </c>
      <c r="L101" s="403">
        <f>L11*'Alış Fiyat'!L107</f>
        <v>0</v>
      </c>
      <c r="M101" s="403">
        <f>M11*'Alış Fiyat'!M107</f>
        <v>0</v>
      </c>
      <c r="N101" s="403">
        <f>N11*'Alış Fiyat'!N107</f>
        <v>0</v>
      </c>
      <c r="O101" s="404">
        <f>O11*'Alış Fiyat'!O107</f>
        <v>0</v>
      </c>
      <c r="P101" s="386">
        <f t="shared" si="115"/>
        <v>0</v>
      </c>
      <c r="Q101" s="1240" t="str">
        <f t="shared" si="114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Fiyat'!D108</f>
        <v>0</v>
      </c>
      <c r="E102" s="382">
        <f>E12*'Alış Fiyat'!E108</f>
        <v>0</v>
      </c>
      <c r="F102" s="382">
        <f>F12*'Alış Fiyat'!F108</f>
        <v>0</v>
      </c>
      <c r="G102" s="382">
        <f>G12*'Alış Fiyat'!G108</f>
        <v>0</v>
      </c>
      <c r="H102" s="382">
        <f>H12*'Alış Fiyat'!H108</f>
        <v>0</v>
      </c>
      <c r="I102" s="381">
        <f>I12*'Alış Fiyat'!I108</f>
        <v>0</v>
      </c>
      <c r="J102" s="381">
        <f>J12*'Alış Fiyat'!J108</f>
        <v>0</v>
      </c>
      <c r="K102" s="382">
        <f>K12*'Alış Fiyat'!K108</f>
        <v>0</v>
      </c>
      <c r="L102" s="382">
        <f>L12*'Alış Fiyat'!L108</f>
        <v>0</v>
      </c>
      <c r="M102" s="382">
        <f>M12*'Alış Fiyat'!M108</f>
        <v>0</v>
      </c>
      <c r="N102" s="382">
        <f>N12*'Alış Fiyat'!N108</f>
        <v>0</v>
      </c>
      <c r="O102" s="383">
        <f>O12*'Alış Fiyat'!O108</f>
        <v>0</v>
      </c>
      <c r="P102" s="399">
        <f t="shared" si="115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7">SUM(E99:E102)</f>
        <v>0</v>
      </c>
      <c r="F103" s="414">
        <f t="shared" si="117"/>
        <v>0</v>
      </c>
      <c r="G103" s="414">
        <f t="shared" si="117"/>
        <v>0</v>
      </c>
      <c r="H103" s="414">
        <f t="shared" si="117"/>
        <v>0</v>
      </c>
      <c r="I103" s="414">
        <f t="shared" si="117"/>
        <v>0</v>
      </c>
      <c r="J103" s="414">
        <f t="shared" si="117"/>
        <v>0</v>
      </c>
      <c r="K103" s="414">
        <f t="shared" si="117"/>
        <v>0</v>
      </c>
      <c r="L103" s="414">
        <f t="shared" si="117"/>
        <v>0</v>
      </c>
      <c r="M103" s="414">
        <f t="shared" si="117"/>
        <v>0</v>
      </c>
      <c r="N103" s="414">
        <f t="shared" si="117"/>
        <v>0</v>
      </c>
      <c r="O103" s="412">
        <f t="shared" si="117"/>
        <v>0</v>
      </c>
      <c r="P103" s="411">
        <f t="shared" si="117"/>
        <v>0</v>
      </c>
      <c r="Q103" s="1241" t="str">
        <f t="shared" si="114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8">SUM(C105:C106)</f>
        <v>0</v>
      </c>
      <c r="D104" s="417">
        <f t="shared" ref="D104:P104" si="119">SUM(D105:D106)</f>
        <v>0</v>
      </c>
      <c r="E104" s="418">
        <f t="shared" si="119"/>
        <v>0</v>
      </c>
      <c r="F104" s="418">
        <f t="shared" si="119"/>
        <v>0</v>
      </c>
      <c r="G104" s="418">
        <f t="shared" si="119"/>
        <v>0</v>
      </c>
      <c r="H104" s="418">
        <f t="shared" si="119"/>
        <v>0</v>
      </c>
      <c r="I104" s="418">
        <f t="shared" si="119"/>
        <v>0</v>
      </c>
      <c r="J104" s="418">
        <f t="shared" si="119"/>
        <v>0</v>
      </c>
      <c r="K104" s="418">
        <f t="shared" si="119"/>
        <v>0</v>
      </c>
      <c r="L104" s="418">
        <f t="shared" si="119"/>
        <v>0</v>
      </c>
      <c r="M104" s="418">
        <f t="shared" si="119"/>
        <v>0</v>
      </c>
      <c r="N104" s="418">
        <f t="shared" si="119"/>
        <v>0</v>
      </c>
      <c r="O104" s="419">
        <f t="shared" si="119"/>
        <v>0</v>
      </c>
      <c r="P104" s="420">
        <f t="shared" si="119"/>
        <v>0</v>
      </c>
      <c r="Q104" s="1242" t="str">
        <f t="shared" si="114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Fiyat'!D111</f>
        <v>0</v>
      </c>
      <c r="E105" s="426">
        <f>E15*'Alış Fiyat'!E111</f>
        <v>0</v>
      </c>
      <c r="F105" s="426">
        <f>F15*'Alış Fiyat'!F111</f>
        <v>0</v>
      </c>
      <c r="G105" s="426">
        <f>G15*'Alış Fiyat'!G111</f>
        <v>0</v>
      </c>
      <c r="H105" s="426">
        <f>H15*'Alış Fiyat'!H111</f>
        <v>0</v>
      </c>
      <c r="I105" s="426">
        <f>I15*'Alış Fiyat'!I111</f>
        <v>0</v>
      </c>
      <c r="J105" s="426">
        <f>J15*'Alış Fiyat'!J111</f>
        <v>0</v>
      </c>
      <c r="K105" s="426">
        <f>K15*'Alış Fiyat'!K111</f>
        <v>0</v>
      </c>
      <c r="L105" s="426">
        <f>L15*'Alış Fiyat'!L111</f>
        <v>0</v>
      </c>
      <c r="M105" s="426">
        <f>M15*'Alış Fiyat'!M111</f>
        <v>0</v>
      </c>
      <c r="N105" s="426">
        <f>N15*'Alış Fiyat'!N111</f>
        <v>0</v>
      </c>
      <c r="O105" s="427">
        <f>O15*'Alış Fiyat'!O111</f>
        <v>0</v>
      </c>
      <c r="P105" s="428">
        <f>SUM(D105:O105)</f>
        <v>0</v>
      </c>
      <c r="Q105" s="1243" t="str">
        <f t="shared" si="114"/>
        <v>-</v>
      </c>
    </row>
    <row r="106" spans="1:22" ht="16.5" customHeight="1" thickBot="1">
      <c r="A106" s="430" t="s">
        <v>20</v>
      </c>
      <c r="B106" s="431"/>
      <c r="C106" s="432">
        <f>B106/9*12</f>
        <v>0</v>
      </c>
      <c r="D106" s="433">
        <f>D16*'Alış Fiyat'!D112</f>
        <v>0</v>
      </c>
      <c r="E106" s="434">
        <f>E16*'Alış Fiyat'!E112</f>
        <v>0</v>
      </c>
      <c r="F106" s="434">
        <f>F16*'Alış Fiyat'!F112</f>
        <v>0</v>
      </c>
      <c r="G106" s="434">
        <f>G16*'Alış Fiyat'!G112</f>
        <v>0</v>
      </c>
      <c r="H106" s="434">
        <f>H16*'Alış Fiyat'!H112</f>
        <v>0</v>
      </c>
      <c r="I106" s="434">
        <f>I16*'Alış Fiyat'!I112</f>
        <v>0</v>
      </c>
      <c r="J106" s="434">
        <f>J16*'Alış Fiyat'!J112</f>
        <v>0</v>
      </c>
      <c r="K106" s="434">
        <f>K16*'Alış Fiyat'!K112</f>
        <v>0</v>
      </c>
      <c r="L106" s="434">
        <f>L16*'Alış Fiyat'!L112</f>
        <v>0</v>
      </c>
      <c r="M106" s="434">
        <f>M16*'Alış Fiyat'!M112</f>
        <v>0</v>
      </c>
      <c r="N106" s="434">
        <f>N16*'Alış Fiyat'!N112</f>
        <v>0</v>
      </c>
      <c r="O106" s="435">
        <f>O16*'Alış Fiyat'!O112</f>
        <v>0</v>
      </c>
      <c r="P106" s="436">
        <f>SUM(D106:O106)</f>
        <v>0</v>
      </c>
      <c r="Q106" s="1244" t="str">
        <f t="shared" si="114"/>
        <v>-</v>
      </c>
    </row>
    <row r="107" spans="1:22" ht="22.5" customHeight="1" thickBot="1">
      <c r="A107" s="362" t="s">
        <v>30</v>
      </c>
      <c r="B107" s="363">
        <f t="shared" ref="B107:C107" si="120">SUM(B108:B109)</f>
        <v>0</v>
      </c>
      <c r="C107" s="416">
        <f t="shared" si="120"/>
        <v>0</v>
      </c>
      <c r="D107" s="417">
        <f t="shared" ref="D107:P107" si="121">SUM(D108:D109)</f>
        <v>0</v>
      </c>
      <c r="E107" s="418">
        <f t="shared" si="121"/>
        <v>0</v>
      </c>
      <c r="F107" s="418">
        <f t="shared" si="121"/>
        <v>0</v>
      </c>
      <c r="G107" s="418">
        <f t="shared" si="121"/>
        <v>0</v>
      </c>
      <c r="H107" s="418">
        <f t="shared" si="121"/>
        <v>0</v>
      </c>
      <c r="I107" s="418">
        <f t="shared" si="121"/>
        <v>0</v>
      </c>
      <c r="J107" s="418">
        <f t="shared" si="121"/>
        <v>0</v>
      </c>
      <c r="K107" s="418">
        <f t="shared" si="121"/>
        <v>0</v>
      </c>
      <c r="L107" s="418">
        <f t="shared" si="121"/>
        <v>0</v>
      </c>
      <c r="M107" s="418">
        <f t="shared" si="121"/>
        <v>0</v>
      </c>
      <c r="N107" s="418">
        <f t="shared" si="121"/>
        <v>0</v>
      </c>
      <c r="O107" s="419">
        <f t="shared" si="121"/>
        <v>0</v>
      </c>
      <c r="P107" s="420">
        <f t="shared" si="121"/>
        <v>0</v>
      </c>
      <c r="Q107" s="1242" t="str">
        <f t="shared" si="114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Fiyat'!D114</f>
        <v>0</v>
      </c>
      <c r="E108" s="426">
        <f>E18*'Alış Fiyat'!E114</f>
        <v>0</v>
      </c>
      <c r="F108" s="426">
        <f>F18*'Alış Fiyat'!F114</f>
        <v>0</v>
      </c>
      <c r="G108" s="426">
        <f>G18*'Alış Fiyat'!G114</f>
        <v>0</v>
      </c>
      <c r="H108" s="426">
        <f>H18*'Alış Fiyat'!H114</f>
        <v>0</v>
      </c>
      <c r="I108" s="426">
        <f>I18*'Alış Fiyat'!I114</f>
        <v>0</v>
      </c>
      <c r="J108" s="426">
        <f>J18*'Alış Fiyat'!J114</f>
        <v>0</v>
      </c>
      <c r="K108" s="426">
        <f>K18*'Alış Fiyat'!K114</f>
        <v>0</v>
      </c>
      <c r="L108" s="426">
        <f>L18*'Alış Fiyat'!L114</f>
        <v>0</v>
      </c>
      <c r="M108" s="426">
        <f>M18*'Alış Fiyat'!M114</f>
        <v>0</v>
      </c>
      <c r="N108" s="426">
        <f>N18*'Alış Fiyat'!N114</f>
        <v>0</v>
      </c>
      <c r="O108" s="427">
        <f>O18*'Alış Fiyat'!O114</f>
        <v>0</v>
      </c>
      <c r="P108" s="428">
        <f>SUM(D108:O108)</f>
        <v>0</v>
      </c>
      <c r="Q108" s="1243" t="str">
        <f t="shared" si="114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Fiyat'!D115</f>
        <v>0</v>
      </c>
      <c r="E109" s="442">
        <f>E19*'Alış Fiyat'!E115</f>
        <v>0</v>
      </c>
      <c r="F109" s="442">
        <f>F19*'Alış Fiyat'!F115</f>
        <v>0</v>
      </c>
      <c r="G109" s="442">
        <f>G19*'Alış Fiyat'!G115</f>
        <v>0</v>
      </c>
      <c r="H109" s="442">
        <f>H19*'Alış Fiyat'!H115</f>
        <v>0</v>
      </c>
      <c r="I109" s="442">
        <f>I19*'Alış Fiyat'!I115</f>
        <v>0</v>
      </c>
      <c r="J109" s="442">
        <f>J19*'Alış Fiyat'!J115</f>
        <v>0</v>
      </c>
      <c r="K109" s="442">
        <f>K19*'Alış Fiyat'!K115</f>
        <v>0</v>
      </c>
      <c r="L109" s="442">
        <f>L19*'Alış Fiyat'!L115</f>
        <v>0</v>
      </c>
      <c r="M109" s="442">
        <f>M19*'Alış Fiyat'!M115</f>
        <v>0</v>
      </c>
      <c r="N109" s="442">
        <f>N19*'Alış Fiyat'!N115</f>
        <v>0</v>
      </c>
      <c r="O109" s="443">
        <f>O19*'Alış Fiyat'!O115</f>
        <v>0</v>
      </c>
      <c r="P109" s="444">
        <f>SUM(D109:O109)</f>
        <v>0</v>
      </c>
      <c r="Q109" s="1245" t="str">
        <f t="shared" si="114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Fiyat'!D117</f>
        <v>0</v>
      </c>
      <c r="E111" s="366">
        <f>E21*'Alış Fiyat'!E117</f>
        <v>0</v>
      </c>
      <c r="F111" s="366">
        <f>F21*'Alış Fiyat'!F117</f>
        <v>0</v>
      </c>
      <c r="G111" s="366">
        <f>G21*'Alış Fiyat'!G117</f>
        <v>0</v>
      </c>
      <c r="H111" s="366">
        <f>H21*'Alış Fiyat'!H117</f>
        <v>0</v>
      </c>
      <c r="I111" s="366">
        <f>I21*'Alış Fiyat'!I117</f>
        <v>0</v>
      </c>
      <c r="J111" s="366">
        <f>J21*'Alış Fiyat'!J117</f>
        <v>0</v>
      </c>
      <c r="K111" s="366">
        <f>K21*'Alış Fiyat'!K117</f>
        <v>0</v>
      </c>
      <c r="L111" s="366">
        <f>L21*'Alış Fiyat'!L117</f>
        <v>0</v>
      </c>
      <c r="M111" s="366">
        <f>M21*'Alış Fiyat'!M117</f>
        <v>0</v>
      </c>
      <c r="N111" s="366">
        <f>N21*'Alış Fiyat'!N117</f>
        <v>0</v>
      </c>
      <c r="O111" s="448">
        <f>O21*'Alış Fiyat'!O117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2">+C94+C104+C107+C111</f>
        <v>0</v>
      </c>
      <c r="D113" s="365">
        <f t="shared" ref="D113:P113" si="123">+D94+D104+D107+D111</f>
        <v>0</v>
      </c>
      <c r="E113" s="366">
        <f t="shared" si="123"/>
        <v>0</v>
      </c>
      <c r="F113" s="366">
        <f t="shared" si="123"/>
        <v>0</v>
      </c>
      <c r="G113" s="366">
        <f t="shared" si="123"/>
        <v>0</v>
      </c>
      <c r="H113" s="366">
        <f t="shared" si="123"/>
        <v>0</v>
      </c>
      <c r="I113" s="366">
        <f t="shared" si="123"/>
        <v>0</v>
      </c>
      <c r="J113" s="366">
        <f t="shared" si="123"/>
        <v>0</v>
      </c>
      <c r="K113" s="366">
        <f t="shared" si="123"/>
        <v>0</v>
      </c>
      <c r="L113" s="366">
        <f t="shared" si="123"/>
        <v>0</v>
      </c>
      <c r="M113" s="366">
        <f t="shared" si="123"/>
        <v>0</v>
      </c>
      <c r="N113" s="366">
        <f t="shared" si="123"/>
        <v>0</v>
      </c>
      <c r="O113" s="448">
        <f t="shared" si="123"/>
        <v>0</v>
      </c>
      <c r="P113" s="363">
        <f t="shared" si="123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4">C120+C121+C126</f>
        <v>0</v>
      </c>
      <c r="D117" s="365">
        <f t="shared" ref="D117:P117" si="125">D120+D121+D126</f>
        <v>0</v>
      </c>
      <c r="E117" s="366">
        <f t="shared" si="125"/>
        <v>0</v>
      </c>
      <c r="F117" s="366">
        <f t="shared" si="125"/>
        <v>0</v>
      </c>
      <c r="G117" s="366">
        <f t="shared" si="125"/>
        <v>0</v>
      </c>
      <c r="H117" s="366">
        <f t="shared" si="125"/>
        <v>0</v>
      </c>
      <c r="I117" s="366">
        <f t="shared" si="125"/>
        <v>0</v>
      </c>
      <c r="J117" s="366">
        <f t="shared" si="125"/>
        <v>0</v>
      </c>
      <c r="K117" s="366">
        <f t="shared" si="125"/>
        <v>0</v>
      </c>
      <c r="L117" s="366">
        <f t="shared" si="125"/>
        <v>0</v>
      </c>
      <c r="M117" s="366">
        <f t="shared" si="125"/>
        <v>0</v>
      </c>
      <c r="N117" s="366">
        <f t="shared" si="125"/>
        <v>0</v>
      </c>
      <c r="O117" s="364">
        <f t="shared" si="125"/>
        <v>0</v>
      </c>
      <c r="P117" s="363">
        <f t="shared" si="125"/>
        <v>0</v>
      </c>
      <c r="Q117" s="1236" t="str">
        <f t="shared" ref="Q117:Q132" si="126">IF(P117=0,"-",P117/C117-1)</f>
        <v>-</v>
      </c>
    </row>
    <row r="118" spans="1:22" ht="16.5" customHeight="1">
      <c r="A118" s="368" t="s">
        <v>15</v>
      </c>
      <c r="B118" s="369">
        <f t="shared" ref="B118:C119" si="127">+B72-B95</f>
        <v>0</v>
      </c>
      <c r="C118" s="370">
        <f t="shared" si="127"/>
        <v>0</v>
      </c>
      <c r="D118" s="371">
        <f t="shared" ref="D118:O118" si="128">+D72-D95</f>
        <v>0</v>
      </c>
      <c r="E118" s="372">
        <f t="shared" si="128"/>
        <v>0</v>
      </c>
      <c r="F118" s="372">
        <f t="shared" si="128"/>
        <v>0</v>
      </c>
      <c r="G118" s="372">
        <f t="shared" si="128"/>
        <v>0</v>
      </c>
      <c r="H118" s="373">
        <f t="shared" si="128"/>
        <v>0</v>
      </c>
      <c r="I118" s="373">
        <f t="shared" si="128"/>
        <v>0</v>
      </c>
      <c r="J118" s="373">
        <f t="shared" si="128"/>
        <v>0</v>
      </c>
      <c r="K118" s="373">
        <f t="shared" si="128"/>
        <v>0</v>
      </c>
      <c r="L118" s="373">
        <f t="shared" si="128"/>
        <v>0</v>
      </c>
      <c r="M118" s="373">
        <f t="shared" si="128"/>
        <v>0</v>
      </c>
      <c r="N118" s="373">
        <f t="shared" si="128"/>
        <v>0</v>
      </c>
      <c r="O118" s="374">
        <f t="shared" si="128"/>
        <v>0</v>
      </c>
      <c r="P118" s="369">
        <f t="shared" ref="P118:P125" si="129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7"/>
        <v>0</v>
      </c>
      <c r="C119" s="379">
        <f t="shared" si="127"/>
        <v>0</v>
      </c>
      <c r="D119" s="380">
        <f t="shared" ref="D119:O119" si="130">+D73-D96</f>
        <v>0</v>
      </c>
      <c r="E119" s="381">
        <f t="shared" si="130"/>
        <v>0</v>
      </c>
      <c r="F119" s="381">
        <f t="shared" si="130"/>
        <v>0</v>
      </c>
      <c r="G119" s="381">
        <f t="shared" si="130"/>
        <v>0</v>
      </c>
      <c r="H119" s="382">
        <f t="shared" si="130"/>
        <v>0</v>
      </c>
      <c r="I119" s="382">
        <f t="shared" si="130"/>
        <v>0</v>
      </c>
      <c r="J119" s="382">
        <f t="shared" si="130"/>
        <v>0</v>
      </c>
      <c r="K119" s="382">
        <f t="shared" si="130"/>
        <v>0</v>
      </c>
      <c r="L119" s="382">
        <f t="shared" si="130"/>
        <v>0</v>
      </c>
      <c r="M119" s="382">
        <f t="shared" si="130"/>
        <v>0</v>
      </c>
      <c r="N119" s="382">
        <f t="shared" si="130"/>
        <v>0</v>
      </c>
      <c r="O119" s="383">
        <f t="shared" si="130"/>
        <v>0</v>
      </c>
      <c r="P119" s="378">
        <f t="shared" si="129"/>
        <v>0</v>
      </c>
      <c r="Q119" s="1238" t="str">
        <f t="shared" si="126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31">SUM(D118:D119)</f>
        <v>0</v>
      </c>
      <c r="E120" s="389">
        <f t="shared" si="131"/>
        <v>0</v>
      </c>
      <c r="F120" s="389">
        <f t="shared" si="131"/>
        <v>0</v>
      </c>
      <c r="G120" s="389">
        <f t="shared" si="131"/>
        <v>0</v>
      </c>
      <c r="H120" s="389">
        <f t="shared" si="131"/>
        <v>0</v>
      </c>
      <c r="I120" s="389">
        <f t="shared" si="131"/>
        <v>0</v>
      </c>
      <c r="J120" s="389">
        <f t="shared" si="131"/>
        <v>0</v>
      </c>
      <c r="K120" s="389">
        <f t="shared" si="131"/>
        <v>0</v>
      </c>
      <c r="L120" s="389">
        <f t="shared" si="131"/>
        <v>0</v>
      </c>
      <c r="M120" s="389">
        <f t="shared" si="131"/>
        <v>0</v>
      </c>
      <c r="N120" s="389">
        <f t="shared" si="131"/>
        <v>0</v>
      </c>
      <c r="O120" s="390">
        <f t="shared" si="131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2">+B75-B98</f>
        <v>0</v>
      </c>
      <c r="C121" s="395">
        <f t="shared" si="132"/>
        <v>0</v>
      </c>
      <c r="D121" s="396">
        <f t="shared" ref="D121:O121" si="133">+D75-D98</f>
        <v>0</v>
      </c>
      <c r="E121" s="397">
        <f t="shared" si="133"/>
        <v>0</v>
      </c>
      <c r="F121" s="397">
        <f t="shared" si="133"/>
        <v>0</v>
      </c>
      <c r="G121" s="397">
        <f t="shared" si="133"/>
        <v>0</v>
      </c>
      <c r="H121" s="397">
        <f t="shared" si="133"/>
        <v>0</v>
      </c>
      <c r="I121" s="397">
        <f t="shared" si="133"/>
        <v>0</v>
      </c>
      <c r="J121" s="397">
        <f t="shared" si="133"/>
        <v>0</v>
      </c>
      <c r="K121" s="397">
        <f t="shared" si="133"/>
        <v>0</v>
      </c>
      <c r="L121" s="397">
        <f t="shared" si="133"/>
        <v>0</v>
      </c>
      <c r="M121" s="397">
        <f t="shared" si="133"/>
        <v>0</v>
      </c>
      <c r="N121" s="397">
        <f t="shared" si="133"/>
        <v>0</v>
      </c>
      <c r="O121" s="398">
        <f t="shared" si="133"/>
        <v>0</v>
      </c>
      <c r="P121" s="399">
        <f t="shared" si="129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2"/>
        <v>0</v>
      </c>
      <c r="C122" s="450">
        <f t="shared" si="132"/>
        <v>0</v>
      </c>
      <c r="D122" s="402">
        <f t="shared" ref="D122:O122" si="134">+D76-D99</f>
        <v>0</v>
      </c>
      <c r="E122" s="403">
        <f t="shared" si="134"/>
        <v>0</v>
      </c>
      <c r="F122" s="403">
        <f t="shared" si="134"/>
        <v>0</v>
      </c>
      <c r="G122" s="403">
        <f t="shared" si="134"/>
        <v>0</v>
      </c>
      <c r="H122" s="403">
        <f t="shared" si="134"/>
        <v>0</v>
      </c>
      <c r="I122" s="403">
        <f t="shared" si="134"/>
        <v>0</v>
      </c>
      <c r="J122" s="403">
        <f t="shared" si="134"/>
        <v>0</v>
      </c>
      <c r="K122" s="403">
        <f t="shared" si="134"/>
        <v>0</v>
      </c>
      <c r="L122" s="403">
        <f t="shared" si="134"/>
        <v>0</v>
      </c>
      <c r="M122" s="403">
        <f t="shared" si="134"/>
        <v>0</v>
      </c>
      <c r="N122" s="403">
        <f t="shared" si="134"/>
        <v>0</v>
      </c>
      <c r="O122" s="404">
        <f t="shared" si="134"/>
        <v>0</v>
      </c>
      <c r="P122" s="386">
        <f t="shared" si="129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2"/>
        <v>0</v>
      </c>
      <c r="C123" s="395">
        <f t="shared" si="132"/>
        <v>0</v>
      </c>
      <c r="D123" s="407">
        <f t="shared" ref="D123:O123" si="135">+D77-D100</f>
        <v>0</v>
      </c>
      <c r="E123" s="382">
        <f t="shared" si="135"/>
        <v>0</v>
      </c>
      <c r="F123" s="382">
        <f t="shared" si="135"/>
        <v>0</v>
      </c>
      <c r="G123" s="382">
        <f t="shared" si="135"/>
        <v>0</v>
      </c>
      <c r="H123" s="382">
        <f t="shared" si="135"/>
        <v>0</v>
      </c>
      <c r="I123" s="382">
        <f t="shared" si="135"/>
        <v>0</v>
      </c>
      <c r="J123" s="382">
        <f t="shared" si="135"/>
        <v>0</v>
      </c>
      <c r="K123" s="382">
        <f t="shared" si="135"/>
        <v>0</v>
      </c>
      <c r="L123" s="382">
        <f t="shared" si="135"/>
        <v>0</v>
      </c>
      <c r="M123" s="382">
        <f t="shared" si="135"/>
        <v>0</v>
      </c>
      <c r="N123" s="382">
        <f t="shared" si="135"/>
        <v>0</v>
      </c>
      <c r="O123" s="383">
        <f t="shared" si="135"/>
        <v>0</v>
      </c>
      <c r="P123" s="399">
        <f t="shared" si="129"/>
        <v>0</v>
      </c>
      <c r="Q123" s="1238" t="str">
        <f t="shared" si="126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2"/>
        <v>0</v>
      </c>
      <c r="D124" s="402">
        <f t="shared" ref="D124:O124" si="136">+D78-D101</f>
        <v>0</v>
      </c>
      <c r="E124" s="403">
        <f t="shared" si="136"/>
        <v>0</v>
      </c>
      <c r="F124" s="403">
        <f t="shared" si="136"/>
        <v>0</v>
      </c>
      <c r="G124" s="403">
        <f t="shared" si="136"/>
        <v>0</v>
      </c>
      <c r="H124" s="403">
        <f t="shared" si="136"/>
        <v>0</v>
      </c>
      <c r="I124" s="403">
        <f t="shared" si="136"/>
        <v>0</v>
      </c>
      <c r="J124" s="403">
        <f t="shared" si="136"/>
        <v>0</v>
      </c>
      <c r="K124" s="403">
        <f t="shared" si="136"/>
        <v>0</v>
      </c>
      <c r="L124" s="403">
        <f t="shared" si="136"/>
        <v>0</v>
      </c>
      <c r="M124" s="403">
        <f t="shared" si="136"/>
        <v>0</v>
      </c>
      <c r="N124" s="403">
        <f t="shared" si="136"/>
        <v>0</v>
      </c>
      <c r="O124" s="404">
        <f t="shared" si="136"/>
        <v>0</v>
      </c>
      <c r="P124" s="386">
        <f t="shared" si="129"/>
        <v>0</v>
      </c>
      <c r="Q124" s="1240" t="str">
        <f t="shared" si="126"/>
        <v>-</v>
      </c>
    </row>
    <row r="125" spans="1:22" ht="16.5" hidden="1" customHeight="1">
      <c r="A125" s="406" t="s">
        <v>84</v>
      </c>
      <c r="B125" s="378">
        <f t="shared" si="132"/>
        <v>0</v>
      </c>
      <c r="C125" s="379">
        <f t="shared" si="132"/>
        <v>0</v>
      </c>
      <c r="D125" s="407">
        <f t="shared" ref="D125:O125" si="137">+D79-D102</f>
        <v>0</v>
      </c>
      <c r="E125" s="382">
        <f t="shared" si="137"/>
        <v>0</v>
      </c>
      <c r="F125" s="382">
        <f t="shared" si="137"/>
        <v>0</v>
      </c>
      <c r="G125" s="382">
        <f t="shared" si="137"/>
        <v>0</v>
      </c>
      <c r="H125" s="382">
        <f t="shared" si="137"/>
        <v>0</v>
      </c>
      <c r="I125" s="381">
        <f t="shared" si="137"/>
        <v>0</v>
      </c>
      <c r="J125" s="381">
        <f t="shared" si="137"/>
        <v>0</v>
      </c>
      <c r="K125" s="382">
        <f t="shared" si="137"/>
        <v>0</v>
      </c>
      <c r="L125" s="382">
        <f t="shared" si="137"/>
        <v>0</v>
      </c>
      <c r="M125" s="382">
        <f t="shared" si="137"/>
        <v>0</v>
      </c>
      <c r="N125" s="382">
        <f t="shared" si="137"/>
        <v>0</v>
      </c>
      <c r="O125" s="383">
        <f t="shared" si="137"/>
        <v>0</v>
      </c>
      <c r="P125" s="399">
        <f t="shared" si="129"/>
        <v>0</v>
      </c>
      <c r="Q125" s="1238" t="str">
        <f t="shared" si="126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8">SUM(B122:B125)</f>
        <v>0</v>
      </c>
      <c r="C126" s="412">
        <f t="shared" si="138"/>
        <v>0</v>
      </c>
      <c r="D126" s="413">
        <f t="shared" ref="D126:P126" si="139">SUM(D122:D125)</f>
        <v>0</v>
      </c>
      <c r="E126" s="414">
        <f t="shared" si="139"/>
        <v>0</v>
      </c>
      <c r="F126" s="414">
        <f t="shared" si="139"/>
        <v>0</v>
      </c>
      <c r="G126" s="414">
        <f t="shared" si="139"/>
        <v>0</v>
      </c>
      <c r="H126" s="414">
        <f t="shared" si="139"/>
        <v>0</v>
      </c>
      <c r="I126" s="414">
        <f t="shared" si="139"/>
        <v>0</v>
      </c>
      <c r="J126" s="414">
        <f t="shared" si="139"/>
        <v>0</v>
      </c>
      <c r="K126" s="414">
        <f t="shared" si="139"/>
        <v>0</v>
      </c>
      <c r="L126" s="414">
        <f t="shared" si="139"/>
        <v>0</v>
      </c>
      <c r="M126" s="414">
        <f t="shared" si="139"/>
        <v>0</v>
      </c>
      <c r="N126" s="414">
        <f t="shared" si="139"/>
        <v>0</v>
      </c>
      <c r="O126" s="412">
        <f t="shared" si="139"/>
        <v>0</v>
      </c>
      <c r="P126" s="411">
        <f t="shared" si="139"/>
        <v>0</v>
      </c>
      <c r="Q126" s="1241" t="str">
        <f t="shared" si="126"/>
        <v>-</v>
      </c>
    </row>
    <row r="127" spans="1:22" ht="22.5" customHeight="1" thickBot="1">
      <c r="A127" s="362" t="s">
        <v>29</v>
      </c>
      <c r="B127" s="420">
        <f t="shared" ref="B127:C129" si="140">+B81-B104</f>
        <v>0</v>
      </c>
      <c r="C127" s="416">
        <f t="shared" si="140"/>
        <v>0</v>
      </c>
      <c r="D127" s="417">
        <f t="shared" ref="D127:O127" si="141">+D81-D104</f>
        <v>0</v>
      </c>
      <c r="E127" s="418">
        <f t="shared" si="141"/>
        <v>0</v>
      </c>
      <c r="F127" s="418">
        <f t="shared" si="141"/>
        <v>0</v>
      </c>
      <c r="G127" s="418">
        <f t="shared" si="141"/>
        <v>0</v>
      </c>
      <c r="H127" s="418">
        <f t="shared" si="141"/>
        <v>0</v>
      </c>
      <c r="I127" s="418">
        <f t="shared" si="141"/>
        <v>0</v>
      </c>
      <c r="J127" s="418">
        <f t="shared" si="141"/>
        <v>0</v>
      </c>
      <c r="K127" s="418">
        <f t="shared" si="141"/>
        <v>0</v>
      </c>
      <c r="L127" s="418">
        <f t="shared" si="141"/>
        <v>0</v>
      </c>
      <c r="M127" s="418">
        <f t="shared" si="141"/>
        <v>0</v>
      </c>
      <c r="N127" s="418">
        <f t="shared" si="141"/>
        <v>0</v>
      </c>
      <c r="O127" s="419">
        <f t="shared" si="141"/>
        <v>0</v>
      </c>
      <c r="P127" s="420">
        <f>SUM(P128:P129)</f>
        <v>0</v>
      </c>
      <c r="Q127" s="1242" t="str">
        <f t="shared" si="126"/>
        <v>-</v>
      </c>
    </row>
    <row r="128" spans="1:22" ht="16.5" customHeight="1">
      <c r="A128" s="422" t="s">
        <v>19</v>
      </c>
      <c r="B128" s="423">
        <f t="shared" si="140"/>
        <v>0</v>
      </c>
      <c r="C128" s="424">
        <f t="shared" si="140"/>
        <v>0</v>
      </c>
      <c r="D128" s="425">
        <f t="shared" ref="D128:O128" si="142">+D82-D105</f>
        <v>0</v>
      </c>
      <c r="E128" s="426">
        <f t="shared" si="142"/>
        <v>0</v>
      </c>
      <c r="F128" s="426">
        <f t="shared" si="142"/>
        <v>0</v>
      </c>
      <c r="G128" s="426">
        <f t="shared" si="142"/>
        <v>0</v>
      </c>
      <c r="H128" s="426">
        <f t="shared" si="142"/>
        <v>0</v>
      </c>
      <c r="I128" s="426">
        <f t="shared" si="142"/>
        <v>0</v>
      </c>
      <c r="J128" s="426">
        <f t="shared" si="142"/>
        <v>0</v>
      </c>
      <c r="K128" s="426">
        <f t="shared" si="142"/>
        <v>0</v>
      </c>
      <c r="L128" s="426">
        <f t="shared" si="142"/>
        <v>0</v>
      </c>
      <c r="M128" s="426">
        <f t="shared" si="142"/>
        <v>0</v>
      </c>
      <c r="N128" s="426">
        <f t="shared" si="142"/>
        <v>0</v>
      </c>
      <c r="O128" s="427">
        <f t="shared" si="142"/>
        <v>0</v>
      </c>
      <c r="P128" s="428">
        <f>SUM(D128:O128)</f>
        <v>0</v>
      </c>
      <c r="Q128" s="1243" t="str">
        <f t="shared" si="126"/>
        <v>-</v>
      </c>
    </row>
    <row r="129" spans="1:17" ht="16.5" customHeight="1" thickBot="1">
      <c r="A129" s="430" t="s">
        <v>20</v>
      </c>
      <c r="B129" s="431">
        <f t="shared" si="140"/>
        <v>0</v>
      </c>
      <c r="C129" s="432">
        <f t="shared" si="140"/>
        <v>0</v>
      </c>
      <c r="D129" s="433">
        <f t="shared" ref="D129:O129" si="143">+D83-D106</f>
        <v>0</v>
      </c>
      <c r="E129" s="434">
        <f t="shared" si="143"/>
        <v>0</v>
      </c>
      <c r="F129" s="434">
        <f t="shared" si="143"/>
        <v>0</v>
      </c>
      <c r="G129" s="434">
        <f t="shared" si="143"/>
        <v>0</v>
      </c>
      <c r="H129" s="434">
        <f t="shared" si="143"/>
        <v>0</v>
      </c>
      <c r="I129" s="434">
        <f t="shared" si="143"/>
        <v>0</v>
      </c>
      <c r="J129" s="434">
        <f t="shared" si="143"/>
        <v>0</v>
      </c>
      <c r="K129" s="434">
        <f t="shared" si="143"/>
        <v>0</v>
      </c>
      <c r="L129" s="434">
        <f t="shared" si="143"/>
        <v>0</v>
      </c>
      <c r="M129" s="434">
        <f t="shared" si="143"/>
        <v>0</v>
      </c>
      <c r="N129" s="434">
        <f t="shared" si="143"/>
        <v>0</v>
      </c>
      <c r="O129" s="435">
        <f t="shared" si="143"/>
        <v>0</v>
      </c>
      <c r="P129" s="436">
        <f>SUM(D129:O129)</f>
        <v>0</v>
      </c>
      <c r="Q129" s="1244" t="str">
        <f t="shared" si="126"/>
        <v>-</v>
      </c>
    </row>
    <row r="130" spans="1:17" ht="22.5" customHeight="1" thickBot="1">
      <c r="A130" s="362" t="s">
        <v>30</v>
      </c>
      <c r="B130" s="363">
        <f t="shared" ref="B130:C130" si="144">SUM(B131:B132)</f>
        <v>0</v>
      </c>
      <c r="C130" s="416">
        <f t="shared" si="144"/>
        <v>0</v>
      </c>
      <c r="D130" s="417">
        <f t="shared" ref="D130:P130" si="145">SUM(D131:D132)</f>
        <v>0</v>
      </c>
      <c r="E130" s="418">
        <f t="shared" si="145"/>
        <v>0</v>
      </c>
      <c r="F130" s="418">
        <f t="shared" si="145"/>
        <v>0</v>
      </c>
      <c r="G130" s="418">
        <f t="shared" si="145"/>
        <v>0</v>
      </c>
      <c r="H130" s="418">
        <f t="shared" si="145"/>
        <v>0</v>
      </c>
      <c r="I130" s="418">
        <f t="shared" si="145"/>
        <v>0</v>
      </c>
      <c r="J130" s="418">
        <f t="shared" si="145"/>
        <v>0</v>
      </c>
      <c r="K130" s="418">
        <f t="shared" si="145"/>
        <v>0</v>
      </c>
      <c r="L130" s="418">
        <f t="shared" si="145"/>
        <v>0</v>
      </c>
      <c r="M130" s="418">
        <f t="shared" si="145"/>
        <v>0</v>
      </c>
      <c r="N130" s="418">
        <f t="shared" si="145"/>
        <v>0</v>
      </c>
      <c r="O130" s="419">
        <f t="shared" si="145"/>
        <v>0</v>
      </c>
      <c r="P130" s="420">
        <f t="shared" si="145"/>
        <v>0</v>
      </c>
      <c r="Q130" s="1242" t="str">
        <f t="shared" si="126"/>
        <v>-</v>
      </c>
    </row>
    <row r="131" spans="1:17" ht="16.5" customHeight="1">
      <c r="A131" s="422" t="s">
        <v>106</v>
      </c>
      <c r="B131" s="423">
        <f t="shared" ref="B131:C132" si="146">+B85-B108</f>
        <v>0</v>
      </c>
      <c r="C131" s="424">
        <f t="shared" si="146"/>
        <v>0</v>
      </c>
      <c r="D131" s="425">
        <f t="shared" ref="D131:O131" si="147">+D85-D108</f>
        <v>0</v>
      </c>
      <c r="E131" s="426">
        <f t="shared" si="147"/>
        <v>0</v>
      </c>
      <c r="F131" s="426">
        <f t="shared" si="147"/>
        <v>0</v>
      </c>
      <c r="G131" s="426">
        <f t="shared" si="147"/>
        <v>0</v>
      </c>
      <c r="H131" s="426">
        <f t="shared" si="147"/>
        <v>0</v>
      </c>
      <c r="I131" s="426">
        <f t="shared" si="147"/>
        <v>0</v>
      </c>
      <c r="J131" s="426">
        <f t="shared" si="147"/>
        <v>0</v>
      </c>
      <c r="K131" s="426">
        <f t="shared" si="147"/>
        <v>0</v>
      </c>
      <c r="L131" s="426">
        <f t="shared" si="147"/>
        <v>0</v>
      </c>
      <c r="M131" s="426">
        <f t="shared" si="147"/>
        <v>0</v>
      </c>
      <c r="N131" s="426">
        <f t="shared" si="147"/>
        <v>0</v>
      </c>
      <c r="O131" s="427">
        <f t="shared" si="147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6"/>
        <v>0</v>
      </c>
      <c r="C132" s="440">
        <f t="shared" si="146"/>
        <v>0</v>
      </c>
      <c r="D132" s="441">
        <f t="shared" ref="D132:O132" si="148">+D86-D109</f>
        <v>0</v>
      </c>
      <c r="E132" s="442">
        <f t="shared" si="148"/>
        <v>0</v>
      </c>
      <c r="F132" s="442">
        <f t="shared" si="148"/>
        <v>0</v>
      </c>
      <c r="G132" s="442">
        <f t="shared" si="148"/>
        <v>0</v>
      </c>
      <c r="H132" s="442">
        <f t="shared" si="148"/>
        <v>0</v>
      </c>
      <c r="I132" s="442">
        <f t="shared" si="148"/>
        <v>0</v>
      </c>
      <c r="J132" s="442">
        <f t="shared" si="148"/>
        <v>0</v>
      </c>
      <c r="K132" s="442">
        <f t="shared" si="148"/>
        <v>0</v>
      </c>
      <c r="L132" s="442">
        <f t="shared" si="148"/>
        <v>0</v>
      </c>
      <c r="M132" s="442">
        <f t="shared" si="148"/>
        <v>0</v>
      </c>
      <c r="N132" s="442">
        <f t="shared" si="148"/>
        <v>0</v>
      </c>
      <c r="O132" s="443">
        <f t="shared" si="148"/>
        <v>0</v>
      </c>
      <c r="P132" s="444">
        <f>SUM(D132:O132)</f>
        <v>0</v>
      </c>
      <c r="Q132" s="1245" t="str">
        <f t="shared" si="126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9">+B88-B111</f>
        <v>0</v>
      </c>
      <c r="C134" s="364">
        <f t="shared" si="149"/>
        <v>0</v>
      </c>
      <c r="D134" s="365">
        <f t="shared" ref="D134:O134" si="150">+D88-D111</f>
        <v>0</v>
      </c>
      <c r="E134" s="366">
        <f t="shared" si="150"/>
        <v>0</v>
      </c>
      <c r="F134" s="366">
        <f t="shared" si="150"/>
        <v>0</v>
      </c>
      <c r="G134" s="366">
        <f t="shared" si="150"/>
        <v>0</v>
      </c>
      <c r="H134" s="366">
        <f t="shared" si="150"/>
        <v>0</v>
      </c>
      <c r="I134" s="366">
        <f t="shared" si="150"/>
        <v>0</v>
      </c>
      <c r="J134" s="366">
        <f t="shared" si="150"/>
        <v>0</v>
      </c>
      <c r="K134" s="366">
        <f t="shared" si="150"/>
        <v>0</v>
      </c>
      <c r="L134" s="366">
        <f t="shared" si="150"/>
        <v>0</v>
      </c>
      <c r="M134" s="366">
        <f t="shared" si="150"/>
        <v>0</v>
      </c>
      <c r="N134" s="366">
        <f t="shared" si="150"/>
        <v>0</v>
      </c>
      <c r="O134" s="448">
        <f t="shared" si="150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51">+C117+C127+C130+C134</f>
        <v>0</v>
      </c>
      <c r="D136" s="365">
        <f t="shared" ref="D136:P136" si="152">+D117+D127+D130+D134</f>
        <v>0</v>
      </c>
      <c r="E136" s="366">
        <f t="shared" si="152"/>
        <v>0</v>
      </c>
      <c r="F136" s="366">
        <f t="shared" si="152"/>
        <v>0</v>
      </c>
      <c r="G136" s="366">
        <f t="shared" si="152"/>
        <v>0</v>
      </c>
      <c r="H136" s="366">
        <f t="shared" si="152"/>
        <v>0</v>
      </c>
      <c r="I136" s="366">
        <f t="shared" si="152"/>
        <v>0</v>
      </c>
      <c r="J136" s="366">
        <f t="shared" si="152"/>
        <v>0</v>
      </c>
      <c r="K136" s="366">
        <f t="shared" si="152"/>
        <v>0</v>
      </c>
      <c r="L136" s="366">
        <f t="shared" si="152"/>
        <v>0</v>
      </c>
      <c r="M136" s="366">
        <f t="shared" si="152"/>
        <v>0</v>
      </c>
      <c r="N136" s="366">
        <f t="shared" si="152"/>
        <v>0</v>
      </c>
      <c r="O136" s="364">
        <f t="shared" si="152"/>
        <v>0</v>
      </c>
      <c r="P136" s="363">
        <f t="shared" si="152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3">SUM(B141:B173)</f>
        <v>0</v>
      </c>
      <c r="C140" s="364">
        <f t="shared" si="153"/>
        <v>0</v>
      </c>
      <c r="D140" s="417">
        <f t="shared" ref="D140:P140" si="154">SUM(D141:D173)</f>
        <v>0</v>
      </c>
      <c r="E140" s="418">
        <f t="shared" si="154"/>
        <v>0</v>
      </c>
      <c r="F140" s="418">
        <f t="shared" si="154"/>
        <v>0</v>
      </c>
      <c r="G140" s="418">
        <f t="shared" si="154"/>
        <v>0</v>
      </c>
      <c r="H140" s="418">
        <f t="shared" si="154"/>
        <v>0</v>
      </c>
      <c r="I140" s="418">
        <f t="shared" si="154"/>
        <v>0</v>
      </c>
      <c r="J140" s="418">
        <f t="shared" si="154"/>
        <v>0</v>
      </c>
      <c r="K140" s="418">
        <f t="shared" si="154"/>
        <v>0</v>
      </c>
      <c r="L140" s="418">
        <f t="shared" si="154"/>
        <v>0</v>
      </c>
      <c r="M140" s="418">
        <f t="shared" si="154"/>
        <v>0</v>
      </c>
      <c r="N140" s="418">
        <f t="shared" si="154"/>
        <v>0</v>
      </c>
      <c r="O140" s="416">
        <f t="shared" si="154"/>
        <v>0</v>
      </c>
      <c r="P140" s="420">
        <f t="shared" si="154"/>
        <v>0</v>
      </c>
      <c r="Q140" s="1242" t="str">
        <f t="shared" ref="Q140:Q173" si="155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6">SUM(D141:O141)</f>
        <v>0</v>
      </c>
      <c r="Q141" s="1252" t="str">
        <f t="shared" si="155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6"/>
        <v>0</v>
      </c>
      <c r="Q142" s="1253" t="str">
        <f t="shared" si="155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6"/>
        <v>0</v>
      </c>
      <c r="Q143" s="1254" t="str">
        <f t="shared" si="155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6"/>
        <v>0</v>
      </c>
      <c r="Q144" s="1253" t="str">
        <f t="shared" si="155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6"/>
        <v>0</v>
      </c>
      <c r="Q145" s="1254" t="str">
        <f t="shared" si="155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6"/>
        <v>0</v>
      </c>
      <c r="Q146" s="1253" t="str">
        <f t="shared" si="155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6"/>
        <v>0</v>
      </c>
      <c r="Q147" s="1254" t="str">
        <f t="shared" si="155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6"/>
        <v>0</v>
      </c>
      <c r="Q148" s="1253" t="str">
        <f t="shared" si="155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6"/>
        <v>0</v>
      </c>
      <c r="Q149" s="1254" t="str">
        <f t="shared" si="155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6"/>
        <v>0</v>
      </c>
      <c r="Q150" s="1253" t="str">
        <f t="shared" si="155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6"/>
        <v>0</v>
      </c>
      <c r="Q151" s="1254" t="str">
        <f t="shared" si="155"/>
        <v>-</v>
      </c>
    </row>
    <row r="152" spans="1:17" ht="28.8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6"/>
        <v>0</v>
      </c>
      <c r="Q152" s="1253" t="str">
        <f t="shared" si="155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6"/>
        <v>0</v>
      </c>
      <c r="Q153" s="1254" t="str">
        <f t="shared" si="155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6"/>
        <v>0</v>
      </c>
      <c r="Q154" s="1253" t="str">
        <f t="shared" si="155"/>
        <v>-</v>
      </c>
    </row>
    <row r="155" spans="1:17" ht="21" customHeight="1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6"/>
        <v>0</v>
      </c>
      <c r="Q155" s="1254" t="str">
        <f t="shared" si="155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6"/>
        <v>0</v>
      </c>
      <c r="Q156" s="1253" t="str">
        <f t="shared" si="155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6"/>
        <v>0</v>
      </c>
      <c r="Q157" s="1254" t="str">
        <f t="shared" si="155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6"/>
        <v>0</v>
      </c>
      <c r="Q158" s="1253" t="str">
        <f t="shared" si="155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6"/>
        <v>0</v>
      </c>
      <c r="Q159" s="1254" t="str">
        <f t="shared" si="155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6"/>
        <v>0</v>
      </c>
      <c r="Q160" s="1253" t="str">
        <f t="shared" si="155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6"/>
        <v>0</v>
      </c>
      <c r="Q161" s="1254" t="str">
        <f t="shared" si="155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6"/>
        <v>0</v>
      </c>
      <c r="Q162" s="1253" t="str">
        <f t="shared" si="155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6"/>
        <v>0</v>
      </c>
      <c r="Q163" s="1254" t="str">
        <f t="shared" si="155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6"/>
        <v>0</v>
      </c>
      <c r="Q164" s="1253" t="str">
        <f t="shared" si="155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6"/>
        <v>0</v>
      </c>
      <c r="Q165" s="1254" t="str">
        <f t="shared" si="155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6"/>
        <v>0</v>
      </c>
      <c r="Q166" s="1253" t="str">
        <f t="shared" si="155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6"/>
        <v>0</v>
      </c>
      <c r="Q167" s="1254" t="str">
        <f t="shared" si="155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6"/>
        <v>0</v>
      </c>
      <c r="Q168" s="1253" t="str">
        <f t="shared" si="155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6"/>
        <v>0</v>
      </c>
      <c r="Q169" s="1254" t="str">
        <f t="shared" si="155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6"/>
        <v>0</v>
      </c>
      <c r="Q170" s="1253" t="str">
        <f t="shared" si="155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6"/>
        <v>0</v>
      </c>
      <c r="Q171" s="1254" t="str">
        <f t="shared" si="155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>SUM(D172:O172)</f>
        <v>0</v>
      </c>
      <c r="Q172" s="1253" t="str">
        <f t="shared" si="155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6"/>
        <v>0</v>
      </c>
      <c r="Q173" s="1255" t="str">
        <f t="shared" si="155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7">C44</f>
        <v>0</v>
      </c>
      <c r="D177" s="505">
        <f>D44</f>
        <v>0</v>
      </c>
      <c r="E177" s="472">
        <f t="shared" ref="E177:P177" si="158">E44</f>
        <v>0</v>
      </c>
      <c r="F177" s="472">
        <f t="shared" si="158"/>
        <v>0</v>
      </c>
      <c r="G177" s="472">
        <f t="shared" si="158"/>
        <v>0</v>
      </c>
      <c r="H177" s="472">
        <f t="shared" si="158"/>
        <v>0</v>
      </c>
      <c r="I177" s="472">
        <f t="shared" si="158"/>
        <v>0</v>
      </c>
      <c r="J177" s="472">
        <f t="shared" si="158"/>
        <v>0</v>
      </c>
      <c r="K177" s="472">
        <f t="shared" si="158"/>
        <v>0</v>
      </c>
      <c r="L177" s="472">
        <f t="shared" si="158"/>
        <v>0</v>
      </c>
      <c r="M177" s="472">
        <f t="shared" si="158"/>
        <v>0</v>
      </c>
      <c r="N177" s="472">
        <f t="shared" si="158"/>
        <v>0</v>
      </c>
      <c r="O177" s="473">
        <f t="shared" si="158"/>
        <v>0</v>
      </c>
      <c r="P177" s="474">
        <f t="shared" si="158"/>
        <v>0</v>
      </c>
      <c r="Q177" s="1257" t="str">
        <f t="shared" ref="Q177:Q187" si="159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60">C67</f>
        <v>0</v>
      </c>
      <c r="D178" s="509">
        <f t="shared" ref="D178:P178" si="161">D67</f>
        <v>0</v>
      </c>
      <c r="E178" s="480">
        <f t="shared" si="161"/>
        <v>0</v>
      </c>
      <c r="F178" s="480">
        <f t="shared" si="161"/>
        <v>0</v>
      </c>
      <c r="G178" s="480">
        <f t="shared" si="161"/>
        <v>0</v>
      </c>
      <c r="H178" s="480">
        <f t="shared" si="161"/>
        <v>0</v>
      </c>
      <c r="I178" s="480">
        <f t="shared" si="161"/>
        <v>0</v>
      </c>
      <c r="J178" s="480">
        <f t="shared" si="161"/>
        <v>0</v>
      </c>
      <c r="K178" s="480">
        <f t="shared" si="161"/>
        <v>0</v>
      </c>
      <c r="L178" s="480">
        <f t="shared" si="161"/>
        <v>0</v>
      </c>
      <c r="M178" s="480">
        <f t="shared" si="161"/>
        <v>0</v>
      </c>
      <c r="N178" s="480">
        <f t="shared" si="161"/>
        <v>0</v>
      </c>
      <c r="O178" s="481">
        <f t="shared" si="161"/>
        <v>0</v>
      </c>
      <c r="P178" s="394">
        <f t="shared" si="161"/>
        <v>0</v>
      </c>
      <c r="Q178" s="1149" t="str">
        <f t="shared" si="159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9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2">C90-C179</f>
        <v>0</v>
      </c>
      <c r="D180" s="513">
        <f t="shared" ref="D180:P180" si="163">D90-D179</f>
        <v>0</v>
      </c>
      <c r="E180" s="487">
        <f t="shared" si="163"/>
        <v>0</v>
      </c>
      <c r="F180" s="487">
        <f t="shared" si="163"/>
        <v>0</v>
      </c>
      <c r="G180" s="487">
        <f t="shared" si="163"/>
        <v>0</v>
      </c>
      <c r="H180" s="487">
        <f t="shared" si="163"/>
        <v>0</v>
      </c>
      <c r="I180" s="487">
        <f t="shared" si="163"/>
        <v>0</v>
      </c>
      <c r="J180" s="487">
        <f t="shared" si="163"/>
        <v>0</v>
      </c>
      <c r="K180" s="487">
        <f t="shared" si="163"/>
        <v>0</v>
      </c>
      <c r="L180" s="487">
        <f t="shared" si="163"/>
        <v>0</v>
      </c>
      <c r="M180" s="487">
        <f t="shared" si="163"/>
        <v>0</v>
      </c>
      <c r="N180" s="487">
        <f t="shared" si="163"/>
        <v>0</v>
      </c>
      <c r="O180" s="488">
        <f t="shared" si="163"/>
        <v>0</v>
      </c>
      <c r="P180" s="391">
        <f t="shared" si="163"/>
        <v>0</v>
      </c>
      <c r="Q180" s="1148" t="str">
        <f t="shared" si="159"/>
        <v>-</v>
      </c>
    </row>
    <row r="181" spans="1:17" ht="21" customHeight="1">
      <c r="A181" s="476" t="s">
        <v>71</v>
      </c>
      <c r="B181" s="1921">
        <f t="shared" ref="B181:C181" si="164">B113</f>
        <v>0</v>
      </c>
      <c r="C181" s="508">
        <f t="shared" si="164"/>
        <v>0</v>
      </c>
      <c r="D181" s="509">
        <f t="shared" ref="D181:P181" si="165">D113</f>
        <v>0</v>
      </c>
      <c r="E181" s="480">
        <f t="shared" si="165"/>
        <v>0</v>
      </c>
      <c r="F181" s="480">
        <f t="shared" si="165"/>
        <v>0</v>
      </c>
      <c r="G181" s="480">
        <f t="shared" si="165"/>
        <v>0</v>
      </c>
      <c r="H181" s="480">
        <f t="shared" si="165"/>
        <v>0</v>
      </c>
      <c r="I181" s="480">
        <f t="shared" si="165"/>
        <v>0</v>
      </c>
      <c r="J181" s="480">
        <f t="shared" si="165"/>
        <v>0</v>
      </c>
      <c r="K181" s="480">
        <f t="shared" si="165"/>
        <v>0</v>
      </c>
      <c r="L181" s="480">
        <f t="shared" si="165"/>
        <v>0</v>
      </c>
      <c r="M181" s="480">
        <f t="shared" si="165"/>
        <v>0</v>
      </c>
      <c r="N181" s="480">
        <f t="shared" si="165"/>
        <v>0</v>
      </c>
      <c r="O181" s="481">
        <f t="shared" si="165"/>
        <v>0</v>
      </c>
      <c r="P181" s="394">
        <f t="shared" si="165"/>
        <v>0</v>
      </c>
      <c r="Q181" s="1149" t="str">
        <f t="shared" si="159"/>
        <v>-</v>
      </c>
    </row>
    <row r="182" spans="1:17" ht="21" customHeight="1">
      <c r="A182" s="483" t="s">
        <v>36</v>
      </c>
      <c r="B182" s="1922">
        <f t="shared" ref="B182:C182" si="166">B136</f>
        <v>0</v>
      </c>
      <c r="C182" s="512">
        <f t="shared" si="166"/>
        <v>0</v>
      </c>
      <c r="D182" s="513">
        <f t="shared" ref="D182:P182" si="167">D136</f>
        <v>0</v>
      </c>
      <c r="E182" s="487">
        <f t="shared" si="167"/>
        <v>0</v>
      </c>
      <c r="F182" s="487">
        <f t="shared" si="167"/>
        <v>0</v>
      </c>
      <c r="G182" s="487">
        <f t="shared" si="167"/>
        <v>0</v>
      </c>
      <c r="H182" s="487">
        <f t="shared" si="167"/>
        <v>0</v>
      </c>
      <c r="I182" s="487">
        <f t="shared" si="167"/>
        <v>0</v>
      </c>
      <c r="J182" s="487">
        <f t="shared" si="167"/>
        <v>0</v>
      </c>
      <c r="K182" s="487">
        <f t="shared" si="167"/>
        <v>0</v>
      </c>
      <c r="L182" s="487">
        <f t="shared" si="167"/>
        <v>0</v>
      </c>
      <c r="M182" s="487">
        <f t="shared" si="167"/>
        <v>0</v>
      </c>
      <c r="N182" s="487">
        <f t="shared" si="167"/>
        <v>0</v>
      </c>
      <c r="O182" s="488">
        <f t="shared" si="167"/>
        <v>0</v>
      </c>
      <c r="P182" s="391">
        <f t="shared" si="167"/>
        <v>0</v>
      </c>
      <c r="Q182" s="1148" t="str">
        <f t="shared" si="159"/>
        <v>-</v>
      </c>
    </row>
    <row r="183" spans="1:17" ht="21" customHeight="1">
      <c r="A183" s="515" t="s">
        <v>73</v>
      </c>
      <c r="B183" s="634" t="e">
        <f t="shared" ref="B183:C183" si="168">B182/B180</f>
        <v>#DIV/0!</v>
      </c>
      <c r="C183" s="2243" t="e">
        <f t="shared" si="168"/>
        <v>#DIV/0!</v>
      </c>
      <c r="D183" s="634" t="e">
        <f t="shared" ref="D183:P183" si="169">D182/D180</f>
        <v>#DIV/0!</v>
      </c>
      <c r="E183" s="635" t="e">
        <f t="shared" si="169"/>
        <v>#DIV/0!</v>
      </c>
      <c r="F183" s="635" t="e">
        <f t="shared" si="169"/>
        <v>#DIV/0!</v>
      </c>
      <c r="G183" s="635" t="e">
        <f t="shared" si="169"/>
        <v>#DIV/0!</v>
      </c>
      <c r="H183" s="635" t="e">
        <f t="shared" si="169"/>
        <v>#DIV/0!</v>
      </c>
      <c r="I183" s="635" t="e">
        <f t="shared" si="169"/>
        <v>#DIV/0!</v>
      </c>
      <c r="J183" s="635" t="e">
        <f t="shared" si="169"/>
        <v>#DIV/0!</v>
      </c>
      <c r="K183" s="635" t="e">
        <f t="shared" si="169"/>
        <v>#DIV/0!</v>
      </c>
      <c r="L183" s="635" t="e">
        <f t="shared" si="169"/>
        <v>#DIV/0!</v>
      </c>
      <c r="M183" s="635" t="e">
        <f t="shared" si="169"/>
        <v>#DIV/0!</v>
      </c>
      <c r="N183" s="635" t="e">
        <f t="shared" si="169"/>
        <v>#DIV/0!</v>
      </c>
      <c r="O183" s="636" t="e">
        <f t="shared" si="169"/>
        <v>#DIV/0!</v>
      </c>
      <c r="P183" s="521" t="e">
        <f t="shared" si="169"/>
        <v>#DIV/0!</v>
      </c>
      <c r="Q183" s="1258" t="e">
        <f t="shared" si="159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M184" si="170">F140/1000</f>
        <v>0</v>
      </c>
      <c r="G184" s="487">
        <f t="shared" si="170"/>
        <v>0</v>
      </c>
      <c r="H184" s="487">
        <f t="shared" si="170"/>
        <v>0</v>
      </c>
      <c r="I184" s="487">
        <f t="shared" si="170"/>
        <v>0</v>
      </c>
      <c r="J184" s="487">
        <f t="shared" si="170"/>
        <v>0</v>
      </c>
      <c r="K184" s="487">
        <f t="shared" si="170"/>
        <v>0</v>
      </c>
      <c r="L184" s="487">
        <f t="shared" si="170"/>
        <v>0</v>
      </c>
      <c r="M184" s="487">
        <f t="shared" si="170"/>
        <v>0</v>
      </c>
      <c r="N184" s="487">
        <f>N140/1000</f>
        <v>0</v>
      </c>
      <c r="O184" s="487">
        <f>O140/1000</f>
        <v>0</v>
      </c>
      <c r="P184" s="391">
        <f>P140/1000</f>
        <v>0</v>
      </c>
      <c r="Q184" s="1148" t="str">
        <f t="shared" si="159"/>
        <v>-</v>
      </c>
    </row>
    <row r="185" spans="1:17" s="531" customFormat="1" ht="21" customHeight="1">
      <c r="A185" s="523" t="s">
        <v>74</v>
      </c>
      <c r="B185" s="526" t="e">
        <f t="shared" ref="B185:C185" si="171">B184/B180</f>
        <v>#DIV/0!</v>
      </c>
      <c r="C185" s="1425" t="e">
        <f t="shared" si="171"/>
        <v>#DIV/0!</v>
      </c>
      <c r="D185" s="526" t="e">
        <f t="shared" ref="D185:P185" si="172">D184/D180</f>
        <v>#DIV/0!</v>
      </c>
      <c r="E185" s="527" t="e">
        <f t="shared" si="172"/>
        <v>#DIV/0!</v>
      </c>
      <c r="F185" s="527" t="e">
        <f t="shared" si="172"/>
        <v>#DIV/0!</v>
      </c>
      <c r="G185" s="527" t="e">
        <f t="shared" si="172"/>
        <v>#DIV/0!</v>
      </c>
      <c r="H185" s="527" t="e">
        <f t="shared" si="172"/>
        <v>#DIV/0!</v>
      </c>
      <c r="I185" s="527" t="e">
        <f t="shared" si="172"/>
        <v>#DIV/0!</v>
      </c>
      <c r="J185" s="527" t="e">
        <f t="shared" si="172"/>
        <v>#DIV/0!</v>
      </c>
      <c r="K185" s="527" t="e">
        <f t="shared" si="172"/>
        <v>#DIV/0!</v>
      </c>
      <c r="L185" s="527" t="e">
        <f t="shared" si="172"/>
        <v>#DIV/0!</v>
      </c>
      <c r="M185" s="527" t="e">
        <f t="shared" si="172"/>
        <v>#DIV/0!</v>
      </c>
      <c r="N185" s="527" t="e">
        <f t="shared" si="172"/>
        <v>#DIV/0!</v>
      </c>
      <c r="O185" s="528" t="e">
        <f t="shared" si="172"/>
        <v>#DIV/0!</v>
      </c>
      <c r="P185" s="529" t="e">
        <f t="shared" si="172"/>
        <v>#DIV/0!</v>
      </c>
      <c r="Q185" s="1259" t="e">
        <f t="shared" si="159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3">C182-C184</f>
        <v>0</v>
      </c>
      <c r="D186" s="535">
        <f t="shared" ref="D186:P186" si="174">D182-D184</f>
        <v>0</v>
      </c>
      <c r="E186" s="536">
        <f t="shared" si="174"/>
        <v>0</v>
      </c>
      <c r="F186" s="536">
        <f t="shared" si="174"/>
        <v>0</v>
      </c>
      <c r="G186" s="536">
        <f t="shared" si="174"/>
        <v>0</v>
      </c>
      <c r="H186" s="536">
        <f t="shared" si="174"/>
        <v>0</v>
      </c>
      <c r="I186" s="536">
        <f t="shared" si="174"/>
        <v>0</v>
      </c>
      <c r="J186" s="536">
        <f t="shared" si="174"/>
        <v>0</v>
      </c>
      <c r="K186" s="536">
        <f t="shared" si="174"/>
        <v>0</v>
      </c>
      <c r="L186" s="536">
        <f t="shared" si="174"/>
        <v>0</v>
      </c>
      <c r="M186" s="536">
        <f t="shared" si="174"/>
        <v>0</v>
      </c>
      <c r="N186" s="536">
        <f t="shared" si="174"/>
        <v>0</v>
      </c>
      <c r="O186" s="537">
        <f t="shared" si="174"/>
        <v>0</v>
      </c>
      <c r="P186" s="496">
        <f t="shared" si="174"/>
        <v>0</v>
      </c>
      <c r="Q186" s="1260" t="str">
        <f t="shared" si="159"/>
        <v>-</v>
      </c>
    </row>
    <row r="187" spans="1:17" s="281" customFormat="1" ht="21" customHeight="1" thickBot="1">
      <c r="A187" s="539" t="s">
        <v>80</v>
      </c>
      <c r="B187" s="2240" t="e">
        <f t="shared" ref="B187:C187" si="175">B186/B180</f>
        <v>#DIV/0!</v>
      </c>
      <c r="C187" s="2242" t="e">
        <f t="shared" si="175"/>
        <v>#DIV/0!</v>
      </c>
      <c r="D187" s="2240" t="e">
        <f t="shared" ref="D187:P187" si="176">D186/D180</f>
        <v>#DIV/0!</v>
      </c>
      <c r="E187" s="2247" t="e">
        <f t="shared" si="176"/>
        <v>#DIV/0!</v>
      </c>
      <c r="F187" s="2247" t="e">
        <f t="shared" si="176"/>
        <v>#DIV/0!</v>
      </c>
      <c r="G187" s="2247" t="e">
        <f t="shared" si="176"/>
        <v>#DIV/0!</v>
      </c>
      <c r="H187" s="2247" t="e">
        <f t="shared" si="176"/>
        <v>#DIV/0!</v>
      </c>
      <c r="I187" s="2247" t="e">
        <f t="shared" si="176"/>
        <v>#DIV/0!</v>
      </c>
      <c r="J187" s="2247" t="e">
        <f t="shared" si="176"/>
        <v>#DIV/0!</v>
      </c>
      <c r="K187" s="2247" t="e">
        <f t="shared" si="176"/>
        <v>#DIV/0!</v>
      </c>
      <c r="L187" s="2247" t="e">
        <f t="shared" si="176"/>
        <v>#DIV/0!</v>
      </c>
      <c r="M187" s="2247" t="e">
        <f t="shared" si="176"/>
        <v>#DIV/0!</v>
      </c>
      <c r="N187" s="2247" t="e">
        <f t="shared" si="176"/>
        <v>#DIV/0!</v>
      </c>
      <c r="O187" s="2248" t="e">
        <f t="shared" si="176"/>
        <v>#DIV/0!</v>
      </c>
      <c r="P187" s="545" t="e">
        <f t="shared" si="176"/>
        <v>#DIV/0!</v>
      </c>
      <c r="Q187" s="1261" t="e">
        <f t="shared" si="159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5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V187"/>
  <sheetViews>
    <sheetView zoomScale="85" zoomScaleNormal="85" workbookViewId="0">
      <selection activeCell="E106" sqref="E106"/>
    </sheetView>
  </sheetViews>
  <sheetFormatPr defaultColWidth="9.109375" defaultRowHeight="14.4"/>
  <cols>
    <col min="1" max="1" width="34.332031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M3'!C47/1000</f>
        <v>0</v>
      </c>
      <c r="E5" s="372">
        <f>+'SAHA AYLIK ÜRÜN M3'!D47/1000</f>
        <v>0</v>
      </c>
      <c r="F5" s="372">
        <f>+'SAHA AYLIK ÜRÜN M3'!E47/1000</f>
        <v>0</v>
      </c>
      <c r="G5" s="372">
        <f>+'SAHA AYLIK ÜRÜN M3'!F47/1000</f>
        <v>0</v>
      </c>
      <c r="H5" s="373">
        <f>+'SAHA AYLIK ÜRÜN M3'!G47/1000</f>
        <v>0</v>
      </c>
      <c r="I5" s="373">
        <f>+'SAHA AYLIK ÜRÜN M3'!H47/1000</f>
        <v>0</v>
      </c>
      <c r="J5" s="373">
        <f>+'SAHA AYLIK ÜRÜN M3'!I47/1000</f>
        <v>0</v>
      </c>
      <c r="K5" s="373">
        <f>+'SAHA AYLIK ÜRÜN M3'!J47/1000</f>
        <v>0</v>
      </c>
      <c r="L5" s="373">
        <f>+'SAHA AYLIK ÜRÜN M3'!K47/1000</f>
        <v>0</v>
      </c>
      <c r="M5" s="373">
        <f>+'SAHA AYLIK ÜRÜN M3'!L47/1000</f>
        <v>0</v>
      </c>
      <c r="N5" s="373">
        <f>+'SAHA AYLIK ÜRÜN M3'!M47/1000</f>
        <v>0</v>
      </c>
      <c r="O5" s="374">
        <f>+'SAHA AYLIK ÜRÜN M3'!N47/1000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M3'!C48/1000</f>
        <v>0</v>
      </c>
      <c r="E8" s="397">
        <f>+'SAHA AYLIK ÜRÜN M3'!D48/1000</f>
        <v>0</v>
      </c>
      <c r="F8" s="397">
        <f>+'SAHA AYLIK ÜRÜN M3'!E48/1000</f>
        <v>0</v>
      </c>
      <c r="G8" s="397">
        <f>+'SAHA AYLIK ÜRÜN M3'!F48/1000</f>
        <v>0</v>
      </c>
      <c r="H8" s="397">
        <f>+'SAHA AYLIK ÜRÜN M3'!G48/1000</f>
        <v>0</v>
      </c>
      <c r="I8" s="397">
        <f>+'SAHA AYLIK ÜRÜN M3'!H48/1000</f>
        <v>0</v>
      </c>
      <c r="J8" s="397">
        <f>+'SAHA AYLIK ÜRÜN M3'!I48/1000</f>
        <v>0</v>
      </c>
      <c r="K8" s="397">
        <f>+'SAHA AYLIK ÜRÜN M3'!J48/1000</f>
        <v>0</v>
      </c>
      <c r="L8" s="397">
        <f>+'SAHA AYLIK ÜRÜN M3'!K48/1000</f>
        <v>0</v>
      </c>
      <c r="M8" s="397">
        <f>+'SAHA AYLIK ÜRÜN M3'!L48/1000</f>
        <v>0</v>
      </c>
      <c r="N8" s="397">
        <f>+'SAHA AYLIK ÜRÜN M3'!M48/1000</f>
        <v>0</v>
      </c>
      <c r="O8" s="398">
        <f>+'SAHA AYLIK ÜRÜN M3'!N48/1000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M3'!C45/1000</f>
        <v>0</v>
      </c>
      <c r="E9" s="403">
        <f>+'SAHA AYLIK ÜRÜN M3'!D45/1000</f>
        <v>0</v>
      </c>
      <c r="F9" s="403">
        <f>+'SAHA AYLIK ÜRÜN M3'!E45/1000</f>
        <v>0</v>
      </c>
      <c r="G9" s="403">
        <f>+'SAHA AYLIK ÜRÜN M3'!F45/1000</f>
        <v>0</v>
      </c>
      <c r="H9" s="403">
        <f>+'SAHA AYLIK ÜRÜN M3'!G45/1000</f>
        <v>0</v>
      </c>
      <c r="I9" s="403">
        <f>+'SAHA AYLIK ÜRÜN M3'!H45/1000</f>
        <v>0</v>
      </c>
      <c r="J9" s="403">
        <f>+'SAHA AYLIK ÜRÜN M3'!I45/1000</f>
        <v>0</v>
      </c>
      <c r="K9" s="403">
        <f>+'SAHA AYLIK ÜRÜN M3'!J45/1000</f>
        <v>0</v>
      </c>
      <c r="L9" s="403">
        <f>+'SAHA AYLIK ÜRÜN M3'!K45/1000</f>
        <v>0</v>
      </c>
      <c r="M9" s="403">
        <f>+'SAHA AYLIK ÜRÜN M3'!L45/1000</f>
        <v>0</v>
      </c>
      <c r="N9" s="403">
        <f>+'SAHA AYLIK ÜRÜN M3'!M45/1000</f>
        <v>0</v>
      </c>
      <c r="O9" s="404">
        <f>+'SAHA AYLIK ÜRÜN M3'!N45/1000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>
        <f>+'SAHA AYLIK ÜRÜN M3'!C43/1000</f>
        <v>0</v>
      </c>
      <c r="E10" s="382">
        <f>+'SAHA AYLIK ÜRÜN M3'!D43/1000</f>
        <v>0</v>
      </c>
      <c r="F10" s="382">
        <f>+'SAHA AYLIK ÜRÜN M3'!E43/1000</f>
        <v>0</v>
      </c>
      <c r="G10" s="382">
        <f>+'SAHA AYLIK ÜRÜN M3'!F43/1000</f>
        <v>0</v>
      </c>
      <c r="H10" s="382">
        <f>+'SAHA AYLIK ÜRÜN M3'!G43/1000</f>
        <v>0</v>
      </c>
      <c r="I10" s="382">
        <f>+'SAHA AYLIK ÜRÜN M3'!H43/1000</f>
        <v>0</v>
      </c>
      <c r="J10" s="382">
        <f>+'SAHA AYLIK ÜRÜN M3'!I43/1000</f>
        <v>0</v>
      </c>
      <c r="K10" s="382">
        <f>+'SAHA AYLIK ÜRÜN M3'!J43/1000</f>
        <v>0</v>
      </c>
      <c r="L10" s="382">
        <f>+'SAHA AYLIK ÜRÜN M3'!K43/1000</f>
        <v>0</v>
      </c>
      <c r="M10" s="382">
        <f>+'SAHA AYLIK ÜRÜN M3'!L43/1000</f>
        <v>0</v>
      </c>
      <c r="N10" s="382">
        <f>+'SAHA AYLIK ÜRÜN M3'!M43/1000</f>
        <v>0</v>
      </c>
      <c r="O10" s="383">
        <f>+'SAHA AYLIK ÜRÜN M3'!N43/1000</f>
        <v>0</v>
      </c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M3'!C46/1000</f>
        <v>0</v>
      </c>
      <c r="E11" s="403">
        <f>+'SAHA AYLIK ÜRÜN M3'!D46/1000</f>
        <v>0</v>
      </c>
      <c r="F11" s="403">
        <f>+'SAHA AYLIK ÜRÜN M3'!E46/1000</f>
        <v>0</v>
      </c>
      <c r="G11" s="403">
        <f>+'SAHA AYLIK ÜRÜN M3'!F46/1000</f>
        <v>0</v>
      </c>
      <c r="H11" s="403">
        <f>+'SAHA AYLIK ÜRÜN M3'!G46/1000</f>
        <v>0</v>
      </c>
      <c r="I11" s="403">
        <f>+'SAHA AYLIK ÜRÜN M3'!H46/1000</f>
        <v>0</v>
      </c>
      <c r="J11" s="403">
        <f>+'SAHA AYLIK ÜRÜN M3'!I46/1000</f>
        <v>0</v>
      </c>
      <c r="K11" s="403">
        <f>+'SAHA AYLIK ÜRÜN M3'!J46/1000</f>
        <v>0</v>
      </c>
      <c r="L11" s="403">
        <f>+'SAHA AYLIK ÜRÜN M3'!K46/1000</f>
        <v>0</v>
      </c>
      <c r="M11" s="403">
        <f>+'SAHA AYLIK ÜRÜN M3'!L46/1000</f>
        <v>0</v>
      </c>
      <c r="N11" s="403">
        <f>+'SAHA AYLIK ÜRÜN M3'!M46/1000</f>
        <v>0</v>
      </c>
      <c r="O11" s="404">
        <f>+'SAHA AYLIK ÜRÜN M3'!N46/1000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M3'!C49/1000</f>
        <v>0</v>
      </c>
      <c r="E16" s="434">
        <f>+'SAHA AYLIK ÜRÜN M3'!D49/1000</f>
        <v>0</v>
      </c>
      <c r="F16" s="434">
        <f>+'SAHA AYLIK ÜRÜN M3'!E49/1000</f>
        <v>0</v>
      </c>
      <c r="G16" s="434">
        <f>+'SAHA AYLIK ÜRÜN M3'!F49/1000</f>
        <v>0</v>
      </c>
      <c r="H16" s="434">
        <f>+'SAHA AYLIK ÜRÜN M3'!G49/1000</f>
        <v>0</v>
      </c>
      <c r="I16" s="434">
        <f>+'SAHA AYLIK ÜRÜN M3'!H49/1000</f>
        <v>0</v>
      </c>
      <c r="J16" s="434">
        <f>+'SAHA AYLIK ÜRÜN M3'!I49/1000</f>
        <v>0</v>
      </c>
      <c r="K16" s="434">
        <f>+'SAHA AYLIK ÜRÜN M3'!J49/1000</f>
        <v>0</v>
      </c>
      <c r="L16" s="434">
        <f>+'SAHA AYLIK ÜRÜN M3'!K49/1000</f>
        <v>0</v>
      </c>
      <c r="M16" s="434">
        <f>+'SAHA AYLIK ÜRÜN M3'!L49/1000</f>
        <v>0</v>
      </c>
      <c r="N16" s="434">
        <f>+'SAHA AYLIK ÜRÜN M3'!M49/1000</f>
        <v>0</v>
      </c>
      <c r="O16" s="435">
        <f>+'SAHA AYLIK ÜRÜN M3'!N49/1000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+M.Yağ_Adbulue!E10/1000</f>
        <v>0</v>
      </c>
      <c r="E18" s="426">
        <f>+M.Yağ_Adbulue!F10/1000</f>
        <v>0</v>
      </c>
      <c r="F18" s="426">
        <f>+M.Yağ_Adbulue!G10/1000</f>
        <v>0</v>
      </c>
      <c r="G18" s="426">
        <f>+M.Yağ_Adbulue!H10/1000</f>
        <v>0</v>
      </c>
      <c r="H18" s="426">
        <f>+M.Yağ_Adbulue!I10/1000</f>
        <v>0</v>
      </c>
      <c r="I18" s="426">
        <f>+M.Yağ_Adbulue!J10/1000</f>
        <v>0</v>
      </c>
      <c r="J18" s="426">
        <f>+M.Yağ_Adbulue!K10/1000</f>
        <v>0</v>
      </c>
      <c r="K18" s="426">
        <f>+M.Yağ_Adbulue!L10/1000</f>
        <v>0</v>
      </c>
      <c r="L18" s="426">
        <f>+M.Yağ_Adbulue!M10/1000</f>
        <v>0</v>
      </c>
      <c r="M18" s="426">
        <f>+M.Yağ_Adbulue!N10/1000</f>
        <v>0</v>
      </c>
      <c r="N18" s="426">
        <f>+M.Yağ_Adbulue!O10/1000</f>
        <v>0</v>
      </c>
      <c r="O18" s="427">
        <f>+M.Yağ_Adbulue!P10/1000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+M.Yağ_Adbulue!E28/1000</f>
        <v>0</v>
      </c>
      <c r="E19" s="442">
        <f>+M.Yağ_Adbulue!F28/1000</f>
        <v>0</v>
      </c>
      <c r="F19" s="442">
        <f>+M.Yağ_Adbulue!G28/1000</f>
        <v>0</v>
      </c>
      <c r="G19" s="442">
        <f>+M.Yağ_Adbulue!H28/1000</f>
        <v>0</v>
      </c>
      <c r="H19" s="442">
        <f>+M.Yağ_Adbulue!I28/1000</f>
        <v>0</v>
      </c>
      <c r="I19" s="442">
        <f>+M.Yağ_Adbulue!J28/1000</f>
        <v>0</v>
      </c>
      <c r="J19" s="442">
        <f>+M.Yağ_Adbulue!K28/1000</f>
        <v>0</v>
      </c>
      <c r="K19" s="442">
        <f>+M.Yağ_Adbulue!L28/1000</f>
        <v>0</v>
      </c>
      <c r="L19" s="442">
        <f>+M.Yağ_Adbulue!M28/1000</f>
        <v>0</v>
      </c>
      <c r="M19" s="442">
        <f>+M.Yağ_Adbulue!N28/1000</f>
        <v>0</v>
      </c>
      <c r="N19" s="442">
        <f>+M.Yağ_Adbulue!O28/1000</f>
        <v>0</v>
      </c>
      <c r="O19" s="443">
        <f>+M.Yağ_Adbulue!P28/1000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0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Fiyat'!D149</f>
        <v>0</v>
      </c>
      <c r="E26" s="372">
        <f>E5*'Satış Fiyat'!E149</f>
        <v>0</v>
      </c>
      <c r="F26" s="372">
        <f>F5*'Satış Fiyat'!F149</f>
        <v>0</v>
      </c>
      <c r="G26" s="372">
        <f>G5*'Satış Fiyat'!G149</f>
        <v>0</v>
      </c>
      <c r="H26" s="373">
        <f>H5*'Satış Fiyat'!H149</f>
        <v>0</v>
      </c>
      <c r="I26" s="373">
        <f>I5*'Satış Fiyat'!I149</f>
        <v>0</v>
      </c>
      <c r="J26" s="373">
        <f>J5*'Satış Fiyat'!J149</f>
        <v>0</v>
      </c>
      <c r="K26" s="373">
        <f>K5*'Satış Fiyat'!K149</f>
        <v>0</v>
      </c>
      <c r="L26" s="373">
        <f>L5*'Satış Fiyat'!L149</f>
        <v>0</v>
      </c>
      <c r="M26" s="373">
        <f>M5*'Satış Fiyat'!M149</f>
        <v>0</v>
      </c>
      <c r="N26" s="373">
        <f>N5*'Satış Fiyat'!N149</f>
        <v>0</v>
      </c>
      <c r="O26" s="374">
        <f>O5*'Satış Fiyat'!O149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Fiyat'!D150</f>
        <v>0</v>
      </c>
      <c r="E27" s="381">
        <f>E6*'Satış Fiyat'!E150</f>
        <v>0</v>
      </c>
      <c r="F27" s="381">
        <f>F6*'Satış Fiyat'!F150</f>
        <v>0</v>
      </c>
      <c r="G27" s="381">
        <f>G6*'Satış Fiyat'!G150</f>
        <v>0</v>
      </c>
      <c r="H27" s="382">
        <f>H6*'Satış Fiyat'!H150</f>
        <v>0</v>
      </c>
      <c r="I27" s="382">
        <f>I6*'Satış Fiyat'!I150</f>
        <v>0</v>
      </c>
      <c r="J27" s="382">
        <f>J6*'Satış Fiyat'!J150</f>
        <v>0</v>
      </c>
      <c r="K27" s="382">
        <f>K6*'Satış Fiyat'!K150</f>
        <v>0</v>
      </c>
      <c r="L27" s="382">
        <f>L6*'Satış Fiyat'!L150</f>
        <v>0</v>
      </c>
      <c r="M27" s="382">
        <f>M6*'Satış Fiyat'!M150</f>
        <v>0</v>
      </c>
      <c r="N27" s="382">
        <f>N6*'Satış Fiyat'!N150</f>
        <v>0</v>
      </c>
      <c r="O27" s="383">
        <f>O6*'Satış Fiyat'!O150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Fiyat'!D152</f>
        <v>0</v>
      </c>
      <c r="E29" s="397">
        <f>E8*'Satış Fiyat'!E152</f>
        <v>0</v>
      </c>
      <c r="F29" s="397">
        <f>F8*'Satış Fiyat'!F152</f>
        <v>0</v>
      </c>
      <c r="G29" s="397">
        <f>G8*'Satış Fiyat'!G152</f>
        <v>0</v>
      </c>
      <c r="H29" s="397">
        <f>H8*'Satış Fiyat'!H152</f>
        <v>0</v>
      </c>
      <c r="I29" s="397">
        <f>I8*'Satış Fiyat'!I152</f>
        <v>0</v>
      </c>
      <c r="J29" s="397">
        <f>J8*'Satış Fiyat'!J152</f>
        <v>0</v>
      </c>
      <c r="K29" s="397">
        <f>K8*'Satış Fiyat'!K152</f>
        <v>0</v>
      </c>
      <c r="L29" s="397">
        <f>L8*'Satış Fiyat'!L152</f>
        <v>0</v>
      </c>
      <c r="M29" s="397">
        <f>M8*'Satış Fiyat'!M152</f>
        <v>0</v>
      </c>
      <c r="N29" s="397">
        <f>N8*'Satış Fiyat'!N152</f>
        <v>0</v>
      </c>
      <c r="O29" s="398">
        <f>O8*'Satış Fiyat'!O152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Fiyat'!D153</f>
        <v>0</v>
      </c>
      <c r="E30" s="389">
        <f>E9*'Satış Fiyat'!E153</f>
        <v>0</v>
      </c>
      <c r="F30" s="389">
        <f>F9*'Satış Fiyat'!F153</f>
        <v>0</v>
      </c>
      <c r="G30" s="389">
        <f>G9*'Satış Fiyat'!G153</f>
        <v>0</v>
      </c>
      <c r="H30" s="389">
        <f>H9*'Satış Fiyat'!H153</f>
        <v>0</v>
      </c>
      <c r="I30" s="389">
        <f>I9*'Satış Fiyat'!I153</f>
        <v>0</v>
      </c>
      <c r="J30" s="389">
        <f>J9*'Satış Fiyat'!J153</f>
        <v>0</v>
      </c>
      <c r="K30" s="389">
        <f>K9*'Satış Fiyat'!K153</f>
        <v>0</v>
      </c>
      <c r="L30" s="389">
        <f>L9*'Satış Fiyat'!L153</f>
        <v>0</v>
      </c>
      <c r="M30" s="389">
        <f>M9*'Satış Fiyat'!M153</f>
        <v>0</v>
      </c>
      <c r="N30" s="389">
        <f>N9*'Satış Fiyat'!N153</f>
        <v>0</v>
      </c>
      <c r="O30" s="390">
        <f>O9*'Satış Fiyat'!O153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Fiyat'!D154</f>
        <v>0</v>
      </c>
      <c r="E31" s="397">
        <f>E10*'Satış Fiyat'!E154</f>
        <v>0</v>
      </c>
      <c r="F31" s="397">
        <f>F10*'Satış Fiyat'!F154</f>
        <v>0</v>
      </c>
      <c r="G31" s="397">
        <f>G10*'Satış Fiyat'!G154</f>
        <v>0</v>
      </c>
      <c r="H31" s="397">
        <f>H10*'Satış Fiyat'!H154</f>
        <v>0</v>
      </c>
      <c r="I31" s="397">
        <f>I10*'Satış Fiyat'!I154</f>
        <v>0</v>
      </c>
      <c r="J31" s="397">
        <f>J10*'Satış Fiyat'!J154</f>
        <v>0</v>
      </c>
      <c r="K31" s="397">
        <f>K10*'Satış Fiyat'!K154</f>
        <v>0</v>
      </c>
      <c r="L31" s="397">
        <f>L10*'Satış Fiyat'!L154</f>
        <v>0</v>
      </c>
      <c r="M31" s="397">
        <f>M10*'Satış Fiyat'!M154</f>
        <v>0</v>
      </c>
      <c r="N31" s="397">
        <f>N10*'Satış Fiyat'!N154</f>
        <v>0</v>
      </c>
      <c r="O31" s="398">
        <f>O10*'Satış Fiyat'!O154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4"/>
      <c r="D32" s="402">
        <f>D11*'Satış Fiyat'!D155</f>
        <v>0</v>
      </c>
      <c r="E32" s="403">
        <f>E11*'Satış Fiyat'!E155</f>
        <v>0</v>
      </c>
      <c r="F32" s="389">
        <f>F11*'Satış Fiyat'!F155</f>
        <v>0</v>
      </c>
      <c r="G32" s="403">
        <f>G11*'Satış Fiyat'!G155</f>
        <v>0</v>
      </c>
      <c r="H32" s="403">
        <f>H11*'Satış Fiyat'!H155</f>
        <v>0</v>
      </c>
      <c r="I32" s="403">
        <f>I11*'Satış Fiyat'!I155</f>
        <v>0</v>
      </c>
      <c r="J32" s="403">
        <f>J11*'Satış Fiyat'!J155</f>
        <v>0</v>
      </c>
      <c r="K32" s="403">
        <f>K11*'Satış Fiyat'!K155</f>
        <v>0</v>
      </c>
      <c r="L32" s="403">
        <f>L11*'Satış Fiyat'!L155</f>
        <v>0</v>
      </c>
      <c r="M32" s="403">
        <f>M11*'Satış Fiyat'!M155</f>
        <v>0</v>
      </c>
      <c r="N32" s="403">
        <f>N11*'Satış Fiyat'!N155</f>
        <v>0</v>
      </c>
      <c r="O32" s="404">
        <f>O11*'Satış Fiyat'!O155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Fiyat'!D156</f>
        <v>0</v>
      </c>
      <c r="E33" s="382">
        <f>E12*'Satış Fiyat'!E156</f>
        <v>0</v>
      </c>
      <c r="F33" s="382">
        <f>F12*'Satış Fiyat'!F156</f>
        <v>0</v>
      </c>
      <c r="G33" s="382">
        <f>G12*'Satış Fiyat'!G156</f>
        <v>0</v>
      </c>
      <c r="H33" s="382">
        <f>H12*'Satış Fiyat'!H156</f>
        <v>0</v>
      </c>
      <c r="I33" s="381">
        <f>I12*'Satış Fiyat'!I156</f>
        <v>0</v>
      </c>
      <c r="J33" s="381">
        <f>J12*'Satış Fiyat'!J156</f>
        <v>0</v>
      </c>
      <c r="K33" s="382">
        <f>K12*'Satış Fiyat'!K156</f>
        <v>0</v>
      </c>
      <c r="L33" s="382">
        <f>L12*'Satış Fiyat'!L156</f>
        <v>0</v>
      </c>
      <c r="M33" s="382">
        <f>M12*'Satış Fiyat'!M156</f>
        <v>0</v>
      </c>
      <c r="N33" s="382">
        <f>N12*'Satış Fiyat'!N156</f>
        <v>0</v>
      </c>
      <c r="O33" s="383">
        <f>O12*'Satış Fiyat'!O156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Fiyat'!D159</f>
        <v>0</v>
      </c>
      <c r="E36" s="426">
        <f>E15*'Satış Fiyat'!E159</f>
        <v>0</v>
      </c>
      <c r="F36" s="426">
        <f>F15*'Satış Fiyat'!F159</f>
        <v>0</v>
      </c>
      <c r="G36" s="426">
        <f>G15*'Satış Fiyat'!G159</f>
        <v>0</v>
      </c>
      <c r="H36" s="426">
        <f>H15*'Satış Fiyat'!H159</f>
        <v>0</v>
      </c>
      <c r="I36" s="426">
        <f>I15*'Satış Fiyat'!I159</f>
        <v>0</v>
      </c>
      <c r="J36" s="426">
        <f>J15*'Satış Fiyat'!J159</f>
        <v>0</v>
      </c>
      <c r="K36" s="426">
        <f>K15*'Satış Fiyat'!K159</f>
        <v>0</v>
      </c>
      <c r="L36" s="426">
        <f>L15*'Satış Fiyat'!L159</f>
        <v>0</v>
      </c>
      <c r="M36" s="426">
        <f>M15*'Satış Fiyat'!M159</f>
        <v>0</v>
      </c>
      <c r="N36" s="426">
        <f>N15*'Satış Fiyat'!N159</f>
        <v>0</v>
      </c>
      <c r="O36" s="427">
        <f>O15*'Satış Fiyat'!O159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/>
      <c r="C37" s="432"/>
      <c r="D37" s="433">
        <f>D16*'Satış Fiyat'!D160</f>
        <v>0</v>
      </c>
      <c r="E37" s="434">
        <f>E16*'Satış Fiyat'!E160</f>
        <v>0</v>
      </c>
      <c r="F37" s="434">
        <f>F16*'Satış Fiyat'!F160</f>
        <v>0</v>
      </c>
      <c r="G37" s="434">
        <f>G16*'Satış Fiyat'!G160</f>
        <v>0</v>
      </c>
      <c r="H37" s="434">
        <f>H16*'Satış Fiyat'!H160</f>
        <v>0</v>
      </c>
      <c r="I37" s="434">
        <f>I16*'Satış Fiyat'!I160</f>
        <v>0</v>
      </c>
      <c r="J37" s="434">
        <f>J16*'Satış Fiyat'!J160</f>
        <v>0</v>
      </c>
      <c r="K37" s="434">
        <f>K16*'Satış Fiyat'!K160</f>
        <v>0</v>
      </c>
      <c r="L37" s="434">
        <f>L16*'Satış Fiyat'!L160</f>
        <v>0</v>
      </c>
      <c r="M37" s="434">
        <f>M16*'Satış Fiyat'!M160</f>
        <v>0</v>
      </c>
      <c r="N37" s="434">
        <f>N16*'Satış Fiyat'!N160</f>
        <v>0</v>
      </c>
      <c r="O37" s="435">
        <f>O16*'Satış Fiyat'!O160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Fiyat'!D162</f>
        <v>0</v>
      </c>
      <c r="E39" s="426">
        <f>E18*'Satış Fiyat'!E162</f>
        <v>0</v>
      </c>
      <c r="F39" s="426">
        <f>F18*'Satış Fiyat'!F162</f>
        <v>0</v>
      </c>
      <c r="G39" s="426">
        <f>G18*'Satış Fiyat'!G162</f>
        <v>0</v>
      </c>
      <c r="H39" s="426">
        <f>H18*'Satış Fiyat'!H162</f>
        <v>0</v>
      </c>
      <c r="I39" s="426">
        <f>I18*'Satış Fiyat'!I162</f>
        <v>0</v>
      </c>
      <c r="J39" s="426">
        <f>J18*'Satış Fiyat'!J162</f>
        <v>0</v>
      </c>
      <c r="K39" s="426">
        <f>K18*'Satış Fiyat'!K162</f>
        <v>0</v>
      </c>
      <c r="L39" s="426">
        <f>L18*'Satış Fiyat'!L162</f>
        <v>0</v>
      </c>
      <c r="M39" s="426">
        <f>M18*'Satış Fiyat'!M162</f>
        <v>0</v>
      </c>
      <c r="N39" s="426">
        <f>N18*'Satış Fiyat'!N162</f>
        <v>0</v>
      </c>
      <c r="O39" s="427">
        <f>O18*'Satış Fiyat'!O162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Fiyat'!D163</f>
        <v>0</v>
      </c>
      <c r="E40" s="442">
        <f>E19*'Satış Fiyat'!E163</f>
        <v>0</v>
      </c>
      <c r="F40" s="442">
        <f>F19*'Satış Fiyat'!F163</f>
        <v>0</v>
      </c>
      <c r="G40" s="442">
        <f>G19*'Satış Fiyat'!G163</f>
        <v>0</v>
      </c>
      <c r="H40" s="442">
        <f>H19*'Satış Fiyat'!H163</f>
        <v>0</v>
      </c>
      <c r="I40" s="442">
        <f>I19*'Satış Fiyat'!I163</f>
        <v>0</v>
      </c>
      <c r="J40" s="442">
        <f>J19*'Satış Fiyat'!J163</f>
        <v>0</v>
      </c>
      <c r="K40" s="442">
        <f>K19*'Satış Fiyat'!K163</f>
        <v>0</v>
      </c>
      <c r="L40" s="442">
        <f>L19*'Satış Fiyat'!L163</f>
        <v>0</v>
      </c>
      <c r="M40" s="442">
        <f>M19*'Satış Fiyat'!M163</f>
        <v>0</v>
      </c>
      <c r="N40" s="442">
        <f>N19*'Satış Fiyat'!N163</f>
        <v>0</v>
      </c>
      <c r="O40" s="443">
        <f>O19*'Satış Fiyat'!O163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Fiyat'!D165</f>
        <v>0</v>
      </c>
      <c r="E42" s="366">
        <f>E21*'Satış Fiyat'!E165</f>
        <v>0</v>
      </c>
      <c r="F42" s="366">
        <f>F21*'Satış Fiyat'!F165</f>
        <v>0</v>
      </c>
      <c r="G42" s="366">
        <f>G21*'Satış Fiyat'!G165</f>
        <v>0</v>
      </c>
      <c r="H42" s="366">
        <f>H21*'Satış Fiyat'!H165</f>
        <v>0</v>
      </c>
      <c r="I42" s="366">
        <f>I21*'Satış Fiyat'!I165</f>
        <v>0</v>
      </c>
      <c r="J42" s="366">
        <f>J21*'Satış Fiyat'!J165</f>
        <v>0</v>
      </c>
      <c r="K42" s="366">
        <f>K21*'Satış Fiyat'!K165</f>
        <v>0</v>
      </c>
      <c r="L42" s="366">
        <f>L21*'Satış Fiyat'!L165</f>
        <v>0</v>
      </c>
      <c r="M42" s="366">
        <f>M21*'Satış Fiyat'!M165</f>
        <v>0</v>
      </c>
      <c r="N42" s="366">
        <f>N21*'Satış Fiyat'!N165</f>
        <v>0</v>
      </c>
      <c r="O42" s="448">
        <f>O21*'Satış Fiyat'!O165</f>
        <v>0</v>
      </c>
      <c r="P42" s="363">
        <f>SUM(D42:O42)</f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>SUM(D43:O43)</f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>SUM(D44:O44)</f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3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1.4999999999999999E-2</v>
      </c>
      <c r="T53" s="461">
        <v>1.4999999999999999E-2</v>
      </c>
      <c r="U53" s="461">
        <v>1.4999999999999999E-2</v>
      </c>
      <c r="V53" s="461">
        <v>1.4999999999999999E-2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1.4999999999999999E-2</v>
      </c>
      <c r="T54" s="461">
        <v>1.4999999999999999E-2</v>
      </c>
      <c r="U54" s="461">
        <v>1.4999999999999999E-2</v>
      </c>
      <c r="V54" s="461">
        <v>1.4999999999999999E-2</v>
      </c>
    </row>
    <row r="55" spans="1:22" ht="16.5" customHeight="1">
      <c r="A55" s="400" t="s">
        <v>83</v>
      </c>
      <c r="B55" s="408"/>
      <c r="C55" s="404"/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1.4999999999999999E-2</v>
      </c>
      <c r="T55" s="461">
        <v>1.4999999999999999E-2</v>
      </c>
      <c r="U55" s="461">
        <v>1.4999999999999999E-2</v>
      </c>
      <c r="V55" s="461">
        <v>1.4999999999999999E-2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>SUM(D65:O65)</f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>SUM(D66:O66)</f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363">
        <f>SUM(D67:O67)</f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 t="shared" ref="P71:P86" si="85">SUM(D71:O71)</f>
        <v>0</v>
      </c>
      <c r="Q71" s="1236" t="str">
        <f t="shared" ref="Q71:Q86" si="86">IF(P71=0,"-",P71/C71-1)</f>
        <v>-</v>
      </c>
    </row>
    <row r="72" spans="1:22" ht="16.5" customHeight="1">
      <c r="A72" s="368" t="s">
        <v>15</v>
      </c>
      <c r="B72" s="369">
        <f t="shared" ref="B72:C73" si="87">+B26-B49</f>
        <v>0</v>
      </c>
      <c r="C72" s="370">
        <f t="shared" si="87"/>
        <v>0</v>
      </c>
      <c r="D72" s="371">
        <f t="shared" ref="D72:O72" si="88">+D26-D49</f>
        <v>0</v>
      </c>
      <c r="E72" s="372">
        <f t="shared" si="88"/>
        <v>0</v>
      </c>
      <c r="F72" s="372">
        <f t="shared" si="88"/>
        <v>0</v>
      </c>
      <c r="G72" s="372">
        <f t="shared" si="88"/>
        <v>0</v>
      </c>
      <c r="H72" s="373">
        <f t="shared" si="88"/>
        <v>0</v>
      </c>
      <c r="I72" s="373">
        <f t="shared" si="88"/>
        <v>0</v>
      </c>
      <c r="J72" s="373">
        <f t="shared" si="88"/>
        <v>0</v>
      </c>
      <c r="K72" s="373">
        <f t="shared" si="88"/>
        <v>0</v>
      </c>
      <c r="L72" s="373">
        <f t="shared" si="88"/>
        <v>0</v>
      </c>
      <c r="M72" s="373">
        <f t="shared" si="88"/>
        <v>0</v>
      </c>
      <c r="N72" s="373">
        <f t="shared" si="88"/>
        <v>0</v>
      </c>
      <c r="O72" s="374">
        <f t="shared" si="88"/>
        <v>0</v>
      </c>
      <c r="P72" s="369">
        <f t="shared" si="85"/>
        <v>0</v>
      </c>
      <c r="Q72" s="1237" t="str">
        <f t="shared" si="86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7"/>
        <v>0</v>
      </c>
      <c r="C73" s="379">
        <f t="shared" si="87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5"/>
        <v>0</v>
      </c>
      <c r="Q73" s="1238" t="str">
        <f t="shared" si="86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5"/>
        <v>0</v>
      </c>
      <c r="Q74" s="1239" t="str">
        <f t="shared" si="86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5"/>
        <v>0</v>
      </c>
      <c r="Q75" s="1238" t="str">
        <f t="shared" si="86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5"/>
        <v>0</v>
      </c>
      <c r="Q76" s="1240" t="str">
        <f t="shared" si="86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 t="shared" si="85"/>
        <v>0</v>
      </c>
      <c r="Q77" s="1238" t="str">
        <f t="shared" si="86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5"/>
        <v>0</v>
      </c>
      <c r="Q78" s="1240" t="str">
        <f t="shared" si="86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5"/>
        <v>0</v>
      </c>
      <c r="Q79" s="1238" t="str">
        <f t="shared" si="86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5"/>
        <v>0</v>
      </c>
      <c r="Q80" s="1241" t="str">
        <f t="shared" si="86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5"/>
        <v>0</v>
      </c>
      <c r="Q81" s="1242" t="str">
        <f t="shared" si="86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5"/>
        <v>0</v>
      </c>
      <c r="Q82" s="1243" t="str">
        <f t="shared" si="86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5"/>
        <v>0</v>
      </c>
      <c r="Q83" s="1244" t="str">
        <f t="shared" si="86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5"/>
        <v>0</v>
      </c>
      <c r="Q84" s="1236" t="str">
        <f t="shared" si="86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5"/>
        <v>0</v>
      </c>
      <c r="Q85" s="1243" t="str">
        <f t="shared" si="86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5"/>
        <v>0</v>
      </c>
      <c r="Q86" s="1245" t="str">
        <f t="shared" si="86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>SUM(D88:O88)</f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>SUM(D89:O89)</f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>SUM(D90:O90)</f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643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Fiyat'!D149</f>
        <v>0</v>
      </c>
      <c r="E95" s="372">
        <f>E5*'Alış Fiyat'!E149</f>
        <v>0</v>
      </c>
      <c r="F95" s="372">
        <f>F5*'Alış Fiyat'!F149</f>
        <v>0</v>
      </c>
      <c r="G95" s="372">
        <f>G5*'Alış Fiyat'!G149</f>
        <v>0</v>
      </c>
      <c r="H95" s="373">
        <f>H5*'Alış Fiyat'!H149</f>
        <v>0</v>
      </c>
      <c r="I95" s="373">
        <f>I5*'Alış Fiyat'!I149</f>
        <v>0</v>
      </c>
      <c r="J95" s="373">
        <f>J5*'Alış Fiyat'!J149</f>
        <v>0</v>
      </c>
      <c r="K95" s="373">
        <f>K5*'Alış Fiyat'!K149</f>
        <v>0</v>
      </c>
      <c r="L95" s="373">
        <f>L5*'Alış Fiyat'!L149</f>
        <v>0</v>
      </c>
      <c r="M95" s="373">
        <f>M5*'Alış Fiyat'!M149</f>
        <v>0</v>
      </c>
      <c r="N95" s="373">
        <f>N5*'Alış Fiyat'!N149</f>
        <v>0</v>
      </c>
      <c r="O95" s="374">
        <f>O5*'Alış Fiyat'!O149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Fiyat'!D150</f>
        <v>0</v>
      </c>
      <c r="E96" s="381">
        <f>E6*'Alış Fiyat'!E150</f>
        <v>0</v>
      </c>
      <c r="F96" s="381">
        <f>F6*'Alış Fiyat'!F150</f>
        <v>0</v>
      </c>
      <c r="G96" s="381">
        <f>G6*'Alış Fiyat'!G150</f>
        <v>0</v>
      </c>
      <c r="H96" s="382">
        <f>H6*'Alış Fiyat'!H150</f>
        <v>0</v>
      </c>
      <c r="I96" s="382">
        <f>I6*'Alış Fiyat'!I150</f>
        <v>0</v>
      </c>
      <c r="J96" s="382">
        <f>J6*'Alış Fiyat'!J150</f>
        <v>0</v>
      </c>
      <c r="K96" s="382">
        <f>K6*'Alış Fiyat'!K150</f>
        <v>0</v>
      </c>
      <c r="L96" s="382">
        <f>L6*'Alış Fiyat'!L150</f>
        <v>0</v>
      </c>
      <c r="M96" s="382">
        <f>M6*'Alış Fiyat'!M150</f>
        <v>0</v>
      </c>
      <c r="N96" s="382">
        <f>N6*'Alış Fiyat'!N150</f>
        <v>0</v>
      </c>
      <c r="O96" s="383">
        <f>O6*'Alış Fiyat'!O150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Fiyat'!D152</f>
        <v>0</v>
      </c>
      <c r="E98" s="397">
        <f>E8*'Alış Fiyat'!E152</f>
        <v>0</v>
      </c>
      <c r="F98" s="397">
        <f>F8*'Alış Fiyat'!F152</f>
        <v>0</v>
      </c>
      <c r="G98" s="397">
        <f>G8*'Alış Fiyat'!G152</f>
        <v>0</v>
      </c>
      <c r="H98" s="397">
        <f>H8*'Alış Fiyat'!H152</f>
        <v>0</v>
      </c>
      <c r="I98" s="397">
        <f>I8*'Alış Fiyat'!I152</f>
        <v>0</v>
      </c>
      <c r="J98" s="397">
        <f>J8*'Alış Fiyat'!J152</f>
        <v>0</v>
      </c>
      <c r="K98" s="397">
        <f>K8*'Alış Fiyat'!K152</f>
        <v>0</v>
      </c>
      <c r="L98" s="397">
        <f>L8*'Alış Fiyat'!L152</f>
        <v>0</v>
      </c>
      <c r="M98" s="397">
        <f>M8*'Alış Fiyat'!M152</f>
        <v>0</v>
      </c>
      <c r="N98" s="397">
        <f>N8*'Alış Fiyat'!N152</f>
        <v>0</v>
      </c>
      <c r="O98" s="398">
        <f>O8*'Alış Fiyat'!O152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Fiyat'!D153</f>
        <v>0</v>
      </c>
      <c r="E99" s="389">
        <f>E9*'Alış Fiyat'!E153</f>
        <v>0</v>
      </c>
      <c r="F99" s="389">
        <f>F9*'Alış Fiyat'!F153</f>
        <v>0</v>
      </c>
      <c r="G99" s="389">
        <f>G9*'Alış Fiyat'!G153</f>
        <v>0</v>
      </c>
      <c r="H99" s="389">
        <f>H9*'Alış Fiyat'!H153</f>
        <v>0</v>
      </c>
      <c r="I99" s="389">
        <f>I9*'Alış Fiyat'!I153</f>
        <v>0</v>
      </c>
      <c r="J99" s="389">
        <f>J9*'Alış Fiyat'!J153</f>
        <v>0</v>
      </c>
      <c r="K99" s="389">
        <f>K9*'Alış Fiyat'!K153</f>
        <v>0</v>
      </c>
      <c r="L99" s="389">
        <f>L9*'Alış Fiyat'!L153</f>
        <v>0</v>
      </c>
      <c r="M99" s="389">
        <f>M9*'Alış Fiyat'!M153</f>
        <v>0</v>
      </c>
      <c r="N99" s="389">
        <f>N9*'Alış Fiyat'!N153</f>
        <v>0</v>
      </c>
      <c r="O99" s="390">
        <f>O9*'Alış Fiyat'!O153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Fiyat'!D154</f>
        <v>0</v>
      </c>
      <c r="E100" s="397">
        <f>E10*'Alış Fiyat'!E154</f>
        <v>0</v>
      </c>
      <c r="F100" s="397">
        <f>F10*'Alış Fiyat'!F154</f>
        <v>0</v>
      </c>
      <c r="G100" s="397">
        <f>G10*'Alış Fiyat'!G154</f>
        <v>0</v>
      </c>
      <c r="H100" s="397">
        <f>H10*'Alış Fiyat'!H154</f>
        <v>0</v>
      </c>
      <c r="I100" s="397">
        <f>I10*'Alış Fiyat'!I154</f>
        <v>0</v>
      </c>
      <c r="J100" s="397">
        <f>J10*'Alış Fiyat'!J154</f>
        <v>0</v>
      </c>
      <c r="K100" s="397">
        <f>K10*'Alış Fiyat'!K154</f>
        <v>0</v>
      </c>
      <c r="L100" s="397">
        <f>L10*'Alış Fiyat'!L154</f>
        <v>0</v>
      </c>
      <c r="M100" s="397">
        <f>M10*'Alış Fiyat'!M154</f>
        <v>0</v>
      </c>
      <c r="N100" s="397">
        <f>N10*'Alış Fiyat'!N154</f>
        <v>0</v>
      </c>
      <c r="O100" s="398">
        <f>O10*'Alış Fiyat'!O154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4"/>
      <c r="D101" s="402">
        <f>D11*'Alış Fiyat'!D155</f>
        <v>0</v>
      </c>
      <c r="E101" s="403">
        <f>E11*'Alış Fiyat'!E155</f>
        <v>0</v>
      </c>
      <c r="F101" s="403">
        <f>F11*'Alış Fiyat'!F155</f>
        <v>0</v>
      </c>
      <c r="G101" s="403">
        <f>G11*'Alış Fiyat'!G155</f>
        <v>0</v>
      </c>
      <c r="H101" s="403">
        <f>H11*'Alış Fiyat'!H155</f>
        <v>0</v>
      </c>
      <c r="I101" s="403">
        <f>I11*'Alış Fiyat'!I155</f>
        <v>0</v>
      </c>
      <c r="J101" s="403">
        <f>J11*'Alış Fiyat'!J155</f>
        <v>0</v>
      </c>
      <c r="K101" s="403">
        <f>K11*'Alış Fiyat'!K155</f>
        <v>0</v>
      </c>
      <c r="L101" s="403">
        <f>L11*'Alış Fiyat'!L155</f>
        <v>0</v>
      </c>
      <c r="M101" s="403">
        <f>M11*'Alış Fiyat'!M155</f>
        <v>0</v>
      </c>
      <c r="N101" s="403">
        <f>N11*'Alış Fiyat'!N155</f>
        <v>0</v>
      </c>
      <c r="O101" s="404">
        <f>O11*'Alış Fiyat'!O155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Fiyat'!D156</f>
        <v>0</v>
      </c>
      <c r="E102" s="382">
        <f>E12*'Alış Fiyat'!E156</f>
        <v>0</v>
      </c>
      <c r="F102" s="382">
        <f>F12*'Alış Fiyat'!F156</f>
        <v>0</v>
      </c>
      <c r="G102" s="382">
        <f>G12*'Alış Fiyat'!G156</f>
        <v>0</v>
      </c>
      <c r="H102" s="382">
        <f>H12*'Alış Fiyat'!H156</f>
        <v>0</v>
      </c>
      <c r="I102" s="381">
        <f>I12*'Alış Fiyat'!I156</f>
        <v>0</v>
      </c>
      <c r="J102" s="381">
        <f>J12*'Alış Fiyat'!J156</f>
        <v>0</v>
      </c>
      <c r="K102" s="382">
        <f>K12*'Alış Fiyat'!K156</f>
        <v>0</v>
      </c>
      <c r="L102" s="382">
        <f>L12*'Alış Fiyat'!L156</f>
        <v>0</v>
      </c>
      <c r="M102" s="382">
        <f>M12*'Alış Fiyat'!M156</f>
        <v>0</v>
      </c>
      <c r="N102" s="382">
        <f>N12*'Alış Fiyat'!N156</f>
        <v>0</v>
      </c>
      <c r="O102" s="383">
        <f>O12*'Alış Fiyat'!O156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Fiyat'!D159</f>
        <v>0</v>
      </c>
      <c r="E105" s="426">
        <f>E15*'Alış Fiyat'!E159</f>
        <v>0</v>
      </c>
      <c r="F105" s="426">
        <f>F15*'Alış Fiyat'!F159</f>
        <v>0</v>
      </c>
      <c r="G105" s="426">
        <f>G15*'Alış Fiyat'!G159</f>
        <v>0</v>
      </c>
      <c r="H105" s="426">
        <f>H15*'Alış Fiyat'!H159</f>
        <v>0</v>
      </c>
      <c r="I105" s="426">
        <f>I15*'Alış Fiyat'!I159</f>
        <v>0</v>
      </c>
      <c r="J105" s="426">
        <f>J15*'Alış Fiyat'!J159</f>
        <v>0</v>
      </c>
      <c r="K105" s="426">
        <f>K15*'Alış Fiyat'!K159</f>
        <v>0</v>
      </c>
      <c r="L105" s="426">
        <f>L15*'Alış Fiyat'!L159</f>
        <v>0</v>
      </c>
      <c r="M105" s="426">
        <f>M15*'Alış Fiyat'!M159</f>
        <v>0</v>
      </c>
      <c r="N105" s="426">
        <f>N15*'Alış Fiyat'!N159</f>
        <v>0</v>
      </c>
      <c r="O105" s="427">
        <f>O15*'Alış Fiyat'!O159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/>
      <c r="C106" s="432"/>
      <c r="D106" s="433">
        <f>D16*'Alış Fiyat'!D160</f>
        <v>0</v>
      </c>
      <c r="E106" s="434">
        <f>E16*'Alış Fiyat'!E160</f>
        <v>0</v>
      </c>
      <c r="F106" s="434">
        <f>F16*'Alış Fiyat'!F160</f>
        <v>0</v>
      </c>
      <c r="G106" s="434">
        <f>G16*'Alış Fiyat'!G160</f>
        <v>0</v>
      </c>
      <c r="H106" s="434">
        <f>H16*'Alış Fiyat'!H160</f>
        <v>0</v>
      </c>
      <c r="I106" s="434">
        <f>I16*'Alış Fiyat'!I160</f>
        <v>0</v>
      </c>
      <c r="J106" s="434">
        <f>J16*'Alış Fiyat'!J160</f>
        <v>0</v>
      </c>
      <c r="K106" s="434">
        <f>K16*'Alış Fiyat'!K160</f>
        <v>0</v>
      </c>
      <c r="L106" s="434">
        <f>L16*'Alış Fiyat'!L160</f>
        <v>0</v>
      </c>
      <c r="M106" s="434">
        <f>M16*'Alış Fiyat'!M160</f>
        <v>0</v>
      </c>
      <c r="N106" s="434">
        <f>N16*'Alış Fiyat'!N160</f>
        <v>0</v>
      </c>
      <c r="O106" s="435">
        <f>O16*'Alış Fiyat'!O160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420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2276"/>
      <c r="C108" s="2274">
        <f>B108/9*12</f>
        <v>0</v>
      </c>
      <c r="D108" s="425">
        <f>D18*'Alış Fiyat'!D162</f>
        <v>0</v>
      </c>
      <c r="E108" s="426">
        <f>E18*'Alış Fiyat'!E162</f>
        <v>0</v>
      </c>
      <c r="F108" s="426">
        <f>F18*'Alış Fiyat'!F162</f>
        <v>0</v>
      </c>
      <c r="G108" s="426">
        <f>G18*'Alış Fiyat'!G162</f>
        <v>0</v>
      </c>
      <c r="H108" s="426">
        <f>H18*'Alış Fiyat'!H162</f>
        <v>0</v>
      </c>
      <c r="I108" s="426">
        <f>I18*'Alış Fiyat'!I162</f>
        <v>0</v>
      </c>
      <c r="J108" s="426">
        <f>J18*'Alış Fiyat'!J162</f>
        <v>0</v>
      </c>
      <c r="K108" s="426">
        <f>K18*'Alış Fiyat'!K162</f>
        <v>0</v>
      </c>
      <c r="L108" s="426">
        <f>L18*'Alış Fiyat'!L162</f>
        <v>0</v>
      </c>
      <c r="M108" s="426">
        <f>M18*'Alış Fiyat'!M162</f>
        <v>0</v>
      </c>
      <c r="N108" s="426">
        <f>N18*'Alış Fiyat'!N162</f>
        <v>0</v>
      </c>
      <c r="O108" s="427">
        <f>O18*'Alış Fiyat'!O162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2275"/>
      <c r="C109" s="440">
        <f>B109/9*12</f>
        <v>0</v>
      </c>
      <c r="D109" s="441">
        <f>D19*'Alış Fiyat'!D163</f>
        <v>0</v>
      </c>
      <c r="E109" s="442">
        <f>E19*'Alış Fiyat'!E163</f>
        <v>0</v>
      </c>
      <c r="F109" s="442">
        <f>F19*'Alış Fiyat'!F163</f>
        <v>0</v>
      </c>
      <c r="G109" s="442">
        <f>G19*'Alış Fiyat'!G163</f>
        <v>0</v>
      </c>
      <c r="H109" s="442">
        <f>H19*'Alış Fiyat'!H163</f>
        <v>0</v>
      </c>
      <c r="I109" s="442">
        <f>I19*'Alış Fiyat'!I163</f>
        <v>0</v>
      </c>
      <c r="J109" s="442">
        <f>J19*'Alış Fiyat'!J163</f>
        <v>0</v>
      </c>
      <c r="K109" s="442">
        <f>K19*'Alış Fiyat'!K163</f>
        <v>0</v>
      </c>
      <c r="L109" s="442">
        <f>L19*'Alış Fiyat'!L163</f>
        <v>0</v>
      </c>
      <c r="M109" s="442">
        <f>M19*'Alış Fiyat'!M163</f>
        <v>0</v>
      </c>
      <c r="N109" s="442">
        <f>N19*'Alış Fiyat'!N163</f>
        <v>0</v>
      </c>
      <c r="O109" s="443">
        <f>O19*'Alış Fiyat'!O163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Fiyat'!D165</f>
        <v>0</v>
      </c>
      <c r="E111" s="366">
        <f>E21*'Alış Fiyat'!E165</f>
        <v>0</v>
      </c>
      <c r="F111" s="366">
        <f>F21*'Alış Fiyat'!F165</f>
        <v>0</v>
      </c>
      <c r="G111" s="366">
        <f>G21*'Alış Fiyat'!G165</f>
        <v>0</v>
      </c>
      <c r="H111" s="366">
        <f>H21*'Alış Fiyat'!H165</f>
        <v>0</v>
      </c>
      <c r="I111" s="366">
        <f>I21*'Alış Fiyat'!I165</f>
        <v>0</v>
      </c>
      <c r="J111" s="366">
        <f>J21*'Alış Fiyat'!J165</f>
        <v>0</v>
      </c>
      <c r="K111" s="366">
        <f>K21*'Alış Fiyat'!K165</f>
        <v>0</v>
      </c>
      <c r="L111" s="366">
        <f>L21*'Alış Fiyat'!L165</f>
        <v>0</v>
      </c>
      <c r="M111" s="366">
        <f>M21*'Alış Fiyat'!M165</f>
        <v>0</v>
      </c>
      <c r="N111" s="366">
        <f>N21*'Alış Fiyat'!N165</f>
        <v>0</v>
      </c>
      <c r="O111" s="448">
        <f>O21*'Alış Fiyat'!O165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 t="shared" si="127"/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 ht="15" customHeight="1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 t="shared" si="154"/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 t="shared" ref="D180:P180" si="161">D90-D179</f>
        <v>0</v>
      </c>
      <c r="E180" s="487">
        <f t="shared" si="161"/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634" t="e">
        <f t="shared" ref="B183:C183" si="166">B182/B180</f>
        <v>#DIV/0!</v>
      </c>
      <c r="C183" s="2243" t="e">
        <f t="shared" si="166"/>
        <v>#DIV/0!</v>
      </c>
      <c r="D183" s="634" t="e">
        <f t="shared" ref="D183:P183" si="167">D182/D180</f>
        <v>#DIV/0!</v>
      </c>
      <c r="E183" s="635" t="e">
        <f t="shared" si="167"/>
        <v>#DIV/0!</v>
      </c>
      <c r="F183" s="635" t="e">
        <f t="shared" si="167"/>
        <v>#DIV/0!</v>
      </c>
      <c r="G183" s="635" t="e">
        <f t="shared" si="167"/>
        <v>#DIV/0!</v>
      </c>
      <c r="H183" s="635" t="e">
        <f t="shared" si="167"/>
        <v>#DIV/0!</v>
      </c>
      <c r="I183" s="635" t="e">
        <f t="shared" si="167"/>
        <v>#DIV/0!</v>
      </c>
      <c r="J183" s="635" t="e">
        <f t="shared" si="167"/>
        <v>#DIV/0!</v>
      </c>
      <c r="K183" s="635" t="e">
        <f t="shared" si="167"/>
        <v>#DIV/0!</v>
      </c>
      <c r="L183" s="635" t="e">
        <f t="shared" si="167"/>
        <v>#DIV/0!</v>
      </c>
      <c r="M183" s="635" t="e">
        <f t="shared" si="167"/>
        <v>#DIV/0!</v>
      </c>
      <c r="N183" s="635" t="e">
        <f t="shared" si="167"/>
        <v>#DIV/0!</v>
      </c>
      <c r="O183" s="636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3" fitToHeight="0" orientation="landscape" r:id="rId1"/>
  <headerFooter alignWithMargins="0"/>
  <rowBreaks count="6" manualBreakCount="6">
    <brk id="22" max="16" man="1"/>
    <brk id="45" max="16" man="1"/>
    <brk id="68" max="16" man="1"/>
    <brk id="91" max="16" man="1"/>
    <brk id="137" max="16" man="1"/>
    <brk id="174" max="16" man="1"/>
  </rowBreaks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V187"/>
  <sheetViews>
    <sheetView zoomScale="85" zoomScaleNormal="85" workbookViewId="0">
      <selection activeCell="B5" sqref="B5"/>
    </sheetView>
  </sheetViews>
  <sheetFormatPr defaultColWidth="9.109375" defaultRowHeight="14.4"/>
  <cols>
    <col min="1" max="1" width="34.332031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705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M3'!C53/1000</f>
        <v>0</v>
      </c>
      <c r="E5" s="372">
        <f>+'SAHA AYLIK ÜRÜN M3'!D53/1000</f>
        <v>0</v>
      </c>
      <c r="F5" s="372">
        <f>+'SAHA AYLIK ÜRÜN M3'!E53/1000</f>
        <v>0</v>
      </c>
      <c r="G5" s="372">
        <f>+'SAHA AYLIK ÜRÜN M3'!F53/1000</f>
        <v>0</v>
      </c>
      <c r="H5" s="373">
        <f>+'SAHA AYLIK ÜRÜN M3'!G53/1000</f>
        <v>0</v>
      </c>
      <c r="I5" s="373">
        <f>+'SAHA AYLIK ÜRÜN M3'!H53/1000</f>
        <v>0</v>
      </c>
      <c r="J5" s="373">
        <f>+'SAHA AYLIK ÜRÜN M3'!I53/1000</f>
        <v>0</v>
      </c>
      <c r="K5" s="373">
        <f>+'SAHA AYLIK ÜRÜN M3'!J53/1000</f>
        <v>0</v>
      </c>
      <c r="L5" s="373">
        <f>+'SAHA AYLIK ÜRÜN M3'!K53/1000</f>
        <v>0</v>
      </c>
      <c r="M5" s="373">
        <f>+'SAHA AYLIK ÜRÜN M3'!L53/1000</f>
        <v>0</v>
      </c>
      <c r="N5" s="373">
        <f>+'SAHA AYLIK ÜRÜN M3'!M53/1000</f>
        <v>0</v>
      </c>
      <c r="O5" s="374">
        <f>+'SAHA AYLIK ÜRÜN M3'!N53/1000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1878">
        <f>+'SAHA AYLIK ÜRÜN M3'!C54</f>
        <v>0</v>
      </c>
      <c r="E8" s="1876">
        <f>+'SAHA AYLIK ÜRÜN M3'!D54</f>
        <v>0</v>
      </c>
      <c r="F8" s="1876">
        <f>+'SAHA AYLIK ÜRÜN M3'!E54</f>
        <v>0</v>
      </c>
      <c r="G8" s="1876">
        <f>+'SAHA AYLIK ÜRÜN M3'!F54</f>
        <v>0</v>
      </c>
      <c r="H8" s="1876">
        <f>+'SAHA AYLIK ÜRÜN M3'!G54</f>
        <v>0</v>
      </c>
      <c r="I8" s="1876">
        <f>+'SAHA AYLIK ÜRÜN M3'!H54</f>
        <v>0</v>
      </c>
      <c r="J8" s="1876">
        <f>+'SAHA AYLIK ÜRÜN M3'!I54</f>
        <v>0</v>
      </c>
      <c r="K8" s="1876">
        <f>+'SAHA AYLIK ÜRÜN M3'!J54</f>
        <v>0</v>
      </c>
      <c r="L8" s="1876">
        <f>+'SAHA AYLIK ÜRÜN M3'!K54</f>
        <v>0</v>
      </c>
      <c r="M8" s="1876">
        <f>+'SAHA AYLIK ÜRÜN M3'!L54</f>
        <v>0</v>
      </c>
      <c r="N8" s="1876">
        <f>+'SAHA AYLIK ÜRÜN M3'!M54</f>
        <v>0</v>
      </c>
      <c r="O8" s="1875">
        <f>+'SAHA AYLIK ÜRÜN M3'!N54</f>
        <v>0</v>
      </c>
      <c r="P8" s="1877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M3'!C51/1000</f>
        <v>0</v>
      </c>
      <c r="E9" s="403">
        <f>+'SAHA AYLIK ÜRÜN M3'!D51/1000</f>
        <v>0</v>
      </c>
      <c r="F9" s="403">
        <f>+'SAHA AYLIK ÜRÜN M3'!E51/1000</f>
        <v>0</v>
      </c>
      <c r="G9" s="403">
        <f>+'SAHA AYLIK ÜRÜN M3'!F51/1000</f>
        <v>0</v>
      </c>
      <c r="H9" s="403">
        <f>+'SAHA AYLIK ÜRÜN M3'!G51/1000</f>
        <v>0</v>
      </c>
      <c r="I9" s="403">
        <f>+'SAHA AYLIK ÜRÜN M3'!H51/1000</f>
        <v>0</v>
      </c>
      <c r="J9" s="403">
        <f>+'SAHA AYLIK ÜRÜN M3'!I51/1000</f>
        <v>0</v>
      </c>
      <c r="K9" s="403">
        <f>+'SAHA AYLIK ÜRÜN M3'!J51/1000</f>
        <v>0</v>
      </c>
      <c r="L9" s="403">
        <f>+'SAHA AYLIK ÜRÜN M3'!K51/1000</f>
        <v>0</v>
      </c>
      <c r="M9" s="403">
        <f>+'SAHA AYLIK ÜRÜN M3'!L51/1000</f>
        <v>0</v>
      </c>
      <c r="N9" s="403">
        <f>+'SAHA AYLIK ÜRÜN M3'!M51/1000</f>
        <v>0</v>
      </c>
      <c r="O9" s="404">
        <f>+'SAHA AYLIK ÜRÜN M3'!N51/1000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M3'!C52/1000</f>
        <v>0</v>
      </c>
      <c r="E11" s="403">
        <f>+'SAHA AYLIK ÜRÜN M3'!D52/1000</f>
        <v>0</v>
      </c>
      <c r="F11" s="403">
        <f>+'SAHA AYLIK ÜRÜN M3'!E52/1000</f>
        <v>0</v>
      </c>
      <c r="G11" s="403">
        <f>+'SAHA AYLIK ÜRÜN M3'!F52/1000</f>
        <v>0</v>
      </c>
      <c r="H11" s="403">
        <f>+'SAHA AYLIK ÜRÜN M3'!G52/1000</f>
        <v>0</v>
      </c>
      <c r="I11" s="403">
        <f>+'SAHA AYLIK ÜRÜN M3'!H52/1000</f>
        <v>0</v>
      </c>
      <c r="J11" s="403">
        <f>+'SAHA AYLIK ÜRÜN M3'!I52/1000</f>
        <v>0</v>
      </c>
      <c r="K11" s="403">
        <f>+'SAHA AYLIK ÜRÜN M3'!J52/1000</f>
        <v>0</v>
      </c>
      <c r="L11" s="403">
        <f>+'SAHA AYLIK ÜRÜN M3'!K52/1000</f>
        <v>0</v>
      </c>
      <c r="M11" s="403">
        <f>+'SAHA AYLIK ÜRÜN M3'!L52/1000</f>
        <v>0</v>
      </c>
      <c r="N11" s="403">
        <f>+'SAHA AYLIK ÜRÜN M3'!M52/1000</f>
        <v>0</v>
      </c>
      <c r="O11" s="404">
        <f>+'SAHA AYLIK ÜRÜN M3'!N52/1000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M3'!C55/1000</f>
        <v>0</v>
      </c>
      <c r="E16" s="434">
        <f>+'SAHA AYLIK ÜRÜN M3'!D55/1000</f>
        <v>0</v>
      </c>
      <c r="F16" s="434">
        <f>+'SAHA AYLIK ÜRÜN M3'!E55/1000</f>
        <v>0</v>
      </c>
      <c r="G16" s="434">
        <f>+'SAHA AYLIK ÜRÜN M3'!F55/1000</f>
        <v>0</v>
      </c>
      <c r="H16" s="434">
        <f>+'SAHA AYLIK ÜRÜN M3'!G55/1000</f>
        <v>0</v>
      </c>
      <c r="I16" s="434">
        <f>+'SAHA AYLIK ÜRÜN M3'!H55/1000</f>
        <v>0</v>
      </c>
      <c r="J16" s="434">
        <f>+'SAHA AYLIK ÜRÜN M3'!I55/1000</f>
        <v>0</v>
      </c>
      <c r="K16" s="434">
        <f>+'SAHA AYLIK ÜRÜN M3'!J55/1000</f>
        <v>0</v>
      </c>
      <c r="L16" s="434">
        <f>+'SAHA AYLIK ÜRÜN M3'!K55/1000</f>
        <v>0</v>
      </c>
      <c r="M16" s="434">
        <f>+'SAHA AYLIK ÜRÜN M3'!L55/1000</f>
        <v>0</v>
      </c>
      <c r="N16" s="434">
        <f>+'SAHA AYLIK ÜRÜN M3'!M55/1000</f>
        <v>0</v>
      </c>
      <c r="O16" s="435">
        <f>+'SAHA AYLIK ÜRÜN M3'!N55/1000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+M.Yağ_Adbulue!E11/1000</f>
        <v>0</v>
      </c>
      <c r="E18" s="426">
        <f>+M.Yağ_Adbulue!F11/1000</f>
        <v>0</v>
      </c>
      <c r="F18" s="426">
        <f>+M.Yağ_Adbulue!G11/1000</f>
        <v>0</v>
      </c>
      <c r="G18" s="426">
        <f>+M.Yağ_Adbulue!H11/1000</f>
        <v>0</v>
      </c>
      <c r="H18" s="426">
        <f>+M.Yağ_Adbulue!I11/1000</f>
        <v>0</v>
      </c>
      <c r="I18" s="426">
        <f>+M.Yağ_Adbulue!J11/1000</f>
        <v>0</v>
      </c>
      <c r="J18" s="426">
        <f>+M.Yağ_Adbulue!K11/1000</f>
        <v>0</v>
      </c>
      <c r="K18" s="426">
        <f>+M.Yağ_Adbulue!L11/1000</f>
        <v>0</v>
      </c>
      <c r="L18" s="426">
        <f>+M.Yağ_Adbulue!M11/1000</f>
        <v>0</v>
      </c>
      <c r="M18" s="426">
        <f>+M.Yağ_Adbulue!N11/1000</f>
        <v>0</v>
      </c>
      <c r="N18" s="426">
        <f>+M.Yağ_Adbulue!O11/1000</f>
        <v>0</v>
      </c>
      <c r="O18" s="427">
        <f>+M.Yağ_Adbulue!P11/1000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+M.Yağ_Adbulue!E29/1000</f>
        <v>0</v>
      </c>
      <c r="E19" s="442">
        <f>+M.Yağ_Adbulue!F29/1000</f>
        <v>0</v>
      </c>
      <c r="F19" s="442">
        <f>+M.Yağ_Adbulue!G29/1000</f>
        <v>0</v>
      </c>
      <c r="G19" s="442">
        <f>+M.Yağ_Adbulue!H29/1000</f>
        <v>0</v>
      </c>
      <c r="H19" s="442">
        <f>+M.Yağ_Adbulue!I29/1000</f>
        <v>0</v>
      </c>
      <c r="I19" s="442">
        <f>+M.Yağ_Adbulue!J29/1000</f>
        <v>0</v>
      </c>
      <c r="J19" s="442">
        <f>+M.Yağ_Adbulue!K29/1000</f>
        <v>0</v>
      </c>
      <c r="K19" s="442">
        <f>+M.Yağ_Adbulue!L29/1000</f>
        <v>0</v>
      </c>
      <c r="L19" s="442">
        <f>+M.Yağ_Adbulue!M29/1000</f>
        <v>0</v>
      </c>
      <c r="M19" s="442">
        <f>+M.Yağ_Adbulue!N29/1000</f>
        <v>0</v>
      </c>
      <c r="N19" s="442">
        <f>+M.Yağ_Adbulue!O29/1000</f>
        <v>0</v>
      </c>
      <c r="O19" s="443">
        <f>+M.Yağ_Adbulue!P29/1000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701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370">
        <f>B26/9*12</f>
        <v>0</v>
      </c>
      <c r="D26" s="371">
        <f>D5*'Satış Fiyat'!D173</f>
        <v>0</v>
      </c>
      <c r="E26" s="372">
        <f>E5*'Satış Fiyat'!E173</f>
        <v>0</v>
      </c>
      <c r="F26" s="372">
        <f>F5*'Satış Fiyat'!F173</f>
        <v>0</v>
      </c>
      <c r="G26" s="372">
        <f>G5*'Satış Fiyat'!G173</f>
        <v>0</v>
      </c>
      <c r="H26" s="373">
        <f>H5*'Satış Fiyat'!H173</f>
        <v>0</v>
      </c>
      <c r="I26" s="373">
        <f>I5*'Satış Fiyat'!I173</f>
        <v>0</v>
      </c>
      <c r="J26" s="373">
        <f>J5*'Satış Fiyat'!J173</f>
        <v>0</v>
      </c>
      <c r="K26" s="373">
        <f>K5*'Satış Fiyat'!K173</f>
        <v>0</v>
      </c>
      <c r="L26" s="373">
        <f>L5*'Satış Fiyat'!L173</f>
        <v>0</v>
      </c>
      <c r="M26" s="373">
        <f>M5*'Satış Fiyat'!M173</f>
        <v>0</v>
      </c>
      <c r="N26" s="373">
        <f>N5*'Satış Fiyat'!N173</f>
        <v>0</v>
      </c>
      <c r="O26" s="374">
        <f>O5*'Satış Fiyat'!O173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Fiyat'!D174</f>
        <v>0</v>
      </c>
      <c r="E27" s="381">
        <f>E6*'Satış Fiyat'!E174</f>
        <v>0</v>
      </c>
      <c r="F27" s="381">
        <f>F6*'Satış Fiyat'!F174</f>
        <v>0</v>
      </c>
      <c r="G27" s="381">
        <f>G6*'Satış Fiyat'!G174</f>
        <v>0</v>
      </c>
      <c r="H27" s="382">
        <f>H6*'Satış Fiyat'!H174</f>
        <v>0</v>
      </c>
      <c r="I27" s="382">
        <f>I6*'Satış Fiyat'!I174</f>
        <v>0</v>
      </c>
      <c r="J27" s="382">
        <f>J6*'Satış Fiyat'!J174</f>
        <v>0</v>
      </c>
      <c r="K27" s="382">
        <f>K6*'Satış Fiyat'!K174</f>
        <v>0</v>
      </c>
      <c r="L27" s="382">
        <f>L6*'Satış Fiyat'!L174</f>
        <v>0</v>
      </c>
      <c r="M27" s="382">
        <f>M6*'Satış Fiyat'!M174</f>
        <v>0</v>
      </c>
      <c r="N27" s="382">
        <f>N6*'Satış Fiyat'!N174</f>
        <v>0</v>
      </c>
      <c r="O27" s="383">
        <f>O6*'Satış Fiyat'!O174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Fiyat'!D176</f>
        <v>0</v>
      </c>
      <c r="E29" s="397">
        <f>E8*'Satış Fiyat'!E176</f>
        <v>0</v>
      </c>
      <c r="F29" s="397">
        <f>F8*'Satış Fiyat'!F176</f>
        <v>0</v>
      </c>
      <c r="G29" s="397">
        <f>G8*'Satış Fiyat'!G176</f>
        <v>0</v>
      </c>
      <c r="H29" s="397">
        <f>H8*'Satış Fiyat'!H176</f>
        <v>0</v>
      </c>
      <c r="I29" s="397">
        <f>I8*'Satış Fiyat'!I176</f>
        <v>0</v>
      </c>
      <c r="J29" s="397">
        <f>J8*'Satış Fiyat'!J176</f>
        <v>0</v>
      </c>
      <c r="K29" s="397">
        <f>K8*'Satış Fiyat'!K176</f>
        <v>0</v>
      </c>
      <c r="L29" s="397">
        <f>L8*'Satış Fiyat'!L176</f>
        <v>0</v>
      </c>
      <c r="M29" s="397">
        <f>M8*'Satış Fiyat'!M176</f>
        <v>0</v>
      </c>
      <c r="N29" s="397">
        <f>N8*'Satış Fiyat'!N176</f>
        <v>0</v>
      </c>
      <c r="O29" s="398">
        <f>O8*'Satış Fiyat'!O176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1">
        <f>B30/9*12</f>
        <v>0</v>
      </c>
      <c r="D30" s="388">
        <f>D9*'Satış Fiyat'!D177</f>
        <v>0</v>
      </c>
      <c r="E30" s="389">
        <f>E9*'Satış Fiyat'!E177</f>
        <v>0</v>
      </c>
      <c r="F30" s="389">
        <f>F9*'Satış Fiyat'!F177</f>
        <v>0</v>
      </c>
      <c r="G30" s="389">
        <f>G9*'Satış Fiyat'!G177</f>
        <v>0</v>
      </c>
      <c r="H30" s="389">
        <f>H9*'Satış Fiyat'!H177</f>
        <v>0</v>
      </c>
      <c r="I30" s="389">
        <f>I9*'Satış Fiyat'!I177</f>
        <v>0</v>
      </c>
      <c r="J30" s="389">
        <f>J9*'Satış Fiyat'!J177</f>
        <v>0</v>
      </c>
      <c r="K30" s="389">
        <f>K9*'Satış Fiyat'!K177</f>
        <v>0</v>
      </c>
      <c r="L30" s="389">
        <f>L9*'Satış Fiyat'!L177</f>
        <v>0</v>
      </c>
      <c r="M30" s="389">
        <f>M9*'Satış Fiyat'!M177</f>
        <v>0</v>
      </c>
      <c r="N30" s="389">
        <f>N9*'Satış Fiyat'!N177</f>
        <v>0</v>
      </c>
      <c r="O30" s="390">
        <f>O9*'Satış Fiyat'!O177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Fiyat'!D178</f>
        <v>0</v>
      </c>
      <c r="E31" s="397">
        <f>E10*'Satış Fiyat'!E178</f>
        <v>0</v>
      </c>
      <c r="F31" s="397">
        <f>F10*'Satış Fiyat'!F178</f>
        <v>0</v>
      </c>
      <c r="G31" s="397">
        <f>G10*'Satış Fiyat'!G178</f>
        <v>0</v>
      </c>
      <c r="H31" s="397">
        <f>H10*'Satış Fiyat'!H178</f>
        <v>0</v>
      </c>
      <c r="I31" s="397">
        <f>I10*'Satış Fiyat'!I178</f>
        <v>0</v>
      </c>
      <c r="J31" s="397">
        <f>J10*'Satış Fiyat'!J178</f>
        <v>0</v>
      </c>
      <c r="K31" s="397">
        <f>K10*'Satış Fiyat'!K178</f>
        <v>0</v>
      </c>
      <c r="L31" s="397">
        <f>L10*'Satış Fiyat'!L178</f>
        <v>0</v>
      </c>
      <c r="M31" s="397">
        <f>M10*'Satış Fiyat'!M178</f>
        <v>0</v>
      </c>
      <c r="N31" s="397">
        <f>N10*'Satış Fiyat'!N178</f>
        <v>0</v>
      </c>
      <c r="O31" s="398">
        <f>O10*'Satış Fiyat'!O178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9"/>
      <c r="D32" s="402">
        <f>D11*'Satış Fiyat'!D179</f>
        <v>0</v>
      </c>
      <c r="E32" s="403">
        <f>E11*'Satış Fiyat'!E179</f>
        <v>0</v>
      </c>
      <c r="F32" s="389">
        <f>F11*'Satış Fiyat'!F179</f>
        <v>0</v>
      </c>
      <c r="G32" s="403">
        <f>G11*'Satış Fiyat'!G179</f>
        <v>0</v>
      </c>
      <c r="H32" s="403">
        <f>H11*'Satış Fiyat'!H179</f>
        <v>0</v>
      </c>
      <c r="I32" s="403">
        <f>I11*'Satış Fiyat'!I179</f>
        <v>0</v>
      </c>
      <c r="J32" s="403">
        <f>J11*'Satış Fiyat'!J179</f>
        <v>0</v>
      </c>
      <c r="K32" s="403">
        <f>K11*'Satış Fiyat'!K179</f>
        <v>0</v>
      </c>
      <c r="L32" s="403">
        <f>L11*'Satış Fiyat'!L179</f>
        <v>0</v>
      </c>
      <c r="M32" s="403">
        <f>M11*'Satış Fiyat'!M179</f>
        <v>0</v>
      </c>
      <c r="N32" s="403">
        <f>N11*'Satış Fiyat'!N179</f>
        <v>0</v>
      </c>
      <c r="O32" s="404">
        <f>O11*'Satış Fiyat'!O179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Fiyat'!D180</f>
        <v>0</v>
      </c>
      <c r="E33" s="382">
        <f>E12*'Satış Fiyat'!E180</f>
        <v>0</v>
      </c>
      <c r="F33" s="382">
        <f>F12*'Satış Fiyat'!F180</f>
        <v>0</v>
      </c>
      <c r="G33" s="382">
        <f>G12*'Satış Fiyat'!G180</f>
        <v>0</v>
      </c>
      <c r="H33" s="382">
        <f>H12*'Satış Fiyat'!H180</f>
        <v>0</v>
      </c>
      <c r="I33" s="381">
        <f>I12*'Satış Fiyat'!I180</f>
        <v>0</v>
      </c>
      <c r="J33" s="381">
        <f>J12*'Satış Fiyat'!J180</f>
        <v>0</v>
      </c>
      <c r="K33" s="382">
        <f>K12*'Satış Fiyat'!K180</f>
        <v>0</v>
      </c>
      <c r="L33" s="382">
        <f>L12*'Satış Fiyat'!L180</f>
        <v>0</v>
      </c>
      <c r="M33" s="382">
        <f>M12*'Satış Fiyat'!M180</f>
        <v>0</v>
      </c>
      <c r="N33" s="382">
        <f>N12*'Satış Fiyat'!N180</f>
        <v>0</v>
      </c>
      <c r="O33" s="383">
        <f>O12*'Satış Fiyat'!O180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Fiyat'!D183</f>
        <v>0</v>
      </c>
      <c r="E36" s="426">
        <f>E15*'Satış Fiyat'!E183</f>
        <v>0</v>
      </c>
      <c r="F36" s="426">
        <f>F15*'Satış Fiyat'!F183</f>
        <v>0</v>
      </c>
      <c r="G36" s="426">
        <f>G15*'Satış Fiyat'!G183</f>
        <v>0</v>
      </c>
      <c r="H36" s="426">
        <f>H15*'Satış Fiyat'!H183</f>
        <v>0</v>
      </c>
      <c r="I36" s="426">
        <f>I15*'Satış Fiyat'!I183</f>
        <v>0</v>
      </c>
      <c r="J36" s="426">
        <f>J15*'Satış Fiyat'!J183</f>
        <v>0</v>
      </c>
      <c r="K36" s="426">
        <f>K15*'Satış Fiyat'!K183</f>
        <v>0</v>
      </c>
      <c r="L36" s="426">
        <f>L15*'Satış Fiyat'!L183</f>
        <v>0</v>
      </c>
      <c r="M36" s="426">
        <f>M15*'Satış Fiyat'!M183</f>
        <v>0</v>
      </c>
      <c r="N36" s="426">
        <f>N15*'Satış Fiyat'!N183</f>
        <v>0</v>
      </c>
      <c r="O36" s="427">
        <f>O15*'Satış Fiyat'!O183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Fiyat'!D184</f>
        <v>0</v>
      </c>
      <c r="E37" s="434">
        <f>E16*'Satış Fiyat'!E184</f>
        <v>0</v>
      </c>
      <c r="F37" s="434">
        <f>F16*'Satış Fiyat'!F184</f>
        <v>0</v>
      </c>
      <c r="G37" s="434">
        <f>G16*'Satış Fiyat'!G184</f>
        <v>0</v>
      </c>
      <c r="H37" s="434">
        <f>H16*'Satış Fiyat'!H184</f>
        <v>0</v>
      </c>
      <c r="I37" s="434">
        <f>I16*'Satış Fiyat'!I184</f>
        <v>0</v>
      </c>
      <c r="J37" s="434">
        <f>J16*'Satış Fiyat'!J184</f>
        <v>0</v>
      </c>
      <c r="K37" s="434">
        <f>K16*'Satış Fiyat'!K184</f>
        <v>0</v>
      </c>
      <c r="L37" s="434">
        <f>L16*'Satış Fiyat'!L184</f>
        <v>0</v>
      </c>
      <c r="M37" s="434">
        <f>M16*'Satış Fiyat'!M184</f>
        <v>0</v>
      </c>
      <c r="N37" s="434">
        <f>N16*'Satış Fiyat'!N184</f>
        <v>0</v>
      </c>
      <c r="O37" s="435">
        <f>O16*'Satış Fiyat'!O184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Fiyat'!D186</f>
        <v>0</v>
      </c>
      <c r="E39" s="426">
        <f>E18*'Satış Fiyat'!E186</f>
        <v>0</v>
      </c>
      <c r="F39" s="426">
        <f>F18*'Satış Fiyat'!F186</f>
        <v>0</v>
      </c>
      <c r="G39" s="426">
        <f>G18*'Satış Fiyat'!G186</f>
        <v>0</v>
      </c>
      <c r="H39" s="426">
        <f>H18*'Satış Fiyat'!H186</f>
        <v>0</v>
      </c>
      <c r="I39" s="426">
        <f>I18*'Satış Fiyat'!I186</f>
        <v>0</v>
      </c>
      <c r="J39" s="426">
        <f>J18*'Satış Fiyat'!J186</f>
        <v>0</v>
      </c>
      <c r="K39" s="426">
        <f>K18*'Satış Fiyat'!K186</f>
        <v>0</v>
      </c>
      <c r="L39" s="426">
        <f>L18*'Satış Fiyat'!L186</f>
        <v>0</v>
      </c>
      <c r="M39" s="426">
        <f>M18*'Satış Fiyat'!M186</f>
        <v>0</v>
      </c>
      <c r="N39" s="426">
        <f>N18*'Satış Fiyat'!N186</f>
        <v>0</v>
      </c>
      <c r="O39" s="427">
        <f>O18*'Satış Fiyat'!O186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Fiyat'!D187</f>
        <v>0</v>
      </c>
      <c r="E40" s="442">
        <f>E19*'Satış Fiyat'!E187</f>
        <v>0</v>
      </c>
      <c r="F40" s="442">
        <f>F19*'Satış Fiyat'!F187</f>
        <v>0</v>
      </c>
      <c r="G40" s="442">
        <f>G19*'Satış Fiyat'!G187</f>
        <v>0</v>
      </c>
      <c r="H40" s="442">
        <f>H19*'Satış Fiyat'!H187</f>
        <v>0</v>
      </c>
      <c r="I40" s="442">
        <f>I19*'Satış Fiyat'!I187</f>
        <v>0</v>
      </c>
      <c r="J40" s="442">
        <f>J19*'Satış Fiyat'!J187</f>
        <v>0</v>
      </c>
      <c r="K40" s="442">
        <f>K19*'Satış Fiyat'!K187</f>
        <v>0</v>
      </c>
      <c r="L40" s="442">
        <f>L19*'Satış Fiyat'!L187</f>
        <v>0</v>
      </c>
      <c r="M40" s="442">
        <f>M19*'Satış Fiyat'!M187</f>
        <v>0</v>
      </c>
      <c r="N40" s="442">
        <f>N19*'Satış Fiyat'!N187</f>
        <v>0</v>
      </c>
      <c r="O40" s="443">
        <f>O19*'Satış Fiyat'!O187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Fiyat'!D189</f>
        <v>0</v>
      </c>
      <c r="E42" s="366">
        <f>E21*'Satış Fiyat'!E189</f>
        <v>0</v>
      </c>
      <c r="F42" s="366">
        <f>F21*'Satış Fiyat'!F189</f>
        <v>0</v>
      </c>
      <c r="G42" s="366">
        <f>G21*'Satış Fiyat'!G189</f>
        <v>0</v>
      </c>
      <c r="H42" s="366">
        <f>H21*'Satış Fiyat'!H189</f>
        <v>0</v>
      </c>
      <c r="I42" s="366">
        <f>I21*'Satış Fiyat'!I189</f>
        <v>0</v>
      </c>
      <c r="J42" s="366">
        <f>J21*'Satış Fiyat'!J189</f>
        <v>0</v>
      </c>
      <c r="K42" s="366">
        <f>K21*'Satış Fiyat'!K189</f>
        <v>0</v>
      </c>
      <c r="L42" s="366">
        <f>L21*'Satış Fiyat'!L189</f>
        <v>0</v>
      </c>
      <c r="M42" s="366">
        <f>M21*'Satış Fiyat'!M189</f>
        <v>0</v>
      </c>
      <c r="N42" s="366">
        <f>N21*'Satış Fiyat'!N189</f>
        <v>0</v>
      </c>
      <c r="O42" s="448">
        <f>O21*'Satış Fiyat'!O189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711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370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1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7.4999999999999997E-3</v>
      </c>
      <c r="T53" s="461">
        <v>7.4999999999999997E-3</v>
      </c>
      <c r="U53" s="461">
        <v>7.4999999999999997E-3</v>
      </c>
      <c r="V53" s="461">
        <v>7.4999999999999997E-3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7.4999999999999997E-3</v>
      </c>
      <c r="T54" s="461">
        <v>7.4999999999999997E-3</v>
      </c>
      <c r="U54" s="461">
        <v>7.4999999999999997E-3</v>
      </c>
      <c r="V54" s="461">
        <v>7.4999999999999997E-3</v>
      </c>
    </row>
    <row r="55" spans="1:22" ht="16.5" customHeight="1">
      <c r="A55" s="400" t="s">
        <v>83</v>
      </c>
      <c r="B55" s="408"/>
      <c r="C55" s="409"/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7.4999999999999997E-3</v>
      </c>
      <c r="T55" s="461">
        <v>7.4999999999999997E-3</v>
      </c>
      <c r="U55" s="461">
        <v>7.4999999999999997E-3</v>
      </c>
      <c r="V55" s="461">
        <v>7.4999999999999997E-3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363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706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369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707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370">
        <f>B95/9*12</f>
        <v>0</v>
      </c>
      <c r="D95" s="371">
        <f>D5*'Alış Fiyat'!D173</f>
        <v>0</v>
      </c>
      <c r="E95" s="372">
        <f>E5*'Alış Fiyat'!E173</f>
        <v>0</v>
      </c>
      <c r="F95" s="372">
        <f>F5*'Alış Fiyat'!F173</f>
        <v>0</v>
      </c>
      <c r="G95" s="372">
        <f>G5*'Alış Fiyat'!G173</f>
        <v>0</v>
      </c>
      <c r="H95" s="373">
        <f>H5*'Alış Fiyat'!H173</f>
        <v>0</v>
      </c>
      <c r="I95" s="373">
        <f>I5*'Alış Fiyat'!I173</f>
        <v>0</v>
      </c>
      <c r="J95" s="373">
        <f>J5*'Alış Fiyat'!J173</f>
        <v>0</v>
      </c>
      <c r="K95" s="373">
        <f>K5*'Alış Fiyat'!K173</f>
        <v>0</v>
      </c>
      <c r="L95" s="373">
        <f>L5*'Alış Fiyat'!L173</f>
        <v>0</v>
      </c>
      <c r="M95" s="373">
        <f>M5*'Alış Fiyat'!M173</f>
        <v>0</v>
      </c>
      <c r="N95" s="373">
        <f>N5*'Alış Fiyat'!N173</f>
        <v>0</v>
      </c>
      <c r="O95" s="374">
        <f>O5*'Alış Fiyat'!O173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Fiyat'!D174</f>
        <v>0</v>
      </c>
      <c r="E96" s="381">
        <f>E6*'Alış Fiyat'!E174</f>
        <v>0</v>
      </c>
      <c r="F96" s="381">
        <f>F6*'Alış Fiyat'!F174</f>
        <v>0</v>
      </c>
      <c r="G96" s="381">
        <f>G6*'Alış Fiyat'!G174</f>
        <v>0</v>
      </c>
      <c r="H96" s="382">
        <f>H6*'Alış Fiyat'!H174</f>
        <v>0</v>
      </c>
      <c r="I96" s="382">
        <f>I6*'Alış Fiyat'!I174</f>
        <v>0</v>
      </c>
      <c r="J96" s="382">
        <f>J6*'Alış Fiyat'!J174</f>
        <v>0</v>
      </c>
      <c r="K96" s="382">
        <f>K6*'Alış Fiyat'!K174</f>
        <v>0</v>
      </c>
      <c r="L96" s="382">
        <f>L6*'Alış Fiyat'!L174</f>
        <v>0</v>
      </c>
      <c r="M96" s="382">
        <f>M6*'Alış Fiyat'!M174</f>
        <v>0</v>
      </c>
      <c r="N96" s="382">
        <f>N6*'Alış Fiyat'!N174</f>
        <v>0</v>
      </c>
      <c r="O96" s="383">
        <f>O6*'Alış Fiyat'!O174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Fiyat'!D176</f>
        <v>0</v>
      </c>
      <c r="E98" s="397">
        <f>E8*'Alış Fiyat'!E176</f>
        <v>0</v>
      </c>
      <c r="F98" s="397">
        <f>F8*'Alış Fiyat'!F176</f>
        <v>0</v>
      </c>
      <c r="G98" s="397">
        <f>G8*'Alış Fiyat'!G176</f>
        <v>0</v>
      </c>
      <c r="H98" s="397">
        <f>H8*'Alış Fiyat'!H176</f>
        <v>0</v>
      </c>
      <c r="I98" s="397">
        <f>I8*'Alış Fiyat'!I176</f>
        <v>0</v>
      </c>
      <c r="J98" s="397">
        <f>J8*'Alış Fiyat'!J176</f>
        <v>0</v>
      </c>
      <c r="K98" s="397">
        <f>K8*'Alış Fiyat'!K176</f>
        <v>0</v>
      </c>
      <c r="L98" s="397">
        <f>L8*'Alış Fiyat'!L176</f>
        <v>0</v>
      </c>
      <c r="M98" s="397">
        <f>M8*'Alış Fiyat'!M176</f>
        <v>0</v>
      </c>
      <c r="N98" s="397">
        <f>N8*'Alış Fiyat'!N176</f>
        <v>0</v>
      </c>
      <c r="O98" s="398">
        <f>O8*'Alış Fiyat'!O176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1">
        <f>B99/9*12</f>
        <v>0</v>
      </c>
      <c r="D99" s="1563">
        <f>D9*'Alış Fiyat'!D177</f>
        <v>0</v>
      </c>
      <c r="E99" s="1560">
        <f>E9*'Alış Fiyat'!E177</f>
        <v>0</v>
      </c>
      <c r="F99" s="1560">
        <f>F9*'Alış Fiyat'!F177</f>
        <v>0</v>
      </c>
      <c r="G99" s="1560">
        <f>G9*'Alış Fiyat'!G177</f>
        <v>0</v>
      </c>
      <c r="H99" s="1560">
        <f>H9*'Alış Fiyat'!H177</f>
        <v>0</v>
      </c>
      <c r="I99" s="1560">
        <f>I9*'Alış Fiyat'!I177</f>
        <v>0</v>
      </c>
      <c r="J99" s="1560">
        <f>J9*'Alış Fiyat'!J177</f>
        <v>0</v>
      </c>
      <c r="K99" s="1560">
        <f>K9*'Alış Fiyat'!K177</f>
        <v>0</v>
      </c>
      <c r="L99" s="1560">
        <f>L9*'Alış Fiyat'!L177</f>
        <v>0</v>
      </c>
      <c r="M99" s="1560">
        <f>M9*'Alış Fiyat'!M177</f>
        <v>0</v>
      </c>
      <c r="N99" s="1560">
        <f>N9*'Alış Fiyat'!N177</f>
        <v>0</v>
      </c>
      <c r="O99" s="387">
        <f>O9*'Alış Fiyat'!O177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Fiyat'!D178</f>
        <v>0</v>
      </c>
      <c r="E100" s="397">
        <f>E10*'Alış Fiyat'!E178</f>
        <v>0</v>
      </c>
      <c r="F100" s="397">
        <f>F10*'Alış Fiyat'!F178</f>
        <v>0</v>
      </c>
      <c r="G100" s="397">
        <f>G10*'Alış Fiyat'!G178</f>
        <v>0</v>
      </c>
      <c r="H100" s="397">
        <f>H10*'Alış Fiyat'!H178</f>
        <v>0</v>
      </c>
      <c r="I100" s="397">
        <f>I10*'Alış Fiyat'!I178</f>
        <v>0</v>
      </c>
      <c r="J100" s="397">
        <f>J10*'Alış Fiyat'!J178</f>
        <v>0</v>
      </c>
      <c r="K100" s="397">
        <f>K10*'Alış Fiyat'!K178</f>
        <v>0</v>
      </c>
      <c r="L100" s="397">
        <f>L10*'Alış Fiyat'!L178</f>
        <v>0</v>
      </c>
      <c r="M100" s="397">
        <f>M10*'Alış Fiyat'!M178</f>
        <v>0</v>
      </c>
      <c r="N100" s="397">
        <f>N10*'Alış Fiyat'!N178</f>
        <v>0</v>
      </c>
      <c r="O100" s="398">
        <f>O10*'Alış Fiyat'!O178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9"/>
      <c r="D101" s="402">
        <f>D11*'Alış Fiyat'!D179</f>
        <v>0</v>
      </c>
      <c r="E101" s="403">
        <f>E11*'Alış Fiyat'!E179</f>
        <v>0</v>
      </c>
      <c r="F101" s="403">
        <f>F11*'Alış Fiyat'!F179</f>
        <v>0</v>
      </c>
      <c r="G101" s="403">
        <f>G11*'Alış Fiyat'!G179</f>
        <v>0</v>
      </c>
      <c r="H101" s="403">
        <f>H11*'Alış Fiyat'!H179</f>
        <v>0</v>
      </c>
      <c r="I101" s="403">
        <f>I11*'Alış Fiyat'!I179</f>
        <v>0</v>
      </c>
      <c r="J101" s="403">
        <f>J11*'Alış Fiyat'!J179</f>
        <v>0</v>
      </c>
      <c r="K101" s="403">
        <f>K11*'Alış Fiyat'!K179</f>
        <v>0</v>
      </c>
      <c r="L101" s="403">
        <f>L11*'Alış Fiyat'!L179</f>
        <v>0</v>
      </c>
      <c r="M101" s="403">
        <f>M11*'Alış Fiyat'!M179</f>
        <v>0</v>
      </c>
      <c r="N101" s="403">
        <f>N11*'Alış Fiyat'!N179</f>
        <v>0</v>
      </c>
      <c r="O101" s="404">
        <f>O11*'Alış Fiyat'!O179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Fiyat'!D180</f>
        <v>0</v>
      </c>
      <c r="E102" s="382">
        <f>E12*'Alış Fiyat'!E180</f>
        <v>0</v>
      </c>
      <c r="F102" s="382">
        <f>F12*'Alış Fiyat'!F180</f>
        <v>0</v>
      </c>
      <c r="G102" s="382">
        <f>G12*'Alış Fiyat'!G180</f>
        <v>0</v>
      </c>
      <c r="H102" s="382">
        <f>H12*'Alış Fiyat'!H180</f>
        <v>0</v>
      </c>
      <c r="I102" s="381">
        <f>I12*'Alış Fiyat'!I180</f>
        <v>0</v>
      </c>
      <c r="J102" s="381">
        <f>J12*'Alış Fiyat'!J180</f>
        <v>0</v>
      </c>
      <c r="K102" s="382">
        <f>K12*'Alış Fiyat'!K180</f>
        <v>0</v>
      </c>
      <c r="L102" s="382">
        <f>L12*'Alış Fiyat'!L180</f>
        <v>0</v>
      </c>
      <c r="M102" s="382">
        <f>M12*'Alış Fiyat'!M180</f>
        <v>0</v>
      </c>
      <c r="N102" s="382">
        <f>N12*'Alış Fiyat'!N180</f>
        <v>0</v>
      </c>
      <c r="O102" s="383">
        <f>O12*'Alış Fiyat'!O180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Fiyat'!D183</f>
        <v>0</v>
      </c>
      <c r="E105" s="426">
        <f>E15*'Alış Fiyat'!E183</f>
        <v>0</v>
      </c>
      <c r="F105" s="426">
        <f>F15*'Alış Fiyat'!F183</f>
        <v>0</v>
      </c>
      <c r="G105" s="426">
        <f>G15*'Alış Fiyat'!G183</f>
        <v>0</v>
      </c>
      <c r="H105" s="426">
        <f>H15*'Alış Fiyat'!H183</f>
        <v>0</v>
      </c>
      <c r="I105" s="426">
        <f>I15*'Alış Fiyat'!I183</f>
        <v>0</v>
      </c>
      <c r="J105" s="426">
        <f>J15*'Alış Fiyat'!J183</f>
        <v>0</v>
      </c>
      <c r="K105" s="426">
        <f>K15*'Alış Fiyat'!K183</f>
        <v>0</v>
      </c>
      <c r="L105" s="426">
        <f>L15*'Alış Fiyat'!L183</f>
        <v>0</v>
      </c>
      <c r="M105" s="426">
        <f>M15*'Alış Fiyat'!M183</f>
        <v>0</v>
      </c>
      <c r="N105" s="426">
        <f>N15*'Alış Fiyat'!N183</f>
        <v>0</v>
      </c>
      <c r="O105" s="427">
        <f>O15*'Alış Fiyat'!O183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Fiyat'!D184</f>
        <v>0</v>
      </c>
      <c r="E106" s="434">
        <f>E16*'Alış Fiyat'!E184</f>
        <v>0</v>
      </c>
      <c r="F106" s="434">
        <f>F16*'Alış Fiyat'!F184</f>
        <v>0</v>
      </c>
      <c r="G106" s="434">
        <f>G16*'Alış Fiyat'!G184</f>
        <v>0</v>
      </c>
      <c r="H106" s="434">
        <f>H16*'Alış Fiyat'!H184</f>
        <v>0</v>
      </c>
      <c r="I106" s="434">
        <f>I16*'Alış Fiyat'!I184</f>
        <v>0</v>
      </c>
      <c r="J106" s="434">
        <f>J16*'Alış Fiyat'!J184</f>
        <v>0</v>
      </c>
      <c r="K106" s="434">
        <f>K16*'Alış Fiyat'!K184</f>
        <v>0</v>
      </c>
      <c r="L106" s="434">
        <f>L16*'Alış Fiyat'!L184</f>
        <v>0</v>
      </c>
      <c r="M106" s="434">
        <f>M16*'Alış Fiyat'!M184</f>
        <v>0</v>
      </c>
      <c r="N106" s="434">
        <f>N16*'Alış Fiyat'!N184</f>
        <v>0</v>
      </c>
      <c r="O106" s="435">
        <f>O16*'Alış Fiyat'!O184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Fiyat'!D186</f>
        <v>0</v>
      </c>
      <c r="E108" s="426">
        <f>E18*'Alış Fiyat'!E186</f>
        <v>0</v>
      </c>
      <c r="F108" s="426">
        <f>F18*'Alış Fiyat'!F186</f>
        <v>0</v>
      </c>
      <c r="G108" s="426">
        <f>G18*'Alış Fiyat'!G186</f>
        <v>0</v>
      </c>
      <c r="H108" s="426">
        <f>H18*'Alış Fiyat'!H186</f>
        <v>0</v>
      </c>
      <c r="I108" s="426">
        <f>I18*'Alış Fiyat'!I186</f>
        <v>0</v>
      </c>
      <c r="J108" s="426">
        <f>J18*'Alış Fiyat'!J186</f>
        <v>0</v>
      </c>
      <c r="K108" s="426">
        <f>K18*'Alış Fiyat'!K186</f>
        <v>0</v>
      </c>
      <c r="L108" s="426">
        <f>L18*'Alış Fiyat'!L186</f>
        <v>0</v>
      </c>
      <c r="M108" s="426">
        <f>M18*'Alış Fiyat'!M186</f>
        <v>0</v>
      </c>
      <c r="N108" s="426">
        <f>N18*'Alış Fiyat'!N186</f>
        <v>0</v>
      </c>
      <c r="O108" s="427">
        <f>O18*'Alış Fiyat'!O186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Fiyat'!D187</f>
        <v>0</v>
      </c>
      <c r="E109" s="442">
        <f>E19*'Alış Fiyat'!E187</f>
        <v>0</v>
      </c>
      <c r="F109" s="442">
        <f>F19*'Alış Fiyat'!F187</f>
        <v>0</v>
      </c>
      <c r="G109" s="442">
        <f>G19*'Alış Fiyat'!G187</f>
        <v>0</v>
      </c>
      <c r="H109" s="442">
        <f>H19*'Alış Fiyat'!H187</f>
        <v>0</v>
      </c>
      <c r="I109" s="442">
        <f>I19*'Alış Fiyat'!I187</f>
        <v>0</v>
      </c>
      <c r="J109" s="442">
        <f>J19*'Alış Fiyat'!J187</f>
        <v>0</v>
      </c>
      <c r="K109" s="442">
        <f>K19*'Alış Fiyat'!K187</f>
        <v>0</v>
      </c>
      <c r="L109" s="442">
        <f>L19*'Alış Fiyat'!L187</f>
        <v>0</v>
      </c>
      <c r="M109" s="442">
        <f>M19*'Alış Fiyat'!M187</f>
        <v>0</v>
      </c>
      <c r="N109" s="442">
        <f>N19*'Alış Fiyat'!N187</f>
        <v>0</v>
      </c>
      <c r="O109" s="443">
        <f>O19*'Alış Fiyat'!O187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Fiyat'!D189</f>
        <v>0</v>
      </c>
      <c r="E111" s="366">
        <f>E21*'Alış Fiyat'!E189</f>
        <v>0</v>
      </c>
      <c r="F111" s="366">
        <f>F21*'Alış Fiyat'!F189</f>
        <v>0</v>
      </c>
      <c r="G111" s="366">
        <f>G21*'Alış Fiyat'!G189</f>
        <v>0</v>
      </c>
      <c r="H111" s="366">
        <f>H21*'Alış Fiyat'!H189</f>
        <v>0</v>
      </c>
      <c r="I111" s="366">
        <f>I21*'Alış Fiyat'!I189</f>
        <v>0</v>
      </c>
      <c r="J111" s="366">
        <f>J21*'Alış Fiyat'!J189</f>
        <v>0</v>
      </c>
      <c r="K111" s="366">
        <f>K21*'Alış Fiyat'!K189</f>
        <v>0</v>
      </c>
      <c r="L111" s="366">
        <f>L21*'Alış Fiyat'!L189</f>
        <v>0</v>
      </c>
      <c r="M111" s="366">
        <f>M21*'Alış Fiyat'!M189</f>
        <v>0</v>
      </c>
      <c r="N111" s="366">
        <f>N21*'Alış Fiyat'!N189</f>
        <v>0</v>
      </c>
      <c r="O111" s="448">
        <f>O21*'Alış Fiyat'!O189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708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709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 ht="15" customHeight="1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>SUM(D172:O172)</f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710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 t="shared" ref="D180:P180" si="161">D90-D179</f>
        <v>0</v>
      </c>
      <c r="E180" s="487">
        <f t="shared" si="161"/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518" t="e">
        <f t="shared" ref="B183:C183" si="166">B182/B180</f>
        <v>#DIV/0!</v>
      </c>
      <c r="C183" s="1424" t="e">
        <f t="shared" si="166"/>
        <v>#DIV/0!</v>
      </c>
      <c r="D183" s="518" t="e">
        <f t="shared" ref="D183:P183" si="167">D182/D180</f>
        <v>#DIV/0!</v>
      </c>
      <c r="E183" s="519" t="e">
        <f t="shared" si="167"/>
        <v>#DIV/0!</v>
      </c>
      <c r="F183" s="519" t="e">
        <f t="shared" si="167"/>
        <v>#DIV/0!</v>
      </c>
      <c r="G183" s="519" t="e">
        <f t="shared" si="167"/>
        <v>#DIV/0!</v>
      </c>
      <c r="H183" s="519" t="e">
        <f t="shared" si="167"/>
        <v>#DIV/0!</v>
      </c>
      <c r="I183" s="519" t="e">
        <f t="shared" si="167"/>
        <v>#DIV/0!</v>
      </c>
      <c r="J183" s="519" t="e">
        <f t="shared" si="167"/>
        <v>#DIV/0!</v>
      </c>
      <c r="K183" s="519" t="e">
        <f t="shared" si="167"/>
        <v>#DIV/0!</v>
      </c>
      <c r="L183" s="519" t="e">
        <f t="shared" si="167"/>
        <v>#DIV/0!</v>
      </c>
      <c r="M183" s="519" t="e">
        <f t="shared" si="167"/>
        <v>#DIV/0!</v>
      </c>
      <c r="N183" s="519" t="e">
        <f t="shared" si="167"/>
        <v>#DIV/0!</v>
      </c>
      <c r="O183" s="520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542" t="e">
        <f t="shared" ref="B187:C187" si="173">B186/B180</f>
        <v>#DIV/0!</v>
      </c>
      <c r="C187" s="1427" t="e">
        <f t="shared" si="173"/>
        <v>#DIV/0!</v>
      </c>
      <c r="D187" s="542" t="e">
        <f t="shared" ref="D187:P187" si="174">D186/D180</f>
        <v>#DIV/0!</v>
      </c>
      <c r="E187" s="543" t="e">
        <f t="shared" si="174"/>
        <v>#DIV/0!</v>
      </c>
      <c r="F187" s="543" t="e">
        <f t="shared" si="174"/>
        <v>#DIV/0!</v>
      </c>
      <c r="G187" s="543" t="e">
        <f t="shared" si="174"/>
        <v>#DIV/0!</v>
      </c>
      <c r="H187" s="543" t="e">
        <f t="shared" si="174"/>
        <v>#DIV/0!</v>
      </c>
      <c r="I187" s="543" t="e">
        <f t="shared" si="174"/>
        <v>#DIV/0!</v>
      </c>
      <c r="J187" s="543" t="e">
        <f t="shared" si="174"/>
        <v>#DIV/0!</v>
      </c>
      <c r="K187" s="543" t="e">
        <f t="shared" si="174"/>
        <v>#DIV/0!</v>
      </c>
      <c r="L187" s="543" t="e">
        <f t="shared" si="174"/>
        <v>#DIV/0!</v>
      </c>
      <c r="M187" s="543" t="e">
        <f t="shared" si="174"/>
        <v>#DIV/0!</v>
      </c>
      <c r="N187" s="543" t="e">
        <f t="shared" si="174"/>
        <v>#DIV/0!</v>
      </c>
      <c r="O187" s="544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3" fitToHeight="0" orientation="landscape" r:id="rId1"/>
  <headerFooter alignWithMargins="0"/>
  <rowBreaks count="6" manualBreakCount="6">
    <brk id="22" max="16" man="1"/>
    <brk id="45" max="16" man="1"/>
    <brk id="68" max="16" man="1"/>
    <brk id="91" max="16" man="1"/>
    <brk id="137" max="16" man="1"/>
    <brk id="174" max="16" man="1"/>
  </rowBreaks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V187"/>
  <sheetViews>
    <sheetView zoomScale="85" zoomScaleNormal="85" workbookViewId="0">
      <selection activeCell="B21" sqref="B21"/>
    </sheetView>
  </sheetViews>
  <sheetFormatPr defaultColWidth="9.109375" defaultRowHeight="14.4"/>
  <cols>
    <col min="1" max="1" width="36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7" width="9.109375" style="352"/>
    <col min="18" max="18" width="9.6640625" style="352" customWidth="1"/>
    <col min="19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M3'!C65/1000</f>
        <v>0</v>
      </c>
      <c r="E5" s="372">
        <f>+'SAHA AYLIK ÜRÜN M3'!D65/1000</f>
        <v>0</v>
      </c>
      <c r="F5" s="372">
        <f>+'SAHA AYLIK ÜRÜN M3'!E65/1000</f>
        <v>0</v>
      </c>
      <c r="G5" s="372">
        <f>+'SAHA AYLIK ÜRÜN M3'!F65/1000</f>
        <v>0</v>
      </c>
      <c r="H5" s="373">
        <f>+'SAHA AYLIK ÜRÜN M3'!G65/1000</f>
        <v>0</v>
      </c>
      <c r="I5" s="373">
        <f>+'SAHA AYLIK ÜRÜN M3'!H65/1000</f>
        <v>0</v>
      </c>
      <c r="J5" s="373">
        <f>+'SAHA AYLIK ÜRÜN M3'!I65/1000</f>
        <v>0</v>
      </c>
      <c r="K5" s="373">
        <f>+'SAHA AYLIK ÜRÜN M3'!J65/1000</f>
        <v>0</v>
      </c>
      <c r="L5" s="373">
        <f>+'SAHA AYLIK ÜRÜN M3'!K65/1000</f>
        <v>0</v>
      </c>
      <c r="M5" s="373">
        <f>+'SAHA AYLIK ÜRÜN M3'!L65/1000</f>
        <v>0</v>
      </c>
      <c r="N5" s="373">
        <f>+'SAHA AYLIK ÜRÜN M3'!M65/1000</f>
        <v>0</v>
      </c>
      <c r="O5" s="374">
        <f>+'SAHA AYLIK ÜRÜN M3'!N65/1000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1269" t="s">
        <v>17</v>
      </c>
      <c r="B8" s="1448">
        <v>0</v>
      </c>
      <c r="C8" s="1459">
        <v>0</v>
      </c>
      <c r="D8" s="396">
        <f>+'SAHA AYLIK ÜRÜN M3'!C66/1000</f>
        <v>0</v>
      </c>
      <c r="E8" s="397">
        <f>+'SAHA AYLIK ÜRÜN M3'!D66/1000</f>
        <v>0</v>
      </c>
      <c r="F8" s="397">
        <f>+'SAHA AYLIK ÜRÜN M3'!E66/1000</f>
        <v>0</v>
      </c>
      <c r="G8" s="397">
        <f>+'SAHA AYLIK ÜRÜN M3'!F66/1000</f>
        <v>0</v>
      </c>
      <c r="H8" s="397">
        <f>+'SAHA AYLIK ÜRÜN M3'!G66/1000</f>
        <v>0</v>
      </c>
      <c r="I8" s="397">
        <f>+'SAHA AYLIK ÜRÜN M3'!H66/1000</f>
        <v>0</v>
      </c>
      <c r="J8" s="397">
        <f>+'SAHA AYLIK ÜRÜN M3'!I66/1000</f>
        <v>0</v>
      </c>
      <c r="K8" s="397">
        <f>+'SAHA AYLIK ÜRÜN M3'!J66/1000</f>
        <v>0</v>
      </c>
      <c r="L8" s="397">
        <f>+'SAHA AYLIK ÜRÜN M3'!K66/1000</f>
        <v>0</v>
      </c>
      <c r="M8" s="397">
        <f>+'SAHA AYLIK ÜRÜN M3'!L66/1000</f>
        <v>0</v>
      </c>
      <c r="N8" s="397">
        <f>+'SAHA AYLIK ÜRÜN M3'!M66/1000</f>
        <v>0</v>
      </c>
      <c r="O8" s="398">
        <f>+'SAHA AYLIK ÜRÜN M3'!N66/1000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M3'!C63/1000</f>
        <v>0</v>
      </c>
      <c r="E9" s="403">
        <f>+'SAHA AYLIK ÜRÜN M3'!D63/1000</f>
        <v>0</v>
      </c>
      <c r="F9" s="403">
        <f>+'SAHA AYLIK ÜRÜN M3'!E63/1000</f>
        <v>0</v>
      </c>
      <c r="G9" s="403">
        <f>+'SAHA AYLIK ÜRÜN M3'!F63/1000</f>
        <v>0</v>
      </c>
      <c r="H9" s="403">
        <f>+'SAHA AYLIK ÜRÜN M3'!G63/1000</f>
        <v>0</v>
      </c>
      <c r="I9" s="403">
        <f>+'SAHA AYLIK ÜRÜN M3'!H63/1000</f>
        <v>0</v>
      </c>
      <c r="J9" s="403">
        <f>+'SAHA AYLIK ÜRÜN M3'!I63/1000</f>
        <v>0</v>
      </c>
      <c r="K9" s="403">
        <f>+'SAHA AYLIK ÜRÜN M3'!J63/1000</f>
        <v>0</v>
      </c>
      <c r="L9" s="403">
        <f>+'SAHA AYLIK ÜRÜN M3'!K63/1000</f>
        <v>0</v>
      </c>
      <c r="M9" s="403">
        <f>+'SAHA AYLIK ÜRÜN M3'!L63/1000</f>
        <v>0</v>
      </c>
      <c r="N9" s="403">
        <f>+'SAHA AYLIK ÜRÜN M3'!M63/1000</f>
        <v>0</v>
      </c>
      <c r="O9" s="404">
        <f>+'SAHA AYLIK ÜRÜN M3'!N63/1000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M3'!C64/1000</f>
        <v>0</v>
      </c>
      <c r="E11" s="403">
        <f>+'SAHA AYLIK ÜRÜN M3'!D64/1000</f>
        <v>0</v>
      </c>
      <c r="F11" s="403">
        <f>+'SAHA AYLIK ÜRÜN M3'!E64/1000</f>
        <v>0</v>
      </c>
      <c r="G11" s="403">
        <f>+'SAHA AYLIK ÜRÜN M3'!F64/1000</f>
        <v>0</v>
      </c>
      <c r="H11" s="403">
        <f>+'SAHA AYLIK ÜRÜN M3'!G64/1000</f>
        <v>0</v>
      </c>
      <c r="I11" s="403">
        <f>+'SAHA AYLIK ÜRÜN M3'!H64/1000</f>
        <v>0</v>
      </c>
      <c r="J11" s="403">
        <f>+'SAHA AYLIK ÜRÜN M3'!I64/1000</f>
        <v>0</v>
      </c>
      <c r="K11" s="403">
        <f>+'SAHA AYLIK ÜRÜN M3'!J64/1000</f>
        <v>0</v>
      </c>
      <c r="L11" s="403">
        <f>+'SAHA AYLIK ÜRÜN M3'!K64/1000</f>
        <v>0</v>
      </c>
      <c r="M11" s="403">
        <f>+'SAHA AYLIK ÜRÜN M3'!L64/1000</f>
        <v>0</v>
      </c>
      <c r="N11" s="403">
        <f>+'SAHA AYLIK ÜRÜN M3'!M64/1000</f>
        <v>0</v>
      </c>
      <c r="O11" s="404">
        <f>+'SAHA AYLIK ÜRÜN M3'!N64/1000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M3'!C67/1000</f>
        <v>0</v>
      </c>
      <c r="E16" s="434">
        <f>+'SAHA AYLIK ÜRÜN M3'!D67/1000</f>
        <v>0</v>
      </c>
      <c r="F16" s="434">
        <f>+'SAHA AYLIK ÜRÜN M3'!E67/1000</f>
        <v>0</v>
      </c>
      <c r="G16" s="434">
        <f>+'SAHA AYLIK ÜRÜN M3'!F67/1000</f>
        <v>0</v>
      </c>
      <c r="H16" s="434">
        <f>+'SAHA AYLIK ÜRÜN M3'!G67/1000</f>
        <v>0</v>
      </c>
      <c r="I16" s="434">
        <f>+'SAHA AYLIK ÜRÜN M3'!H67/1000</f>
        <v>0</v>
      </c>
      <c r="J16" s="434">
        <f>+'SAHA AYLIK ÜRÜN M3'!I67/1000</f>
        <v>0</v>
      </c>
      <c r="K16" s="434">
        <f>+'SAHA AYLIK ÜRÜN M3'!J67/1000</f>
        <v>0</v>
      </c>
      <c r="L16" s="434">
        <f>+'SAHA AYLIK ÜRÜN M3'!K67/1000</f>
        <v>0</v>
      </c>
      <c r="M16" s="434">
        <f>+'SAHA AYLIK ÜRÜN M3'!L67/1000</f>
        <v>0</v>
      </c>
      <c r="N16" s="434">
        <f>+'SAHA AYLIK ÜRÜN M3'!M67/1000</f>
        <v>0</v>
      </c>
      <c r="O16" s="435">
        <f>+'SAHA AYLIK ÜRÜN M3'!N67/1000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+M.Yağ_Adbulue!E13/1000</f>
        <v>0</v>
      </c>
      <c r="E18" s="426">
        <f>+M.Yağ_Adbulue!F13/1000</f>
        <v>0</v>
      </c>
      <c r="F18" s="426">
        <f>+M.Yağ_Adbulue!G13/1000</f>
        <v>0</v>
      </c>
      <c r="G18" s="426">
        <f>+M.Yağ_Adbulue!H13/1000</f>
        <v>0</v>
      </c>
      <c r="H18" s="426">
        <f>+M.Yağ_Adbulue!I13/1000</f>
        <v>0</v>
      </c>
      <c r="I18" s="426">
        <f>+M.Yağ_Adbulue!J13/1000</f>
        <v>0</v>
      </c>
      <c r="J18" s="426">
        <f>+M.Yağ_Adbulue!K13/1000</f>
        <v>0</v>
      </c>
      <c r="K18" s="426">
        <f>+M.Yağ_Adbulue!L13/1000</f>
        <v>0</v>
      </c>
      <c r="L18" s="426">
        <f>+M.Yağ_Adbulue!M13/1000</f>
        <v>0</v>
      </c>
      <c r="M18" s="426">
        <f>+M.Yağ_Adbulue!N13/1000</f>
        <v>0</v>
      </c>
      <c r="N18" s="426">
        <f>+M.Yağ_Adbulue!O13/1000</f>
        <v>0</v>
      </c>
      <c r="O18" s="427">
        <f>+M.Yağ_Adbulue!P13/1000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+M.Yağ_Adbulue!E31/1000</f>
        <v>0</v>
      </c>
      <c r="E19" s="442">
        <f>+M.Yağ_Adbulue!F31/1000</f>
        <v>0</v>
      </c>
      <c r="F19" s="442">
        <f>+M.Yağ_Adbulue!G31/1000</f>
        <v>0</v>
      </c>
      <c r="G19" s="442">
        <f>+M.Yağ_Adbulue!H31/1000</f>
        <v>0</v>
      </c>
      <c r="H19" s="442">
        <f>+M.Yağ_Adbulue!I31/1000</f>
        <v>0</v>
      </c>
      <c r="I19" s="442">
        <f>+M.Yağ_Adbulue!J31/1000</f>
        <v>0</v>
      </c>
      <c r="J19" s="442">
        <f>+M.Yağ_Adbulue!K31/1000</f>
        <v>0</v>
      </c>
      <c r="K19" s="442">
        <f>+M.Yağ_Adbulue!L31/1000</f>
        <v>0</v>
      </c>
      <c r="L19" s="442">
        <f>+M.Yağ_Adbulue!M31/1000</f>
        <v>0</v>
      </c>
      <c r="M19" s="442">
        <f>+M.Yağ_Adbulue!N31/1000</f>
        <v>0</v>
      </c>
      <c r="N19" s="442">
        <f>+M.Yağ_Adbulue!O31/1000</f>
        <v>0</v>
      </c>
      <c r="O19" s="443">
        <f>+M.Yağ_Adbulue!P31/1000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Fiyat'!D221</f>
        <v>0</v>
      </c>
      <c r="E26" s="372">
        <f>E5*'Satış Fiyat'!E221</f>
        <v>0</v>
      </c>
      <c r="F26" s="372">
        <f>F5*'Satış Fiyat'!F221</f>
        <v>0</v>
      </c>
      <c r="G26" s="372">
        <f>G5*'Satış Fiyat'!G221</f>
        <v>0</v>
      </c>
      <c r="H26" s="373">
        <f>H5*'Satış Fiyat'!H221</f>
        <v>0</v>
      </c>
      <c r="I26" s="373">
        <f>I5*'Satış Fiyat'!I221</f>
        <v>0</v>
      </c>
      <c r="J26" s="373">
        <f>J5*'Satış Fiyat'!J221</f>
        <v>0</v>
      </c>
      <c r="K26" s="373">
        <f>K5*'Satış Fiyat'!K221</f>
        <v>0</v>
      </c>
      <c r="L26" s="373">
        <f>L5*'Satış Fiyat'!L221</f>
        <v>0</v>
      </c>
      <c r="M26" s="373">
        <f>M5*'Satış Fiyat'!M221</f>
        <v>0</v>
      </c>
      <c r="N26" s="373">
        <f>N5*'Satış Fiyat'!N221</f>
        <v>0</v>
      </c>
      <c r="O26" s="374">
        <f>O5*'Satış Fiyat'!O221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Fiyat'!D222</f>
        <v>0</v>
      </c>
      <c r="E27" s="381">
        <f>E6*'Satış Fiyat'!E222</f>
        <v>0</v>
      </c>
      <c r="F27" s="381">
        <f>F6*'Satış Fiyat'!F222</f>
        <v>0</v>
      </c>
      <c r="G27" s="381">
        <f>G6*'Satış Fiyat'!G222</f>
        <v>0</v>
      </c>
      <c r="H27" s="382">
        <f>H6*'Satış Fiyat'!H222</f>
        <v>0</v>
      </c>
      <c r="I27" s="382">
        <f>I6*'Satış Fiyat'!I222</f>
        <v>0</v>
      </c>
      <c r="J27" s="382">
        <f>J6*'Satış Fiyat'!J222</f>
        <v>0</v>
      </c>
      <c r="K27" s="382">
        <f>K6*'Satış Fiyat'!K222</f>
        <v>0</v>
      </c>
      <c r="L27" s="382">
        <f>L6*'Satış Fiyat'!L222</f>
        <v>0</v>
      </c>
      <c r="M27" s="382">
        <f>M6*'Satış Fiyat'!M222</f>
        <v>0</v>
      </c>
      <c r="N27" s="382">
        <f>N6*'Satış Fiyat'!N222</f>
        <v>0</v>
      </c>
      <c r="O27" s="383">
        <f>O6*'Satış Fiyat'!O222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Fiyat'!D224</f>
        <v>0</v>
      </c>
      <c r="E29" s="397">
        <f>E8*'Satış Fiyat'!E224</f>
        <v>0</v>
      </c>
      <c r="F29" s="397">
        <f>F8*'Satış Fiyat'!F224</f>
        <v>0</v>
      </c>
      <c r="G29" s="397">
        <f>G8*'Satış Fiyat'!G224</f>
        <v>0</v>
      </c>
      <c r="H29" s="397">
        <f>H8*'Satış Fiyat'!H224</f>
        <v>0</v>
      </c>
      <c r="I29" s="397">
        <f>I8*'Satış Fiyat'!I224</f>
        <v>0</v>
      </c>
      <c r="J29" s="397">
        <f>J8*'Satış Fiyat'!J224</f>
        <v>0</v>
      </c>
      <c r="K29" s="397">
        <f>K8*'Satış Fiyat'!K224</f>
        <v>0</v>
      </c>
      <c r="L29" s="397">
        <f>L8*'Satış Fiyat'!L224</f>
        <v>0</v>
      </c>
      <c r="M29" s="397">
        <f>M8*'Satış Fiyat'!M224</f>
        <v>0</v>
      </c>
      <c r="N29" s="397">
        <f>N8*'Satış Fiyat'!N224</f>
        <v>0</v>
      </c>
      <c r="O29" s="398">
        <f>O8*'Satış Fiyat'!O224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Fiyat'!D225</f>
        <v>0</v>
      </c>
      <c r="E30" s="389">
        <f>E9*'Satış Fiyat'!E225</f>
        <v>0</v>
      </c>
      <c r="F30" s="389">
        <f>F9*'Satış Fiyat'!F225</f>
        <v>0</v>
      </c>
      <c r="G30" s="389">
        <f>G9*'Satış Fiyat'!G225</f>
        <v>0</v>
      </c>
      <c r="H30" s="389">
        <f>H9*'Satış Fiyat'!H225</f>
        <v>0</v>
      </c>
      <c r="I30" s="389">
        <f>I9*'Satış Fiyat'!I225</f>
        <v>0</v>
      </c>
      <c r="J30" s="389">
        <f>J9*'Satış Fiyat'!J225</f>
        <v>0</v>
      </c>
      <c r="K30" s="389">
        <f>K9*'Satış Fiyat'!K225</f>
        <v>0</v>
      </c>
      <c r="L30" s="389">
        <f>L9*'Satış Fiyat'!L225</f>
        <v>0</v>
      </c>
      <c r="M30" s="389">
        <f>M9*'Satış Fiyat'!M225</f>
        <v>0</v>
      </c>
      <c r="N30" s="389">
        <f>N9*'Satış Fiyat'!N225</f>
        <v>0</v>
      </c>
      <c r="O30" s="390">
        <f>O9*'Satış Fiyat'!O225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Fiyat'!D226</f>
        <v>0</v>
      </c>
      <c r="E31" s="397">
        <f>E10*'Satış Fiyat'!E226</f>
        <v>0</v>
      </c>
      <c r="F31" s="397">
        <f>F10*'Satış Fiyat'!F226</f>
        <v>0</v>
      </c>
      <c r="G31" s="397">
        <f>G10*'Satış Fiyat'!G226</f>
        <v>0</v>
      </c>
      <c r="H31" s="397">
        <f>H10*'Satış Fiyat'!H226</f>
        <v>0</v>
      </c>
      <c r="I31" s="397">
        <f>I10*'Satış Fiyat'!I226</f>
        <v>0</v>
      </c>
      <c r="J31" s="397">
        <f>J10*'Satış Fiyat'!J226</f>
        <v>0</v>
      </c>
      <c r="K31" s="397">
        <f>K10*'Satış Fiyat'!K226</f>
        <v>0</v>
      </c>
      <c r="L31" s="397">
        <f>L10*'Satış Fiyat'!L226</f>
        <v>0</v>
      </c>
      <c r="M31" s="397">
        <f>M10*'Satış Fiyat'!M226</f>
        <v>0</v>
      </c>
      <c r="N31" s="397">
        <f>N10*'Satış Fiyat'!N226</f>
        <v>0</v>
      </c>
      <c r="O31" s="398">
        <f>O10*'Satış Fiyat'!O226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9"/>
      <c r="D32" s="402">
        <f>D11*'Satış Fiyat'!D227</f>
        <v>0</v>
      </c>
      <c r="E32" s="403">
        <f>E11*'Satış Fiyat'!E227</f>
        <v>0</v>
      </c>
      <c r="F32" s="389">
        <f>F11*'Satış Fiyat'!F227</f>
        <v>0</v>
      </c>
      <c r="G32" s="403">
        <f>G11*'Satış Fiyat'!G227</f>
        <v>0</v>
      </c>
      <c r="H32" s="403">
        <f>H11*'Satış Fiyat'!H227</f>
        <v>0</v>
      </c>
      <c r="I32" s="403">
        <f>I11*'Satış Fiyat'!I227</f>
        <v>0</v>
      </c>
      <c r="J32" s="403">
        <f>J11*'Satış Fiyat'!J227</f>
        <v>0</v>
      </c>
      <c r="K32" s="403">
        <f>K11*'Satış Fiyat'!K227</f>
        <v>0</v>
      </c>
      <c r="L32" s="403">
        <f>L11*'Satış Fiyat'!L227</f>
        <v>0</v>
      </c>
      <c r="M32" s="403">
        <f>M11*'Satış Fiyat'!M227</f>
        <v>0</v>
      </c>
      <c r="N32" s="403">
        <f>N11*'Satış Fiyat'!N227</f>
        <v>0</v>
      </c>
      <c r="O32" s="404">
        <f>O11*'Satış Fiyat'!O227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Fiyat'!D228</f>
        <v>0</v>
      </c>
      <c r="E33" s="382">
        <f>E12*'Satış Fiyat'!E228</f>
        <v>0</v>
      </c>
      <c r="F33" s="382">
        <f>F12*'Satış Fiyat'!F228</f>
        <v>0</v>
      </c>
      <c r="G33" s="382">
        <f>G12*'Satış Fiyat'!G228</f>
        <v>0</v>
      </c>
      <c r="H33" s="382">
        <f>H12*'Satış Fiyat'!H228</f>
        <v>0</v>
      </c>
      <c r="I33" s="381">
        <f>I12*'Satış Fiyat'!I228</f>
        <v>0</v>
      </c>
      <c r="J33" s="381">
        <f>J12*'Satış Fiyat'!J228</f>
        <v>0</v>
      </c>
      <c r="K33" s="382">
        <f>K12*'Satış Fiyat'!K228</f>
        <v>0</v>
      </c>
      <c r="L33" s="382">
        <f>L12*'Satış Fiyat'!L228</f>
        <v>0</v>
      </c>
      <c r="M33" s="382">
        <f>M12*'Satış Fiyat'!M228</f>
        <v>0</v>
      </c>
      <c r="N33" s="382">
        <f>N12*'Satış Fiyat'!N228</f>
        <v>0</v>
      </c>
      <c r="O33" s="383">
        <f>O12*'Satış Fiyat'!O228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Fiyat'!D231</f>
        <v>0</v>
      </c>
      <c r="E36" s="426">
        <f>E15*'Satış Fiyat'!E231</f>
        <v>0</v>
      </c>
      <c r="F36" s="426">
        <f>F15*'Satış Fiyat'!F231</f>
        <v>0</v>
      </c>
      <c r="G36" s="426">
        <f>G15*'Satış Fiyat'!G231</f>
        <v>0</v>
      </c>
      <c r="H36" s="426">
        <f>H15*'Satış Fiyat'!H231</f>
        <v>0</v>
      </c>
      <c r="I36" s="426">
        <f>I15*'Satış Fiyat'!I231</f>
        <v>0</v>
      </c>
      <c r="J36" s="426">
        <f>J15*'Satış Fiyat'!J231</f>
        <v>0</v>
      </c>
      <c r="K36" s="426">
        <f>K15*'Satış Fiyat'!K231</f>
        <v>0</v>
      </c>
      <c r="L36" s="426">
        <f>L15*'Satış Fiyat'!L231</f>
        <v>0</v>
      </c>
      <c r="M36" s="426">
        <f>M15*'Satış Fiyat'!M231</f>
        <v>0</v>
      </c>
      <c r="N36" s="426">
        <f>N15*'Satış Fiyat'!N231</f>
        <v>0</v>
      </c>
      <c r="O36" s="427">
        <f>O15*'Satış Fiyat'!O231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Fiyat'!D232</f>
        <v>0</v>
      </c>
      <c r="E37" s="434">
        <f>E16*'Satış Fiyat'!E232</f>
        <v>0</v>
      </c>
      <c r="F37" s="434">
        <f>F16*'Satış Fiyat'!F232</f>
        <v>0</v>
      </c>
      <c r="G37" s="434">
        <f>G16*'Satış Fiyat'!G232</f>
        <v>0</v>
      </c>
      <c r="H37" s="434">
        <f>H16*'Satış Fiyat'!H232</f>
        <v>0</v>
      </c>
      <c r="I37" s="434">
        <f>I16*'Satış Fiyat'!I232</f>
        <v>0</v>
      </c>
      <c r="J37" s="434">
        <f>J16*'Satış Fiyat'!J232</f>
        <v>0</v>
      </c>
      <c r="K37" s="434">
        <f>K16*'Satış Fiyat'!K232</f>
        <v>0</v>
      </c>
      <c r="L37" s="434">
        <f>L16*'Satış Fiyat'!L232</f>
        <v>0</v>
      </c>
      <c r="M37" s="434">
        <f>M16*'Satış Fiyat'!M232</f>
        <v>0</v>
      </c>
      <c r="N37" s="434">
        <f>N16*'Satış Fiyat'!N232</f>
        <v>0</v>
      </c>
      <c r="O37" s="435">
        <f>O16*'Satış Fiyat'!O232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2096">
        <f>B39/9*12</f>
        <v>0</v>
      </c>
      <c r="D39" s="425">
        <f>D18*'Satış Fiyat'!D234</f>
        <v>0</v>
      </c>
      <c r="E39" s="426">
        <f>E18*'Satış Fiyat'!E234</f>
        <v>0</v>
      </c>
      <c r="F39" s="426">
        <f>F18*'Satış Fiyat'!F234</f>
        <v>0</v>
      </c>
      <c r="G39" s="426">
        <f>G18*'Satış Fiyat'!G234</f>
        <v>0</v>
      </c>
      <c r="H39" s="426">
        <f>H18*'Satış Fiyat'!H234</f>
        <v>0</v>
      </c>
      <c r="I39" s="426">
        <f>I18*'Satış Fiyat'!I234</f>
        <v>0</v>
      </c>
      <c r="J39" s="426">
        <f>J18*'Satış Fiyat'!J234</f>
        <v>0</v>
      </c>
      <c r="K39" s="426">
        <f>K18*'Satış Fiyat'!K234</f>
        <v>0</v>
      </c>
      <c r="L39" s="426">
        <f>L18*'Satış Fiyat'!L234</f>
        <v>0</v>
      </c>
      <c r="M39" s="426">
        <f>M18*'Satış Fiyat'!M234</f>
        <v>0</v>
      </c>
      <c r="N39" s="426">
        <f>N18*'Satış Fiyat'!N234</f>
        <v>0</v>
      </c>
      <c r="O39" s="427">
        <f>O18*'Satış Fiyat'!O234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Fiyat'!D235</f>
        <v>0</v>
      </c>
      <c r="E40" s="442">
        <f>E19*'Satış Fiyat'!E235</f>
        <v>0</v>
      </c>
      <c r="F40" s="442">
        <f>F19*'Satış Fiyat'!F235</f>
        <v>0</v>
      </c>
      <c r="G40" s="442">
        <f>G19*'Satış Fiyat'!G235</f>
        <v>0</v>
      </c>
      <c r="H40" s="442">
        <f>H19*'Satış Fiyat'!H235</f>
        <v>0</v>
      </c>
      <c r="I40" s="442">
        <f>I19*'Satış Fiyat'!I235</f>
        <v>0</v>
      </c>
      <c r="J40" s="442">
        <f>J19*'Satış Fiyat'!J235</f>
        <v>0</v>
      </c>
      <c r="K40" s="442">
        <f>K19*'Satış Fiyat'!K235</f>
        <v>0</v>
      </c>
      <c r="L40" s="442">
        <f>L19*'Satış Fiyat'!L235</f>
        <v>0</v>
      </c>
      <c r="M40" s="442">
        <f>M19*'Satış Fiyat'!M235</f>
        <v>0</v>
      </c>
      <c r="N40" s="442">
        <f>N19*'Satış Fiyat'!N235</f>
        <v>0</v>
      </c>
      <c r="O40" s="443">
        <f>O19*'Satış Fiyat'!O235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Fiyat'!D237</f>
        <v>0</v>
      </c>
      <c r="E42" s="366">
        <f>E21*'Satış Fiyat'!E237</f>
        <v>0</v>
      </c>
      <c r="F42" s="366">
        <f>F21*'Satış Fiyat'!F237</f>
        <v>0</v>
      </c>
      <c r="G42" s="366">
        <f>G21*'Satış Fiyat'!G237</f>
        <v>0</v>
      </c>
      <c r="H42" s="366">
        <f>H21*'Satış Fiyat'!H237</f>
        <v>0</v>
      </c>
      <c r="I42" s="366">
        <f>I21*'Satış Fiyat'!I237</f>
        <v>0</v>
      </c>
      <c r="J42" s="366">
        <f>J21*'Satış Fiyat'!J237</f>
        <v>0</v>
      </c>
      <c r="K42" s="366">
        <f>K21*'Satış Fiyat'!K237</f>
        <v>0</v>
      </c>
      <c r="L42" s="366">
        <f>L21*'Satış Fiyat'!L237</f>
        <v>0</v>
      </c>
      <c r="M42" s="366">
        <f>M21*'Satış Fiyat'!M237</f>
        <v>0</v>
      </c>
      <c r="N42" s="366">
        <f>N21*'Satış Fiyat'!N237</f>
        <v>0</v>
      </c>
      <c r="O42" s="448">
        <f>O21*'Satış Fiyat'!O237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0.02</v>
      </c>
      <c r="T53" s="461">
        <v>0.02</v>
      </c>
      <c r="U53" s="461">
        <v>0.02</v>
      </c>
      <c r="V53" s="461">
        <v>0.02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0.02</v>
      </c>
      <c r="T54" s="461">
        <v>0.02</v>
      </c>
      <c r="U54" s="461">
        <v>0.02</v>
      </c>
      <c r="V54" s="461">
        <v>0.02</v>
      </c>
    </row>
    <row r="55" spans="1:22" ht="16.5" customHeight="1">
      <c r="A55" s="400" t="s">
        <v>83</v>
      </c>
      <c r="B55" s="408"/>
      <c r="C55" s="409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0.02</v>
      </c>
      <c r="T55" s="461">
        <v>0.02</v>
      </c>
      <c r="U55" s="461">
        <v>0.02</v>
      </c>
      <c r="V55" s="461">
        <v>0.02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1422">
        <f>+$S$60*D37</f>
        <v>0</v>
      </c>
      <c r="E60" s="1421">
        <f t="shared" ref="E60:F60" si="60">+$S$60*E37</f>
        <v>0</v>
      </c>
      <c r="F60" s="1421">
        <f t="shared" si="60"/>
        <v>0</v>
      </c>
      <c r="G60" s="1421">
        <f>+$T$60*G37</f>
        <v>0</v>
      </c>
      <c r="H60" s="1421">
        <f t="shared" ref="H60" si="61">+$T$60*H37</f>
        <v>0</v>
      </c>
      <c r="I60" s="1421">
        <f>+$T$60*I37</f>
        <v>0</v>
      </c>
      <c r="J60" s="1421">
        <f>+$U$60*J37</f>
        <v>0</v>
      </c>
      <c r="K60" s="1421">
        <f t="shared" ref="K60" si="62">+$U$60*K37</f>
        <v>0</v>
      </c>
      <c r="L60" s="1421">
        <f>+$U$60*L37</f>
        <v>0</v>
      </c>
      <c r="M60" s="1421">
        <f>+$V$60*M37</f>
        <v>0</v>
      </c>
      <c r="N60" s="1421">
        <f t="shared" ref="N60" si="63">+$V$60*N37</f>
        <v>0</v>
      </c>
      <c r="O60" s="1423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363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369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Fiyat'!D221</f>
        <v>0</v>
      </c>
      <c r="E95" s="372">
        <f>E5*'Alış Fiyat'!E221</f>
        <v>0</v>
      </c>
      <c r="F95" s="372">
        <f>F5*'Alış Fiyat'!F221</f>
        <v>0</v>
      </c>
      <c r="G95" s="372">
        <f>G5*'Alış Fiyat'!G221</f>
        <v>0</v>
      </c>
      <c r="H95" s="373">
        <f>H5*'Alış Fiyat'!H221</f>
        <v>0</v>
      </c>
      <c r="I95" s="373">
        <f>I5*'Alış Fiyat'!I221</f>
        <v>0</v>
      </c>
      <c r="J95" s="373">
        <f>J5*'Alış Fiyat'!J221</f>
        <v>0</v>
      </c>
      <c r="K95" s="373">
        <f>K5*'Alış Fiyat'!K221</f>
        <v>0</v>
      </c>
      <c r="L95" s="373">
        <f>L5*'Alış Fiyat'!L221</f>
        <v>0</v>
      </c>
      <c r="M95" s="373">
        <f>M5*'Alış Fiyat'!M221</f>
        <v>0</v>
      </c>
      <c r="N95" s="373">
        <f>N5*'Alış Fiyat'!N221</f>
        <v>0</v>
      </c>
      <c r="O95" s="374">
        <f>O5*'Alış Fiyat'!O221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Fiyat'!D222</f>
        <v>0</v>
      </c>
      <c r="E96" s="381">
        <f>E6*'Alış Fiyat'!E222</f>
        <v>0</v>
      </c>
      <c r="F96" s="381">
        <f>F6*'Alış Fiyat'!F222</f>
        <v>0</v>
      </c>
      <c r="G96" s="381">
        <f>G6*'Alış Fiyat'!G222</f>
        <v>0</v>
      </c>
      <c r="H96" s="382">
        <f>H6*'Alış Fiyat'!H222</f>
        <v>0</v>
      </c>
      <c r="I96" s="382">
        <f>I6*'Alış Fiyat'!I222</f>
        <v>0</v>
      </c>
      <c r="J96" s="382">
        <f>J6*'Alış Fiyat'!J222</f>
        <v>0</v>
      </c>
      <c r="K96" s="382">
        <f>K6*'Alış Fiyat'!K222</f>
        <v>0</v>
      </c>
      <c r="L96" s="382">
        <f>L6*'Alış Fiyat'!L222</f>
        <v>0</v>
      </c>
      <c r="M96" s="382">
        <f>M6*'Alış Fiyat'!M222</f>
        <v>0</v>
      </c>
      <c r="N96" s="382">
        <f>N6*'Alış Fiyat'!N222</f>
        <v>0</v>
      </c>
      <c r="O96" s="383">
        <f>O6*'Alış Fiyat'!O222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Fiyat'!D224</f>
        <v>0</v>
      </c>
      <c r="E98" s="397">
        <f>E8*'Alış Fiyat'!E224</f>
        <v>0</v>
      </c>
      <c r="F98" s="397">
        <f>F8*'Alış Fiyat'!F224</f>
        <v>0</v>
      </c>
      <c r="G98" s="397">
        <f>G8*'Alış Fiyat'!G224</f>
        <v>0</v>
      </c>
      <c r="H98" s="397">
        <f>H8*'Alış Fiyat'!H224</f>
        <v>0</v>
      </c>
      <c r="I98" s="397">
        <f>I8*'Alış Fiyat'!I224</f>
        <v>0</v>
      </c>
      <c r="J98" s="397">
        <f>J8*'Alış Fiyat'!J224</f>
        <v>0</v>
      </c>
      <c r="K98" s="397">
        <f>K8*'Alış Fiyat'!K224</f>
        <v>0</v>
      </c>
      <c r="L98" s="397">
        <f>L8*'Alış Fiyat'!L224</f>
        <v>0</v>
      </c>
      <c r="M98" s="397">
        <f>M8*'Alış Fiyat'!M224</f>
        <v>0</v>
      </c>
      <c r="N98" s="397">
        <f>N8*'Alış Fiyat'!N224</f>
        <v>0</v>
      </c>
      <c r="O98" s="398">
        <f>O8*'Alış Fiyat'!O224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Fiyat'!D225</f>
        <v>0</v>
      </c>
      <c r="E99" s="389">
        <f>E9*'Alış Fiyat'!E225</f>
        <v>0</v>
      </c>
      <c r="F99" s="389">
        <f>F9*'Alış Fiyat'!F225</f>
        <v>0</v>
      </c>
      <c r="G99" s="389">
        <f>G9*'Alış Fiyat'!G225</f>
        <v>0</v>
      </c>
      <c r="H99" s="389">
        <f>H9*'Alış Fiyat'!H225</f>
        <v>0</v>
      </c>
      <c r="I99" s="389">
        <f>I9*'Alış Fiyat'!I225</f>
        <v>0</v>
      </c>
      <c r="J99" s="389">
        <f>J9*'Alış Fiyat'!J225</f>
        <v>0</v>
      </c>
      <c r="K99" s="389">
        <f>K9*'Alış Fiyat'!K225</f>
        <v>0</v>
      </c>
      <c r="L99" s="389">
        <f>L9*'Alış Fiyat'!L225</f>
        <v>0</v>
      </c>
      <c r="M99" s="389">
        <f>M9*'Alış Fiyat'!M225</f>
        <v>0</v>
      </c>
      <c r="N99" s="389">
        <f>N9*'Alış Fiyat'!N225</f>
        <v>0</v>
      </c>
      <c r="O99" s="390">
        <f>O9*'Alış Fiyat'!O225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Fiyat'!D226</f>
        <v>0</v>
      </c>
      <c r="E100" s="397">
        <f>E10*'Alış Fiyat'!E226</f>
        <v>0</v>
      </c>
      <c r="F100" s="397">
        <f>F10*'Alış Fiyat'!F226</f>
        <v>0</v>
      </c>
      <c r="G100" s="397">
        <f>G10*'Alış Fiyat'!G226</f>
        <v>0</v>
      </c>
      <c r="H100" s="397">
        <f>H10*'Alış Fiyat'!H226</f>
        <v>0</v>
      </c>
      <c r="I100" s="397">
        <f>I10*'Alış Fiyat'!I226</f>
        <v>0</v>
      </c>
      <c r="J100" s="397">
        <f>J10*'Alış Fiyat'!J226</f>
        <v>0</v>
      </c>
      <c r="K100" s="397">
        <f>K10*'Alış Fiyat'!K226</f>
        <v>0</v>
      </c>
      <c r="L100" s="397">
        <f>L10*'Alış Fiyat'!L226</f>
        <v>0</v>
      </c>
      <c r="M100" s="397">
        <f>M10*'Alış Fiyat'!M226</f>
        <v>0</v>
      </c>
      <c r="N100" s="397">
        <f>N10*'Alış Fiyat'!N226</f>
        <v>0</v>
      </c>
      <c r="O100" s="398">
        <f>O10*'Alış Fiyat'!O226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9"/>
      <c r="D101" s="402">
        <f>D11*'Alış Fiyat'!D227</f>
        <v>0</v>
      </c>
      <c r="E101" s="403">
        <f>E11*'Alış Fiyat'!E227</f>
        <v>0</v>
      </c>
      <c r="F101" s="403">
        <f>F11*'Alış Fiyat'!F227</f>
        <v>0</v>
      </c>
      <c r="G101" s="403">
        <f>G11*'Alış Fiyat'!G227</f>
        <v>0</v>
      </c>
      <c r="H101" s="403">
        <f>H11*'Alış Fiyat'!H227</f>
        <v>0</v>
      </c>
      <c r="I101" s="403">
        <f>I11*'Alış Fiyat'!I227</f>
        <v>0</v>
      </c>
      <c r="J101" s="403">
        <f>J11*'Alış Fiyat'!J227</f>
        <v>0</v>
      </c>
      <c r="K101" s="403">
        <f>K11*'Alış Fiyat'!K227</f>
        <v>0</v>
      </c>
      <c r="L101" s="403">
        <f>L11*'Alış Fiyat'!L227</f>
        <v>0</v>
      </c>
      <c r="M101" s="403">
        <f>M11*'Alış Fiyat'!M227</f>
        <v>0</v>
      </c>
      <c r="N101" s="403">
        <f>N11*'Alış Fiyat'!N227</f>
        <v>0</v>
      </c>
      <c r="O101" s="404">
        <f>O11*'Alış Fiyat'!O227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Fiyat'!D228</f>
        <v>0</v>
      </c>
      <c r="E102" s="382">
        <f>E12*'Alış Fiyat'!E228</f>
        <v>0</v>
      </c>
      <c r="F102" s="382">
        <f>F12*'Alış Fiyat'!F228</f>
        <v>0</v>
      </c>
      <c r="G102" s="382">
        <f>G12*'Alış Fiyat'!G228</f>
        <v>0</v>
      </c>
      <c r="H102" s="382">
        <f>H12*'Alış Fiyat'!H228</f>
        <v>0</v>
      </c>
      <c r="I102" s="381">
        <f>I12*'Alış Fiyat'!I228</f>
        <v>0</v>
      </c>
      <c r="J102" s="381">
        <f>J12*'Alış Fiyat'!J228</f>
        <v>0</v>
      </c>
      <c r="K102" s="382">
        <f>K12*'Alış Fiyat'!K228</f>
        <v>0</v>
      </c>
      <c r="L102" s="382">
        <f>L12*'Alış Fiyat'!L228</f>
        <v>0</v>
      </c>
      <c r="M102" s="382">
        <f>M12*'Alış Fiyat'!M228</f>
        <v>0</v>
      </c>
      <c r="N102" s="382">
        <f>N12*'Alış Fiyat'!N228</f>
        <v>0</v>
      </c>
      <c r="O102" s="383">
        <f>O12*'Alış Fiyat'!O228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Fiyat'!D231</f>
        <v>0</v>
      </c>
      <c r="E105" s="426">
        <f>E15*'Alış Fiyat'!E231</f>
        <v>0</v>
      </c>
      <c r="F105" s="426">
        <f>F15*'Alış Fiyat'!F231</f>
        <v>0</v>
      </c>
      <c r="G105" s="426">
        <f>G15*'Alış Fiyat'!G231</f>
        <v>0</v>
      </c>
      <c r="H105" s="426">
        <f>H15*'Alış Fiyat'!H231</f>
        <v>0</v>
      </c>
      <c r="I105" s="426">
        <f>I15*'Alış Fiyat'!I231</f>
        <v>0</v>
      </c>
      <c r="J105" s="426">
        <f>J15*'Alış Fiyat'!J231</f>
        <v>0</v>
      </c>
      <c r="K105" s="426">
        <f>K15*'Alış Fiyat'!K231</f>
        <v>0</v>
      </c>
      <c r="L105" s="426">
        <f>L15*'Alış Fiyat'!L231</f>
        <v>0</v>
      </c>
      <c r="M105" s="426">
        <f>M15*'Alış Fiyat'!M231</f>
        <v>0</v>
      </c>
      <c r="N105" s="426">
        <f>N15*'Alış Fiyat'!N231</f>
        <v>0</v>
      </c>
      <c r="O105" s="427">
        <f>O15*'Alış Fiyat'!O231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Fiyat'!D232</f>
        <v>0</v>
      </c>
      <c r="E106" s="434">
        <f>E16*'Alış Fiyat'!E232</f>
        <v>0</v>
      </c>
      <c r="F106" s="434">
        <f>F16*'Alış Fiyat'!F232</f>
        <v>0</v>
      </c>
      <c r="G106" s="434">
        <f>G16*'Alış Fiyat'!G232</f>
        <v>0</v>
      </c>
      <c r="H106" s="434">
        <f>H16*'Alış Fiyat'!H232</f>
        <v>0</v>
      </c>
      <c r="I106" s="434">
        <f>I16*'Alış Fiyat'!I232</f>
        <v>0</v>
      </c>
      <c r="J106" s="434">
        <f>J16*'Alış Fiyat'!J232</f>
        <v>0</v>
      </c>
      <c r="K106" s="434">
        <f>K16*'Alış Fiyat'!K232</f>
        <v>0</v>
      </c>
      <c r="L106" s="434">
        <f>L16*'Alış Fiyat'!L232</f>
        <v>0</v>
      </c>
      <c r="M106" s="434">
        <f>M16*'Alış Fiyat'!M232</f>
        <v>0</v>
      </c>
      <c r="N106" s="434">
        <f>N16*'Alış Fiyat'!N232</f>
        <v>0</v>
      </c>
      <c r="O106" s="435">
        <f>O16*'Alış Fiyat'!O232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Fiyat'!D234</f>
        <v>0</v>
      </c>
      <c r="E108" s="426">
        <f>E18*'Alış Fiyat'!E234</f>
        <v>0</v>
      </c>
      <c r="F108" s="426">
        <f>F18*'Alış Fiyat'!F234</f>
        <v>0</v>
      </c>
      <c r="G108" s="426">
        <f>G18*'Alış Fiyat'!G234</f>
        <v>0</v>
      </c>
      <c r="H108" s="426">
        <f>H18*'Alış Fiyat'!H234</f>
        <v>0</v>
      </c>
      <c r="I108" s="426">
        <f>I18*'Alış Fiyat'!I234</f>
        <v>0</v>
      </c>
      <c r="J108" s="426">
        <f>J18*'Alış Fiyat'!J234</f>
        <v>0</v>
      </c>
      <c r="K108" s="426">
        <f>K18*'Alış Fiyat'!K234</f>
        <v>0</v>
      </c>
      <c r="L108" s="426">
        <f>L18*'Alış Fiyat'!L234</f>
        <v>0</v>
      </c>
      <c r="M108" s="426">
        <f>M18*'Alış Fiyat'!M234</f>
        <v>0</v>
      </c>
      <c r="N108" s="426">
        <f>N18*'Alış Fiyat'!N234</f>
        <v>0</v>
      </c>
      <c r="O108" s="427">
        <f>O18*'Alış Fiyat'!O234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Fiyat'!D235</f>
        <v>0</v>
      </c>
      <c r="E109" s="442">
        <f>E19*'Alış Fiyat'!E235</f>
        <v>0</v>
      </c>
      <c r="F109" s="442">
        <f>F19*'Alış Fiyat'!F235</f>
        <v>0</v>
      </c>
      <c r="G109" s="442">
        <f>G19*'Alış Fiyat'!G235</f>
        <v>0</v>
      </c>
      <c r="H109" s="442">
        <f>H19*'Alış Fiyat'!H235</f>
        <v>0</v>
      </c>
      <c r="I109" s="442">
        <f>I19*'Alış Fiyat'!I235</f>
        <v>0</v>
      </c>
      <c r="J109" s="442">
        <f>J19*'Alış Fiyat'!J235</f>
        <v>0</v>
      </c>
      <c r="K109" s="442">
        <f>K19*'Alış Fiyat'!K235</f>
        <v>0</v>
      </c>
      <c r="L109" s="442">
        <f>L19*'Alış Fiyat'!L235</f>
        <v>0</v>
      </c>
      <c r="M109" s="442">
        <f>M19*'Alış Fiyat'!M235</f>
        <v>0</v>
      </c>
      <c r="N109" s="442">
        <f>N19*'Alış Fiyat'!N235</f>
        <v>0</v>
      </c>
      <c r="O109" s="443">
        <f>O19*'Alış Fiyat'!O235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Fiyat'!D237</f>
        <v>0</v>
      </c>
      <c r="E111" s="366">
        <f>E21*'Alış Fiyat'!E237</f>
        <v>0</v>
      </c>
      <c r="F111" s="366">
        <f>F21*'Alış Fiyat'!F237</f>
        <v>0</v>
      </c>
      <c r="G111" s="366">
        <f>G21*'Alış Fiyat'!G237</f>
        <v>0</v>
      </c>
      <c r="H111" s="366">
        <f>H21*'Alış Fiyat'!H237</f>
        <v>0</v>
      </c>
      <c r="I111" s="366">
        <f>I21*'Alış Fiyat'!I237</f>
        <v>0</v>
      </c>
      <c r="J111" s="366">
        <f>J21*'Alış Fiyat'!J237</f>
        <v>0</v>
      </c>
      <c r="K111" s="366">
        <f>K21*'Alış Fiyat'!K237</f>
        <v>0</v>
      </c>
      <c r="L111" s="366">
        <f>L21*'Alış Fiyat'!L237</f>
        <v>0</v>
      </c>
      <c r="M111" s="366">
        <f>M21*'Alış Fiyat'!M237</f>
        <v>0</v>
      </c>
      <c r="N111" s="366">
        <f>N21*'Alış Fiyat'!N237</f>
        <v>0</v>
      </c>
      <c r="O111" s="448">
        <f>O21*'Alış Fiyat'!O237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 ht="18.75" customHeight="1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>SUM(D172:O172)</f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>D90-D179</f>
        <v>0</v>
      </c>
      <c r="E180" s="487">
        <f t="shared" ref="E180:P180" si="161">E90-E179</f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634" t="e">
        <f t="shared" ref="B183:C183" si="166">B182/B180</f>
        <v>#DIV/0!</v>
      </c>
      <c r="C183" s="2243" t="e">
        <f t="shared" si="166"/>
        <v>#DIV/0!</v>
      </c>
      <c r="D183" s="634" t="e">
        <f t="shared" ref="D183:P183" si="167">D182/D180</f>
        <v>#DIV/0!</v>
      </c>
      <c r="E183" s="635" t="e">
        <f t="shared" si="167"/>
        <v>#DIV/0!</v>
      </c>
      <c r="F183" s="635" t="e">
        <f t="shared" si="167"/>
        <v>#DIV/0!</v>
      </c>
      <c r="G183" s="635" t="e">
        <f t="shared" si="167"/>
        <v>#DIV/0!</v>
      </c>
      <c r="H183" s="635" t="e">
        <f t="shared" si="167"/>
        <v>#DIV/0!</v>
      </c>
      <c r="I183" s="635" t="e">
        <f t="shared" si="167"/>
        <v>#DIV/0!</v>
      </c>
      <c r="J183" s="635" t="e">
        <f t="shared" si="167"/>
        <v>#DIV/0!</v>
      </c>
      <c r="K183" s="635" t="e">
        <f t="shared" si="167"/>
        <v>#DIV/0!</v>
      </c>
      <c r="L183" s="635" t="e">
        <f t="shared" si="167"/>
        <v>#DIV/0!</v>
      </c>
      <c r="M183" s="635" t="e">
        <f t="shared" si="167"/>
        <v>#DIV/0!</v>
      </c>
      <c r="N183" s="635" t="e">
        <f t="shared" si="167"/>
        <v>#DIV/0!</v>
      </c>
      <c r="O183" s="636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75" right="0.75" top="1" bottom="1" header="0.5" footer="0.5"/>
  <pageSetup paperSize="9" scale="66" fitToHeight="0" orientation="landscape" r:id="rId1"/>
  <headerFooter alignWithMargins="0"/>
  <rowBreaks count="8" manualBreakCount="8">
    <brk id="22" max="16" man="1"/>
    <brk id="45" max="16" man="1"/>
    <brk id="68" max="16" man="1"/>
    <brk id="91" max="16" man="1"/>
    <brk id="114" max="16" man="1"/>
    <brk id="137" max="16" man="1"/>
    <brk id="173" max="16" man="1"/>
    <brk id="174" max="16" man="1"/>
  </rowBreaks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V187"/>
  <sheetViews>
    <sheetView zoomScale="85" zoomScaleNormal="85" workbookViewId="0">
      <selection activeCell="B111" sqref="B111"/>
    </sheetView>
  </sheetViews>
  <sheetFormatPr defaultColWidth="9.109375" defaultRowHeight="14.4"/>
  <cols>
    <col min="1" max="1" width="33.8867187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M3'!C77/1000</f>
        <v>0</v>
      </c>
      <c r="E5" s="372">
        <f>+'SAHA AYLIK ÜRÜN M3'!D77/1000</f>
        <v>0</v>
      </c>
      <c r="F5" s="372">
        <f>+'SAHA AYLIK ÜRÜN M3'!E77/1000</f>
        <v>0</v>
      </c>
      <c r="G5" s="372">
        <f>+'SAHA AYLIK ÜRÜN M3'!F77/1000</f>
        <v>0</v>
      </c>
      <c r="H5" s="373">
        <f>+'SAHA AYLIK ÜRÜN M3'!G77/1000</f>
        <v>0</v>
      </c>
      <c r="I5" s="373">
        <f>+'SAHA AYLIK ÜRÜN M3'!H77/1000</f>
        <v>0</v>
      </c>
      <c r="J5" s="373">
        <f>+'SAHA AYLIK ÜRÜN M3'!I77/1000</f>
        <v>0</v>
      </c>
      <c r="K5" s="373">
        <f>+'SAHA AYLIK ÜRÜN M3'!J77/1000</f>
        <v>0</v>
      </c>
      <c r="L5" s="373">
        <f>+'SAHA AYLIK ÜRÜN M3'!K77/1000</f>
        <v>0</v>
      </c>
      <c r="M5" s="373">
        <f>+'SAHA AYLIK ÜRÜN M3'!L77/1000</f>
        <v>0</v>
      </c>
      <c r="N5" s="373">
        <f>+'SAHA AYLIK ÜRÜN M3'!M77/1000</f>
        <v>0</v>
      </c>
      <c r="O5" s="374">
        <f>+'SAHA AYLIK ÜRÜN M3'!N77/1000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M3'!C78/1000</f>
        <v>0</v>
      </c>
      <c r="E8" s="397">
        <f>+'SAHA AYLIK ÜRÜN M3'!D78/1000</f>
        <v>0</v>
      </c>
      <c r="F8" s="397">
        <f>+'SAHA AYLIK ÜRÜN M3'!E78/1000</f>
        <v>0</v>
      </c>
      <c r="G8" s="397">
        <f>+'SAHA AYLIK ÜRÜN M3'!F78/1000</f>
        <v>0</v>
      </c>
      <c r="H8" s="397">
        <f>+'SAHA AYLIK ÜRÜN M3'!G78/1000</f>
        <v>0</v>
      </c>
      <c r="I8" s="397">
        <f>+'SAHA AYLIK ÜRÜN M3'!H78/1000</f>
        <v>0</v>
      </c>
      <c r="J8" s="397">
        <f>+'SAHA AYLIK ÜRÜN M3'!I78/1000</f>
        <v>0</v>
      </c>
      <c r="K8" s="397">
        <f>+'SAHA AYLIK ÜRÜN M3'!J78/1000</f>
        <v>0</v>
      </c>
      <c r="L8" s="397">
        <f>+'SAHA AYLIK ÜRÜN M3'!K78/1000</f>
        <v>0</v>
      </c>
      <c r="M8" s="397">
        <f>+'SAHA AYLIK ÜRÜN M3'!L78/1000</f>
        <v>0</v>
      </c>
      <c r="N8" s="397">
        <f>+'SAHA AYLIK ÜRÜN M3'!M78/1000</f>
        <v>0</v>
      </c>
      <c r="O8" s="398">
        <f>+'SAHA AYLIK ÜRÜN M3'!N78/1000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M3'!C75/1000</f>
        <v>0</v>
      </c>
      <c r="E9" s="403">
        <f>+'SAHA AYLIK ÜRÜN M3'!D75/1000</f>
        <v>0</v>
      </c>
      <c r="F9" s="403">
        <f>+'SAHA AYLIK ÜRÜN M3'!E75/1000</f>
        <v>0</v>
      </c>
      <c r="G9" s="403">
        <f>+'SAHA AYLIK ÜRÜN M3'!F75/1000</f>
        <v>0</v>
      </c>
      <c r="H9" s="403">
        <f>+'SAHA AYLIK ÜRÜN M3'!G75/1000</f>
        <v>0</v>
      </c>
      <c r="I9" s="403">
        <f>+'SAHA AYLIK ÜRÜN M3'!H75/1000</f>
        <v>0</v>
      </c>
      <c r="J9" s="403">
        <f>+'SAHA AYLIK ÜRÜN M3'!I75/1000</f>
        <v>0</v>
      </c>
      <c r="K9" s="403">
        <f>+'SAHA AYLIK ÜRÜN M3'!J75/1000</f>
        <v>0</v>
      </c>
      <c r="L9" s="403">
        <f>+'SAHA AYLIK ÜRÜN M3'!K75/1000</f>
        <v>0</v>
      </c>
      <c r="M9" s="403">
        <f>+'SAHA AYLIK ÜRÜN M3'!L75/1000</f>
        <v>0</v>
      </c>
      <c r="N9" s="403">
        <f>+'SAHA AYLIK ÜRÜN M3'!M75/1000</f>
        <v>0</v>
      </c>
      <c r="O9" s="404">
        <f>+'SAHA AYLIK ÜRÜN M3'!N75/1000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M3'!C76/1000</f>
        <v>0</v>
      </c>
      <c r="E11" s="403">
        <f>+'SAHA AYLIK ÜRÜN M3'!D76/1000</f>
        <v>0</v>
      </c>
      <c r="F11" s="403">
        <f>+'SAHA AYLIK ÜRÜN M3'!E76/1000</f>
        <v>0</v>
      </c>
      <c r="G11" s="403">
        <f>+'SAHA AYLIK ÜRÜN M3'!F76/1000</f>
        <v>0</v>
      </c>
      <c r="H11" s="403">
        <f>+'SAHA AYLIK ÜRÜN M3'!G76/1000</f>
        <v>0</v>
      </c>
      <c r="I11" s="403">
        <f>+'SAHA AYLIK ÜRÜN M3'!H76/1000</f>
        <v>0</v>
      </c>
      <c r="J11" s="403">
        <f>+'SAHA AYLIK ÜRÜN M3'!I76/1000</f>
        <v>0</v>
      </c>
      <c r="K11" s="403">
        <f>+'SAHA AYLIK ÜRÜN M3'!J76/1000</f>
        <v>0</v>
      </c>
      <c r="L11" s="403">
        <f>+'SAHA AYLIK ÜRÜN M3'!K76/1000</f>
        <v>0</v>
      </c>
      <c r="M11" s="403">
        <f>+'SAHA AYLIK ÜRÜN M3'!L76/1000</f>
        <v>0</v>
      </c>
      <c r="N11" s="403">
        <f>+'SAHA AYLIK ÜRÜN M3'!M76/1000</f>
        <v>0</v>
      </c>
      <c r="O11" s="404">
        <f>+'SAHA AYLIK ÜRÜN M3'!N76/1000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M3'!C79/1000</f>
        <v>0</v>
      </c>
      <c r="E16" s="434">
        <f>+'SAHA AYLIK ÜRÜN M3'!D79/1000</f>
        <v>0</v>
      </c>
      <c r="F16" s="434">
        <f>+'SAHA AYLIK ÜRÜN M3'!E79/1000</f>
        <v>0</v>
      </c>
      <c r="G16" s="434">
        <f>+'SAHA AYLIK ÜRÜN M3'!F79/1000</f>
        <v>0</v>
      </c>
      <c r="H16" s="434">
        <f>+'SAHA AYLIK ÜRÜN M3'!G79/1000</f>
        <v>0</v>
      </c>
      <c r="I16" s="434">
        <f>+'SAHA AYLIK ÜRÜN M3'!H79/1000</f>
        <v>0</v>
      </c>
      <c r="J16" s="434">
        <f>+'SAHA AYLIK ÜRÜN M3'!I79/1000</f>
        <v>0</v>
      </c>
      <c r="K16" s="434">
        <f>+'SAHA AYLIK ÜRÜN M3'!J79/1000</f>
        <v>0</v>
      </c>
      <c r="L16" s="434">
        <f>+'SAHA AYLIK ÜRÜN M3'!K79/1000</f>
        <v>0</v>
      </c>
      <c r="M16" s="434">
        <f>+'SAHA AYLIK ÜRÜN M3'!L79/1000</f>
        <v>0</v>
      </c>
      <c r="N16" s="434">
        <f>+'SAHA AYLIK ÜRÜN M3'!M79/1000</f>
        <v>0</v>
      </c>
      <c r="O16" s="435">
        <f>+'SAHA AYLIK ÜRÜN M3'!N79/1000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+M.Yağ_Adbulue!E16/1000</f>
        <v>0</v>
      </c>
      <c r="E18" s="426">
        <f>+M.Yağ_Adbulue!F16/1000</f>
        <v>0</v>
      </c>
      <c r="F18" s="426">
        <f>+M.Yağ_Adbulue!G16/1000</f>
        <v>0</v>
      </c>
      <c r="G18" s="426">
        <f>+M.Yağ_Adbulue!H16/1000</f>
        <v>0</v>
      </c>
      <c r="H18" s="426">
        <f>+M.Yağ_Adbulue!I16/1000</f>
        <v>0</v>
      </c>
      <c r="I18" s="426">
        <f>+M.Yağ_Adbulue!J16/1000</f>
        <v>0</v>
      </c>
      <c r="J18" s="426">
        <f>+M.Yağ_Adbulue!K16/1000</f>
        <v>0</v>
      </c>
      <c r="K18" s="426">
        <f>+M.Yağ_Adbulue!L16/1000</f>
        <v>0</v>
      </c>
      <c r="L18" s="426">
        <f>+M.Yağ_Adbulue!M16/1000</f>
        <v>0</v>
      </c>
      <c r="M18" s="426">
        <f>+M.Yağ_Adbulue!N16/1000</f>
        <v>0</v>
      </c>
      <c r="N18" s="426">
        <f>+M.Yağ_Adbulue!O16/1000</f>
        <v>0</v>
      </c>
      <c r="O18" s="427">
        <f>+M.Yağ_Adbulue!P16/1000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+M.Yağ_Adbulue!E34/1000</f>
        <v>0</v>
      </c>
      <c r="E19" s="442">
        <f>+M.Yağ_Adbulue!F34/1000</f>
        <v>0</v>
      </c>
      <c r="F19" s="442">
        <f>+M.Yağ_Adbulue!G34/1000</f>
        <v>0</v>
      </c>
      <c r="G19" s="442">
        <f>+M.Yağ_Adbulue!H34/1000</f>
        <v>0</v>
      </c>
      <c r="H19" s="442">
        <f>+M.Yağ_Adbulue!I34/1000</f>
        <v>0</v>
      </c>
      <c r="I19" s="442">
        <f>+M.Yağ_Adbulue!J34/1000</f>
        <v>0</v>
      </c>
      <c r="J19" s="442">
        <f>+M.Yağ_Adbulue!K34/1000</f>
        <v>0</v>
      </c>
      <c r="K19" s="442">
        <f>+M.Yağ_Adbulue!L34/1000</f>
        <v>0</v>
      </c>
      <c r="L19" s="442">
        <f>+M.Yağ_Adbulue!M34/1000</f>
        <v>0</v>
      </c>
      <c r="M19" s="442">
        <f>+M.Yağ_Adbulue!N34/1000</f>
        <v>0</v>
      </c>
      <c r="N19" s="442">
        <f>+M.Yağ_Adbulue!O34/1000</f>
        <v>0</v>
      </c>
      <c r="O19" s="443">
        <f>+M.Yağ_Adbulue!P34/1000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Fiyat'!D269</f>
        <v>0</v>
      </c>
      <c r="E26" s="372">
        <f>E5*'Satış Fiyat'!E269</f>
        <v>0</v>
      </c>
      <c r="F26" s="372">
        <f>F5*'Satış Fiyat'!F269</f>
        <v>0</v>
      </c>
      <c r="G26" s="372">
        <f>G5*'Satış Fiyat'!G269</f>
        <v>0</v>
      </c>
      <c r="H26" s="373">
        <f>H5*'Satış Fiyat'!H269</f>
        <v>0</v>
      </c>
      <c r="I26" s="373">
        <f>I5*'Satış Fiyat'!I269</f>
        <v>0</v>
      </c>
      <c r="J26" s="373">
        <f>J5*'Satış Fiyat'!J269</f>
        <v>0</v>
      </c>
      <c r="K26" s="373">
        <f>K5*'Satış Fiyat'!K269</f>
        <v>0</v>
      </c>
      <c r="L26" s="373">
        <f>L5*'Satış Fiyat'!L269</f>
        <v>0</v>
      </c>
      <c r="M26" s="373">
        <f>M5*'Satış Fiyat'!M269</f>
        <v>0</v>
      </c>
      <c r="N26" s="373">
        <f>N5*'Satış Fiyat'!N269</f>
        <v>0</v>
      </c>
      <c r="O26" s="374">
        <f>O5*'Satış Fiyat'!O269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Fiyat'!D270</f>
        <v>0</v>
      </c>
      <c r="E27" s="381">
        <f>E6*'Satış Fiyat'!E270</f>
        <v>0</v>
      </c>
      <c r="F27" s="381">
        <f>F6*'Satış Fiyat'!F270</f>
        <v>0</v>
      </c>
      <c r="G27" s="381">
        <f>G6*'Satış Fiyat'!G270</f>
        <v>0</v>
      </c>
      <c r="H27" s="382">
        <f>H6*'Satış Fiyat'!H270</f>
        <v>0</v>
      </c>
      <c r="I27" s="382">
        <f>I6*'Satış Fiyat'!I270</f>
        <v>0</v>
      </c>
      <c r="J27" s="382">
        <f>J6*'Satış Fiyat'!J270</f>
        <v>0</v>
      </c>
      <c r="K27" s="382">
        <f>K6*'Satış Fiyat'!K270</f>
        <v>0</v>
      </c>
      <c r="L27" s="382">
        <f>L6*'Satış Fiyat'!L270</f>
        <v>0</v>
      </c>
      <c r="M27" s="382">
        <f>M6*'Satış Fiyat'!M270</f>
        <v>0</v>
      </c>
      <c r="N27" s="382">
        <f>N6*'Satış Fiyat'!N270</f>
        <v>0</v>
      </c>
      <c r="O27" s="383">
        <f>O6*'Satış Fiyat'!O270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Fiyat'!D272</f>
        <v>0</v>
      </c>
      <c r="E29" s="397">
        <f>E8*'Satış Fiyat'!E272</f>
        <v>0</v>
      </c>
      <c r="F29" s="397">
        <f>F8*'Satış Fiyat'!F272</f>
        <v>0</v>
      </c>
      <c r="G29" s="397">
        <f>G8*'Satış Fiyat'!G272</f>
        <v>0</v>
      </c>
      <c r="H29" s="397">
        <f>H8*'Satış Fiyat'!H272</f>
        <v>0</v>
      </c>
      <c r="I29" s="397">
        <f>I8*'Satış Fiyat'!I272</f>
        <v>0</v>
      </c>
      <c r="J29" s="397">
        <f>J8*'Satış Fiyat'!J272</f>
        <v>0</v>
      </c>
      <c r="K29" s="397">
        <f>K8*'Satış Fiyat'!K272</f>
        <v>0</v>
      </c>
      <c r="L29" s="397">
        <f>L8*'Satış Fiyat'!L272</f>
        <v>0</v>
      </c>
      <c r="M29" s="397">
        <f>M8*'Satış Fiyat'!M272</f>
        <v>0</v>
      </c>
      <c r="N29" s="397">
        <f>N8*'Satış Fiyat'!N272</f>
        <v>0</v>
      </c>
      <c r="O29" s="398">
        <f>O8*'Satış Fiyat'!O272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Fiyat'!D273</f>
        <v>0</v>
      </c>
      <c r="E30" s="389">
        <f>E9*'Satış Fiyat'!E273</f>
        <v>0</v>
      </c>
      <c r="F30" s="389">
        <f>F9*'Satış Fiyat'!F273</f>
        <v>0</v>
      </c>
      <c r="G30" s="389">
        <f>G9*'Satış Fiyat'!G273</f>
        <v>0</v>
      </c>
      <c r="H30" s="389">
        <f>H9*'Satış Fiyat'!H273</f>
        <v>0</v>
      </c>
      <c r="I30" s="389">
        <f>I9*'Satış Fiyat'!I273</f>
        <v>0</v>
      </c>
      <c r="J30" s="389">
        <f>J9*'Satış Fiyat'!J273</f>
        <v>0</v>
      </c>
      <c r="K30" s="389">
        <f>K9*'Satış Fiyat'!K273</f>
        <v>0</v>
      </c>
      <c r="L30" s="389">
        <f>L9*'Satış Fiyat'!L273</f>
        <v>0</v>
      </c>
      <c r="M30" s="389">
        <f>M9*'Satış Fiyat'!M273</f>
        <v>0</v>
      </c>
      <c r="N30" s="389">
        <f>N9*'Satış Fiyat'!N273</f>
        <v>0</v>
      </c>
      <c r="O30" s="390">
        <f>O9*'Satış Fiyat'!O273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Fiyat'!D274</f>
        <v>0</v>
      </c>
      <c r="E31" s="397">
        <f>E10*'Satış Fiyat'!E274</f>
        <v>0</v>
      </c>
      <c r="F31" s="397">
        <f>F10*'Satış Fiyat'!F274</f>
        <v>0</v>
      </c>
      <c r="G31" s="397">
        <f>G10*'Satış Fiyat'!G274</f>
        <v>0</v>
      </c>
      <c r="H31" s="397">
        <f>H10*'Satış Fiyat'!H274</f>
        <v>0</v>
      </c>
      <c r="I31" s="397">
        <f>I10*'Satış Fiyat'!I274</f>
        <v>0</v>
      </c>
      <c r="J31" s="397">
        <f>J10*'Satış Fiyat'!J274</f>
        <v>0</v>
      </c>
      <c r="K31" s="397">
        <f>K10*'Satış Fiyat'!K274</f>
        <v>0</v>
      </c>
      <c r="L31" s="397">
        <f>L10*'Satış Fiyat'!L274</f>
        <v>0</v>
      </c>
      <c r="M31" s="397">
        <f>M10*'Satış Fiyat'!M274</f>
        <v>0</v>
      </c>
      <c r="N31" s="397">
        <f>N10*'Satış Fiyat'!N274</f>
        <v>0</v>
      </c>
      <c r="O31" s="398">
        <f>O10*'Satış Fiyat'!O274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4"/>
      <c r="D32" s="402">
        <f>D11*'Satış Fiyat'!D275</f>
        <v>0</v>
      </c>
      <c r="E32" s="403">
        <f>E11*'Satış Fiyat'!E275</f>
        <v>0</v>
      </c>
      <c r="F32" s="389">
        <f>F11*'Satış Fiyat'!F275</f>
        <v>0</v>
      </c>
      <c r="G32" s="403">
        <f>G11*'Satış Fiyat'!G275</f>
        <v>0</v>
      </c>
      <c r="H32" s="403">
        <f>H11*'Satış Fiyat'!H275</f>
        <v>0</v>
      </c>
      <c r="I32" s="403">
        <f>I11*'Satış Fiyat'!I275</f>
        <v>0</v>
      </c>
      <c r="J32" s="403">
        <f>J11*'Satış Fiyat'!J275</f>
        <v>0</v>
      </c>
      <c r="K32" s="403">
        <f>K11*'Satış Fiyat'!K275</f>
        <v>0</v>
      </c>
      <c r="L32" s="403">
        <f>L11*'Satış Fiyat'!L275</f>
        <v>0</v>
      </c>
      <c r="M32" s="403">
        <f>M11*'Satış Fiyat'!M275</f>
        <v>0</v>
      </c>
      <c r="N32" s="403">
        <f>N11*'Satış Fiyat'!N275</f>
        <v>0</v>
      </c>
      <c r="O32" s="404">
        <f>O11*'Satış Fiyat'!O275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Fiyat'!D276</f>
        <v>0</v>
      </c>
      <c r="E33" s="382">
        <f>E12*'Satış Fiyat'!E276</f>
        <v>0</v>
      </c>
      <c r="F33" s="382">
        <f>F12*'Satış Fiyat'!F276</f>
        <v>0</v>
      </c>
      <c r="G33" s="382">
        <f>G12*'Satış Fiyat'!G276</f>
        <v>0</v>
      </c>
      <c r="H33" s="382">
        <f>H12*'Satış Fiyat'!H276</f>
        <v>0</v>
      </c>
      <c r="I33" s="381">
        <f>I12*'Satış Fiyat'!I276</f>
        <v>0</v>
      </c>
      <c r="J33" s="381">
        <f>J12*'Satış Fiyat'!J276</f>
        <v>0</v>
      </c>
      <c r="K33" s="382">
        <f>K12*'Satış Fiyat'!K276</f>
        <v>0</v>
      </c>
      <c r="L33" s="382">
        <f>L12*'Satış Fiyat'!L276</f>
        <v>0</v>
      </c>
      <c r="M33" s="382">
        <f>M12*'Satış Fiyat'!M276</f>
        <v>0</v>
      </c>
      <c r="N33" s="382">
        <f>N12*'Satış Fiyat'!N276</f>
        <v>0</v>
      </c>
      <c r="O33" s="383">
        <f>O12*'Satış Fiyat'!O276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Fiyat'!D279</f>
        <v>0</v>
      </c>
      <c r="E36" s="426">
        <f>E15*'Satış Fiyat'!E279</f>
        <v>0</v>
      </c>
      <c r="F36" s="426">
        <f>F15*'Satış Fiyat'!F279</f>
        <v>0</v>
      </c>
      <c r="G36" s="426">
        <f>G15*'Satış Fiyat'!G279</f>
        <v>0</v>
      </c>
      <c r="H36" s="426">
        <f>H15*'Satış Fiyat'!H279</f>
        <v>0</v>
      </c>
      <c r="I36" s="426">
        <f>I15*'Satış Fiyat'!I279</f>
        <v>0</v>
      </c>
      <c r="J36" s="426">
        <f>J15*'Satış Fiyat'!J279</f>
        <v>0</v>
      </c>
      <c r="K36" s="426">
        <f>K15*'Satış Fiyat'!K279</f>
        <v>0</v>
      </c>
      <c r="L36" s="426">
        <f>L15*'Satış Fiyat'!L279</f>
        <v>0</v>
      </c>
      <c r="M36" s="426">
        <f>M15*'Satış Fiyat'!M279</f>
        <v>0</v>
      </c>
      <c r="N36" s="426">
        <f>N15*'Satış Fiyat'!N279</f>
        <v>0</v>
      </c>
      <c r="O36" s="427">
        <f>O15*'Satış Fiyat'!O279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Fiyat'!D280</f>
        <v>0</v>
      </c>
      <c r="E37" s="434">
        <f>E16*'Satış Fiyat'!E280</f>
        <v>0</v>
      </c>
      <c r="F37" s="434">
        <f>F16*'Satış Fiyat'!F280</f>
        <v>0</v>
      </c>
      <c r="G37" s="434">
        <f>G16*'Satış Fiyat'!G280</f>
        <v>0</v>
      </c>
      <c r="H37" s="434">
        <f>H16*'Satış Fiyat'!H280</f>
        <v>0</v>
      </c>
      <c r="I37" s="434">
        <f>I16*'Satış Fiyat'!I280</f>
        <v>0</v>
      </c>
      <c r="J37" s="434">
        <f>J16*'Satış Fiyat'!J280</f>
        <v>0</v>
      </c>
      <c r="K37" s="434">
        <f>K16*'Satış Fiyat'!K280</f>
        <v>0</v>
      </c>
      <c r="L37" s="434">
        <f>L16*'Satış Fiyat'!L280</f>
        <v>0</v>
      </c>
      <c r="M37" s="434">
        <f>M16*'Satış Fiyat'!M280</f>
        <v>0</v>
      </c>
      <c r="N37" s="434">
        <f>N16*'Satış Fiyat'!N280</f>
        <v>0</v>
      </c>
      <c r="O37" s="435">
        <f>O16*'Satış Fiyat'!O280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Fiyat'!D282</f>
        <v>0</v>
      </c>
      <c r="E39" s="426">
        <f>E18*'Satış Fiyat'!E282</f>
        <v>0</v>
      </c>
      <c r="F39" s="426">
        <f>F18*'Satış Fiyat'!F282</f>
        <v>0</v>
      </c>
      <c r="G39" s="426">
        <f>G18*'Satış Fiyat'!G282</f>
        <v>0</v>
      </c>
      <c r="H39" s="426">
        <f>H18*'Satış Fiyat'!H282</f>
        <v>0</v>
      </c>
      <c r="I39" s="426">
        <f>I18*'Satış Fiyat'!I282</f>
        <v>0</v>
      </c>
      <c r="J39" s="426">
        <f>J18*'Satış Fiyat'!J282</f>
        <v>0</v>
      </c>
      <c r="K39" s="426">
        <f>K18*'Satış Fiyat'!K282</f>
        <v>0</v>
      </c>
      <c r="L39" s="426">
        <f>L18*'Satış Fiyat'!L282</f>
        <v>0</v>
      </c>
      <c r="M39" s="426">
        <f>M18*'Satış Fiyat'!M282</f>
        <v>0</v>
      </c>
      <c r="N39" s="426">
        <f>N18*'Satış Fiyat'!N282</f>
        <v>0</v>
      </c>
      <c r="O39" s="427">
        <f>O18*'Satış Fiyat'!O282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Fiyat'!D283</f>
        <v>0</v>
      </c>
      <c r="E40" s="442">
        <f>E19*'Satış Fiyat'!E283</f>
        <v>0</v>
      </c>
      <c r="F40" s="442">
        <f>F19*'Satış Fiyat'!F283</f>
        <v>0</v>
      </c>
      <c r="G40" s="442">
        <f>G19*'Satış Fiyat'!G283</f>
        <v>0</v>
      </c>
      <c r="H40" s="442">
        <f>H19*'Satış Fiyat'!H283</f>
        <v>0</v>
      </c>
      <c r="I40" s="442">
        <f>I19*'Satış Fiyat'!I283</f>
        <v>0</v>
      </c>
      <c r="J40" s="442">
        <f>J19*'Satış Fiyat'!J283</f>
        <v>0</v>
      </c>
      <c r="K40" s="442">
        <f>K19*'Satış Fiyat'!K283</f>
        <v>0</v>
      </c>
      <c r="L40" s="442">
        <f>L19*'Satış Fiyat'!L283</f>
        <v>0</v>
      </c>
      <c r="M40" s="442">
        <f>M19*'Satış Fiyat'!M283</f>
        <v>0</v>
      </c>
      <c r="N40" s="442">
        <f>N19*'Satış Fiyat'!N283</f>
        <v>0</v>
      </c>
      <c r="O40" s="443">
        <f>O19*'Satış Fiyat'!O283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Fiyat'!D285</f>
        <v>0</v>
      </c>
      <c r="E42" s="366">
        <f>E21*'Satış Fiyat'!E285</f>
        <v>0</v>
      </c>
      <c r="F42" s="366">
        <f>F21*'Satış Fiyat'!F285</f>
        <v>0</v>
      </c>
      <c r="G42" s="366">
        <f>G21*'Satış Fiyat'!G285</f>
        <v>0</v>
      </c>
      <c r="H42" s="366">
        <f>H21*'Satış Fiyat'!H285</f>
        <v>0</v>
      </c>
      <c r="I42" s="366">
        <f>I21*'Satış Fiyat'!I285</f>
        <v>0</v>
      </c>
      <c r="J42" s="366">
        <f>J21*'Satış Fiyat'!J285</f>
        <v>0</v>
      </c>
      <c r="K42" s="366">
        <f>K21*'Satış Fiyat'!K285</f>
        <v>0</v>
      </c>
      <c r="L42" s="366">
        <f>L21*'Satış Fiyat'!L285</f>
        <v>0</v>
      </c>
      <c r="M42" s="366">
        <f>M21*'Satış Fiyat'!M285</f>
        <v>0</v>
      </c>
      <c r="N42" s="366">
        <f>N21*'Satış Fiyat'!N285</f>
        <v>0</v>
      </c>
      <c r="O42" s="448">
        <f>O21*'Satış Fiyat'!O285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0.01</v>
      </c>
      <c r="T53" s="461">
        <v>0.01</v>
      </c>
      <c r="U53" s="461">
        <v>0.01</v>
      </c>
      <c r="V53" s="461">
        <v>0.01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0.01</v>
      </c>
      <c r="T54" s="461">
        <v>0.01</v>
      </c>
      <c r="U54" s="461">
        <v>0.01</v>
      </c>
      <c r="V54" s="461">
        <v>0.01</v>
      </c>
    </row>
    <row r="55" spans="1:22" ht="16.5" customHeight="1">
      <c r="A55" s="400" t="s">
        <v>83</v>
      </c>
      <c r="B55" s="408"/>
      <c r="C55" s="404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0.01</v>
      </c>
      <c r="T55" s="461">
        <v>0.01</v>
      </c>
      <c r="U55" s="461">
        <v>0.01</v>
      </c>
      <c r="V55" s="461">
        <v>0.01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N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>+O48+O58+O61+O65</f>
        <v>0</v>
      </c>
      <c r="P67" s="363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369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Fiyat'!D269</f>
        <v>0</v>
      </c>
      <c r="E95" s="372">
        <f>E5*'Alış Fiyat'!E269</f>
        <v>0</v>
      </c>
      <c r="F95" s="372">
        <f>F5*'Alış Fiyat'!F269</f>
        <v>0</v>
      </c>
      <c r="G95" s="372">
        <f>G5*'Alış Fiyat'!G269</f>
        <v>0</v>
      </c>
      <c r="H95" s="373">
        <f>H5*'Alış Fiyat'!H269</f>
        <v>0</v>
      </c>
      <c r="I95" s="373">
        <f>I5*'Alış Fiyat'!I269</f>
        <v>0</v>
      </c>
      <c r="J95" s="373">
        <f>J5*'Alış Fiyat'!J269</f>
        <v>0</v>
      </c>
      <c r="K95" s="373">
        <f>K5*'Alış Fiyat'!K269</f>
        <v>0</v>
      </c>
      <c r="L95" s="373">
        <f>L5*'Alış Fiyat'!L269</f>
        <v>0</v>
      </c>
      <c r="M95" s="373">
        <f>M5*'Alış Fiyat'!M269</f>
        <v>0</v>
      </c>
      <c r="N95" s="373">
        <f>N5*'Alış Fiyat'!N269</f>
        <v>0</v>
      </c>
      <c r="O95" s="374">
        <f>O5*'Alış Fiyat'!O269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Fiyat'!D270</f>
        <v>0</v>
      </c>
      <c r="E96" s="381">
        <f>E6*'Alış Fiyat'!E270</f>
        <v>0</v>
      </c>
      <c r="F96" s="381">
        <f>F6*'Alış Fiyat'!F270</f>
        <v>0</v>
      </c>
      <c r="G96" s="381">
        <f>G6*'Alış Fiyat'!G270</f>
        <v>0</v>
      </c>
      <c r="H96" s="382">
        <f>H6*'Alış Fiyat'!H270</f>
        <v>0</v>
      </c>
      <c r="I96" s="382">
        <f>I6*'Alış Fiyat'!I270</f>
        <v>0</v>
      </c>
      <c r="J96" s="382">
        <f>J6*'Alış Fiyat'!J270</f>
        <v>0</v>
      </c>
      <c r="K96" s="382">
        <f>K6*'Alış Fiyat'!K270</f>
        <v>0</v>
      </c>
      <c r="L96" s="382">
        <f>L6*'Alış Fiyat'!L270</f>
        <v>0</v>
      </c>
      <c r="M96" s="382">
        <f>M6*'Alış Fiyat'!M270</f>
        <v>0</v>
      </c>
      <c r="N96" s="382">
        <f>N6*'Alış Fiyat'!N270</f>
        <v>0</v>
      </c>
      <c r="O96" s="383">
        <f>O6*'Alış Fiyat'!O270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Fiyat'!D272</f>
        <v>0</v>
      </c>
      <c r="E98" s="397">
        <f>E8*'Alış Fiyat'!E272</f>
        <v>0</v>
      </c>
      <c r="F98" s="397">
        <f>F8*'Alış Fiyat'!F272</f>
        <v>0</v>
      </c>
      <c r="G98" s="397">
        <f>G8*'Alış Fiyat'!G272</f>
        <v>0</v>
      </c>
      <c r="H98" s="397">
        <f>H8*'Alış Fiyat'!H272</f>
        <v>0</v>
      </c>
      <c r="I98" s="397">
        <f>I8*'Alış Fiyat'!I272</f>
        <v>0</v>
      </c>
      <c r="J98" s="397">
        <f>J8*'Alış Fiyat'!J272</f>
        <v>0</v>
      </c>
      <c r="K98" s="397">
        <f>K8*'Alış Fiyat'!K272</f>
        <v>0</v>
      </c>
      <c r="L98" s="397">
        <f>L8*'Alış Fiyat'!L272</f>
        <v>0</v>
      </c>
      <c r="M98" s="397">
        <f>M8*'Alış Fiyat'!M272</f>
        <v>0</v>
      </c>
      <c r="N98" s="397">
        <f>N8*'Alış Fiyat'!N272</f>
        <v>0</v>
      </c>
      <c r="O98" s="398">
        <f>O8*'Alış Fiyat'!O272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Fiyat'!D273</f>
        <v>0</v>
      </c>
      <c r="E99" s="389">
        <f>E9*'Alış Fiyat'!E273</f>
        <v>0</v>
      </c>
      <c r="F99" s="389">
        <f>F9*'Alış Fiyat'!F273</f>
        <v>0</v>
      </c>
      <c r="G99" s="389">
        <f>G9*'Alış Fiyat'!G273</f>
        <v>0</v>
      </c>
      <c r="H99" s="389">
        <f>H9*'Alış Fiyat'!H273</f>
        <v>0</v>
      </c>
      <c r="I99" s="389">
        <f>I9*'Alış Fiyat'!I273</f>
        <v>0</v>
      </c>
      <c r="J99" s="389">
        <f>J9*'Alış Fiyat'!J273</f>
        <v>0</v>
      </c>
      <c r="K99" s="389">
        <f>K9*'Alış Fiyat'!K273</f>
        <v>0</v>
      </c>
      <c r="L99" s="389">
        <f>L9*'Alış Fiyat'!L273</f>
        <v>0</v>
      </c>
      <c r="M99" s="389">
        <f>M9*'Alış Fiyat'!M273</f>
        <v>0</v>
      </c>
      <c r="N99" s="389">
        <f>N9*'Alış Fiyat'!N273</f>
        <v>0</v>
      </c>
      <c r="O99" s="390">
        <f>O9*'Alış Fiyat'!O273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Fiyat'!D274</f>
        <v>0</v>
      </c>
      <c r="E100" s="397">
        <f>E10*'Alış Fiyat'!E274</f>
        <v>0</v>
      </c>
      <c r="F100" s="397">
        <f>F10*'Alış Fiyat'!F274</f>
        <v>0</v>
      </c>
      <c r="G100" s="397">
        <f>G10*'Alış Fiyat'!G274</f>
        <v>0</v>
      </c>
      <c r="H100" s="397">
        <f>H10*'Alış Fiyat'!H274</f>
        <v>0</v>
      </c>
      <c r="I100" s="397">
        <f>I10*'Alış Fiyat'!I274</f>
        <v>0</v>
      </c>
      <c r="J100" s="397">
        <f>J10*'Alış Fiyat'!J274</f>
        <v>0</v>
      </c>
      <c r="K100" s="397">
        <f>K10*'Alış Fiyat'!K274</f>
        <v>0</v>
      </c>
      <c r="L100" s="397">
        <f>L10*'Alış Fiyat'!L274</f>
        <v>0</v>
      </c>
      <c r="M100" s="397">
        <f>M10*'Alış Fiyat'!M274</f>
        <v>0</v>
      </c>
      <c r="N100" s="397">
        <f>N10*'Alış Fiyat'!N274</f>
        <v>0</v>
      </c>
      <c r="O100" s="398">
        <f>O10*'Alış Fiyat'!O274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4"/>
      <c r="D101" s="402">
        <f>D11*'Alış Fiyat'!D275</f>
        <v>0</v>
      </c>
      <c r="E101" s="403">
        <f>E11*'Alış Fiyat'!E275</f>
        <v>0</v>
      </c>
      <c r="F101" s="403">
        <f>F11*'Alış Fiyat'!F275</f>
        <v>0</v>
      </c>
      <c r="G101" s="403">
        <f>G11*'Alış Fiyat'!G275</f>
        <v>0</v>
      </c>
      <c r="H101" s="403">
        <f>H11*'Alış Fiyat'!H275</f>
        <v>0</v>
      </c>
      <c r="I101" s="403">
        <f>I11*'Alış Fiyat'!I275</f>
        <v>0</v>
      </c>
      <c r="J101" s="403">
        <f>J11*'Alış Fiyat'!J275</f>
        <v>0</v>
      </c>
      <c r="K101" s="403">
        <f>K11*'Alış Fiyat'!K275</f>
        <v>0</v>
      </c>
      <c r="L101" s="403">
        <f>L11*'Alış Fiyat'!L275</f>
        <v>0</v>
      </c>
      <c r="M101" s="403">
        <f>M11*'Alış Fiyat'!M275</f>
        <v>0</v>
      </c>
      <c r="N101" s="403">
        <f>N11*'Alış Fiyat'!N275</f>
        <v>0</v>
      </c>
      <c r="O101" s="404">
        <f>O11*'Alış Fiyat'!O275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Fiyat'!D276</f>
        <v>0</v>
      </c>
      <c r="E102" s="382">
        <f>E12*'Alış Fiyat'!E276</f>
        <v>0</v>
      </c>
      <c r="F102" s="382">
        <f>F12*'Alış Fiyat'!F276</f>
        <v>0</v>
      </c>
      <c r="G102" s="382">
        <f>G12*'Alış Fiyat'!G276</f>
        <v>0</v>
      </c>
      <c r="H102" s="382">
        <f>H12*'Alış Fiyat'!H276</f>
        <v>0</v>
      </c>
      <c r="I102" s="381">
        <f>I12*'Alış Fiyat'!I276</f>
        <v>0</v>
      </c>
      <c r="J102" s="381">
        <f>J12*'Alış Fiyat'!J276</f>
        <v>0</v>
      </c>
      <c r="K102" s="382">
        <f>K12*'Alış Fiyat'!K276</f>
        <v>0</v>
      </c>
      <c r="L102" s="382">
        <f>L12*'Alış Fiyat'!L276</f>
        <v>0</v>
      </c>
      <c r="M102" s="382">
        <f>M12*'Alış Fiyat'!M276</f>
        <v>0</v>
      </c>
      <c r="N102" s="382">
        <f>N12*'Alış Fiyat'!N276</f>
        <v>0</v>
      </c>
      <c r="O102" s="383">
        <f>O12*'Alış Fiyat'!O276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Fiyat'!D279</f>
        <v>0</v>
      </c>
      <c r="E105" s="426">
        <f>E15*'Alış Fiyat'!E279</f>
        <v>0</v>
      </c>
      <c r="F105" s="426">
        <f>F15*'Alış Fiyat'!F279</f>
        <v>0</v>
      </c>
      <c r="G105" s="426">
        <f>G15*'Alış Fiyat'!G279</f>
        <v>0</v>
      </c>
      <c r="H105" s="426">
        <f>H15*'Alış Fiyat'!H279</f>
        <v>0</v>
      </c>
      <c r="I105" s="426">
        <f>I15*'Alış Fiyat'!I279</f>
        <v>0</v>
      </c>
      <c r="J105" s="426">
        <f>J15*'Alış Fiyat'!J279</f>
        <v>0</v>
      </c>
      <c r="K105" s="426">
        <f>K15*'Alış Fiyat'!K279</f>
        <v>0</v>
      </c>
      <c r="L105" s="426">
        <f>L15*'Alış Fiyat'!L279</f>
        <v>0</v>
      </c>
      <c r="M105" s="426">
        <f>M15*'Alış Fiyat'!M279</f>
        <v>0</v>
      </c>
      <c r="N105" s="426">
        <f>N15*'Alış Fiyat'!N279</f>
        <v>0</v>
      </c>
      <c r="O105" s="427">
        <f>O15*'Alış Fiyat'!O279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Fiyat'!D280</f>
        <v>0</v>
      </c>
      <c r="E106" s="434">
        <f>E16*'Alış Fiyat'!E280</f>
        <v>0</v>
      </c>
      <c r="F106" s="434">
        <f>F16*'Alış Fiyat'!F280</f>
        <v>0</v>
      </c>
      <c r="G106" s="434">
        <f>G16*'Alış Fiyat'!G280</f>
        <v>0</v>
      </c>
      <c r="H106" s="434">
        <f>H16*'Alış Fiyat'!H280</f>
        <v>0</v>
      </c>
      <c r="I106" s="434">
        <f>I16*'Alış Fiyat'!I280</f>
        <v>0</v>
      </c>
      <c r="J106" s="434">
        <f>J16*'Alış Fiyat'!J280</f>
        <v>0</v>
      </c>
      <c r="K106" s="434">
        <f>K16*'Alış Fiyat'!K280</f>
        <v>0</v>
      </c>
      <c r="L106" s="434">
        <f>L16*'Alış Fiyat'!L280</f>
        <v>0</v>
      </c>
      <c r="M106" s="434">
        <f>M16*'Alış Fiyat'!M280</f>
        <v>0</v>
      </c>
      <c r="N106" s="434">
        <f>N16*'Alış Fiyat'!N280</f>
        <v>0</v>
      </c>
      <c r="O106" s="435">
        <f>O16*'Alış Fiyat'!O280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Fiyat'!D282</f>
        <v>0</v>
      </c>
      <c r="E108" s="426">
        <f>E18*'Alış Fiyat'!E282</f>
        <v>0</v>
      </c>
      <c r="F108" s="426">
        <f>F18*'Alış Fiyat'!F282</f>
        <v>0</v>
      </c>
      <c r="G108" s="426">
        <f>G18*'Alış Fiyat'!G282</f>
        <v>0</v>
      </c>
      <c r="H108" s="426">
        <f>H18*'Alış Fiyat'!H282</f>
        <v>0</v>
      </c>
      <c r="I108" s="426">
        <f>I18*'Alış Fiyat'!I282</f>
        <v>0</v>
      </c>
      <c r="J108" s="426">
        <f>J18*'Alış Fiyat'!J282</f>
        <v>0</v>
      </c>
      <c r="K108" s="426">
        <f>K18*'Alış Fiyat'!K282</f>
        <v>0</v>
      </c>
      <c r="L108" s="426">
        <f>L18*'Alış Fiyat'!L282</f>
        <v>0</v>
      </c>
      <c r="M108" s="426">
        <f>M18*'Alış Fiyat'!M282</f>
        <v>0</v>
      </c>
      <c r="N108" s="426">
        <f>N18*'Alış Fiyat'!N282</f>
        <v>0</v>
      </c>
      <c r="O108" s="427">
        <f>O18*'Alış Fiyat'!O282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Fiyat'!D283</f>
        <v>0</v>
      </c>
      <c r="E109" s="442">
        <f>E19*'Alış Fiyat'!E283</f>
        <v>0</v>
      </c>
      <c r="F109" s="442">
        <f>F19*'Alış Fiyat'!F283</f>
        <v>0</v>
      </c>
      <c r="G109" s="442">
        <f>G19*'Alış Fiyat'!G283</f>
        <v>0</v>
      </c>
      <c r="H109" s="442">
        <f>H19*'Alış Fiyat'!H283</f>
        <v>0</v>
      </c>
      <c r="I109" s="442">
        <f>I19*'Alış Fiyat'!I283</f>
        <v>0</v>
      </c>
      <c r="J109" s="442">
        <f>J19*'Alış Fiyat'!J283</f>
        <v>0</v>
      </c>
      <c r="K109" s="442">
        <f>K19*'Alış Fiyat'!K283</f>
        <v>0</v>
      </c>
      <c r="L109" s="442">
        <f>L19*'Alış Fiyat'!L283</f>
        <v>0</v>
      </c>
      <c r="M109" s="442">
        <f>M19*'Alış Fiyat'!M283</f>
        <v>0</v>
      </c>
      <c r="N109" s="442">
        <f>N19*'Alış Fiyat'!N283</f>
        <v>0</v>
      </c>
      <c r="O109" s="443">
        <f>O19*'Alış Fiyat'!O283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Fiyat'!D285</f>
        <v>0</v>
      </c>
      <c r="E111" s="366">
        <f>E21*'Alış Fiyat'!E285</f>
        <v>0</v>
      </c>
      <c r="F111" s="366">
        <f>F21*'Alış Fiyat'!F285</f>
        <v>0</v>
      </c>
      <c r="G111" s="366">
        <f>G21*'Alış Fiyat'!G285</f>
        <v>0</v>
      </c>
      <c r="H111" s="366">
        <f>H21*'Alış Fiyat'!H285</f>
        <v>0</v>
      </c>
      <c r="I111" s="366">
        <f>I21*'Alış Fiyat'!I285</f>
        <v>0</v>
      </c>
      <c r="J111" s="366">
        <f>J21*'Alış Fiyat'!J285</f>
        <v>0</v>
      </c>
      <c r="K111" s="366">
        <f>K21*'Alış Fiyat'!K285</f>
        <v>0</v>
      </c>
      <c r="L111" s="366">
        <f>L21*'Alış Fiyat'!L285</f>
        <v>0</v>
      </c>
      <c r="M111" s="366">
        <f>M21*'Alış Fiyat'!M285</f>
        <v>0</v>
      </c>
      <c r="N111" s="366">
        <f>N21*'Alış Fiyat'!N285</f>
        <v>0</v>
      </c>
      <c r="O111" s="448">
        <f>O21*'Alış Fiyat'!O285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448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471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3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479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486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8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479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1"/>
      <c r="P144" s="394">
        <f t="shared" si="154"/>
        <v>0</v>
      </c>
      <c r="Q144" s="1253" t="str">
        <f t="shared" si="153"/>
        <v>-</v>
      </c>
    </row>
    <row r="145" spans="1:17">
      <c r="A145" s="483" t="s">
        <v>41</v>
      </c>
      <c r="B145" s="486"/>
      <c r="C145" s="486"/>
      <c r="D145" s="486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8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479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486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8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479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486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8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479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486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8"/>
      <c r="P151" s="391">
        <f t="shared" si="154"/>
        <v>0</v>
      </c>
      <c r="Q151" s="1254" t="str">
        <f t="shared" si="153"/>
        <v>-</v>
      </c>
    </row>
    <row r="152" spans="1:17" ht="21" customHeight="1">
      <c r="A152" s="476" t="s">
        <v>78</v>
      </c>
      <c r="B152" s="479"/>
      <c r="C152" s="479"/>
      <c r="D152" s="479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486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8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479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486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8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479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486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8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479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486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8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479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486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8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479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486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8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479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486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8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479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486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8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479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486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8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479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486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8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479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1"/>
      <c r="P172" s="394">
        <f>SUM(D172:O172)</f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493"/>
      <c r="E173" s="494"/>
      <c r="F173" s="494"/>
      <c r="G173" s="494"/>
      <c r="H173" s="494"/>
      <c r="I173" s="494"/>
      <c r="J173" s="494"/>
      <c r="K173" s="494"/>
      <c r="L173" s="494"/>
      <c r="M173" s="494"/>
      <c r="N173" s="494"/>
      <c r="O173" s="495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>D90-D179</f>
        <v>0</v>
      </c>
      <c r="E180" s="487">
        <f t="shared" ref="E180:P180" si="161">E90-E179</f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634" t="e">
        <f t="shared" ref="B183:C183" si="166">B182/B180</f>
        <v>#DIV/0!</v>
      </c>
      <c r="C183" s="2243" t="e">
        <f t="shared" si="166"/>
        <v>#DIV/0!</v>
      </c>
      <c r="D183" s="634" t="e">
        <f t="shared" ref="D183:P183" si="167">D182/D180</f>
        <v>#DIV/0!</v>
      </c>
      <c r="E183" s="635" t="e">
        <f t="shared" si="167"/>
        <v>#DIV/0!</v>
      </c>
      <c r="F183" s="635" t="e">
        <f t="shared" si="167"/>
        <v>#DIV/0!</v>
      </c>
      <c r="G183" s="635" t="e">
        <f t="shared" si="167"/>
        <v>#DIV/0!</v>
      </c>
      <c r="H183" s="635" t="e">
        <f t="shared" si="167"/>
        <v>#DIV/0!</v>
      </c>
      <c r="I183" s="635" t="e">
        <f t="shared" si="167"/>
        <v>#DIV/0!</v>
      </c>
      <c r="J183" s="635" t="e">
        <f t="shared" si="167"/>
        <v>#DIV/0!</v>
      </c>
      <c r="K183" s="635" t="e">
        <f t="shared" si="167"/>
        <v>#DIV/0!</v>
      </c>
      <c r="L183" s="635" t="e">
        <f t="shared" si="167"/>
        <v>#DIV/0!</v>
      </c>
      <c r="M183" s="635" t="e">
        <f t="shared" si="167"/>
        <v>#DIV/0!</v>
      </c>
      <c r="N183" s="635" t="e">
        <f t="shared" si="167"/>
        <v>#DIV/0!</v>
      </c>
      <c r="O183" s="636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>D184/D180</f>
        <v>#DIV/0!</v>
      </c>
      <c r="E185" s="527" t="e">
        <f t="shared" ref="E185:P185" si="170">E184/E180</f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4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V187"/>
  <sheetViews>
    <sheetView zoomScale="85" zoomScaleNormal="85" workbookViewId="0">
      <selection activeCell="B111" sqref="B111"/>
    </sheetView>
  </sheetViews>
  <sheetFormatPr defaultColWidth="9.109375" defaultRowHeight="14.4"/>
  <cols>
    <col min="1" max="1" width="34.33203125" style="352" customWidth="1"/>
    <col min="2" max="2" width="11.33203125" style="352" customWidth="1"/>
    <col min="3" max="3" width="11.88671875" style="352" customWidth="1"/>
    <col min="4" max="4" width="9.6640625" style="352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M3'!C59/1000</f>
        <v>0</v>
      </c>
      <c r="E5" s="372">
        <f>+'SAHA AYLIK ÜRÜN M3'!D59/1000</f>
        <v>0</v>
      </c>
      <c r="F5" s="372">
        <f>+'SAHA AYLIK ÜRÜN M3'!E59/1000</f>
        <v>0</v>
      </c>
      <c r="G5" s="372">
        <f>+'SAHA AYLIK ÜRÜN M3'!F59/1000</f>
        <v>0</v>
      </c>
      <c r="H5" s="373">
        <f>+'SAHA AYLIK ÜRÜN M3'!G59/1000</f>
        <v>0</v>
      </c>
      <c r="I5" s="373">
        <f>+'SAHA AYLIK ÜRÜN M3'!H59/1000</f>
        <v>0</v>
      </c>
      <c r="J5" s="373">
        <f>+'SAHA AYLIK ÜRÜN M3'!I59/1000</f>
        <v>0</v>
      </c>
      <c r="K5" s="373">
        <f>+'SAHA AYLIK ÜRÜN M3'!J59/1000</f>
        <v>0</v>
      </c>
      <c r="L5" s="373">
        <f>+'SAHA AYLIK ÜRÜN M3'!K59/1000</f>
        <v>0</v>
      </c>
      <c r="M5" s="373">
        <f>+'SAHA AYLIK ÜRÜN M3'!L59/1000</f>
        <v>0</v>
      </c>
      <c r="N5" s="373">
        <f>+'SAHA AYLIK ÜRÜN M3'!M59/1000</f>
        <v>0</v>
      </c>
      <c r="O5" s="374">
        <f>+'SAHA AYLIK ÜRÜN M3'!N59/1000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1269" t="s">
        <v>17</v>
      </c>
      <c r="B8" s="1448">
        <v>0</v>
      </c>
      <c r="C8" s="1459">
        <v>0</v>
      </c>
      <c r="D8" s="396">
        <f>+'SAHA AYLIK ÜRÜN M3'!C60/1000</f>
        <v>0</v>
      </c>
      <c r="E8" s="397">
        <f>+'SAHA AYLIK ÜRÜN M3'!D60/1000</f>
        <v>0</v>
      </c>
      <c r="F8" s="397">
        <f>+'SAHA AYLIK ÜRÜN M3'!E60/1000</f>
        <v>0</v>
      </c>
      <c r="G8" s="397">
        <f>+'SAHA AYLIK ÜRÜN M3'!F60/1000</f>
        <v>0</v>
      </c>
      <c r="H8" s="397">
        <f>+'SAHA AYLIK ÜRÜN M3'!G60/1000</f>
        <v>0</v>
      </c>
      <c r="I8" s="397">
        <f>+'SAHA AYLIK ÜRÜN M3'!H60/1000</f>
        <v>0</v>
      </c>
      <c r="J8" s="397">
        <f>+'SAHA AYLIK ÜRÜN M3'!I60/1000</f>
        <v>0</v>
      </c>
      <c r="K8" s="397">
        <f>+'SAHA AYLIK ÜRÜN M3'!J60/1000</f>
        <v>0</v>
      </c>
      <c r="L8" s="397">
        <f>+'SAHA AYLIK ÜRÜN M3'!K60/1000</f>
        <v>0</v>
      </c>
      <c r="M8" s="397">
        <f>+'SAHA AYLIK ÜRÜN M3'!L60/1000</f>
        <v>0</v>
      </c>
      <c r="N8" s="397">
        <f>+'SAHA AYLIK ÜRÜN M3'!M60/1000</f>
        <v>0</v>
      </c>
      <c r="O8" s="398">
        <f>+'SAHA AYLIK ÜRÜN M3'!N60/1000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M3'!C57/1000</f>
        <v>0</v>
      </c>
      <c r="E9" s="403">
        <f>+'SAHA AYLIK ÜRÜN M3'!D57/1000</f>
        <v>0</v>
      </c>
      <c r="F9" s="403">
        <f>+'SAHA AYLIK ÜRÜN M3'!E57/1000</f>
        <v>0</v>
      </c>
      <c r="G9" s="403">
        <f>+'SAHA AYLIK ÜRÜN M3'!F57/1000</f>
        <v>0</v>
      </c>
      <c r="H9" s="403">
        <f>+'SAHA AYLIK ÜRÜN M3'!G57/1000</f>
        <v>0</v>
      </c>
      <c r="I9" s="403">
        <f>+'SAHA AYLIK ÜRÜN M3'!H57/1000</f>
        <v>0</v>
      </c>
      <c r="J9" s="403">
        <f>+'SAHA AYLIK ÜRÜN M3'!I57/1000</f>
        <v>0</v>
      </c>
      <c r="K9" s="403">
        <f>+'SAHA AYLIK ÜRÜN M3'!J57/1000</f>
        <v>0</v>
      </c>
      <c r="L9" s="403">
        <f>+'SAHA AYLIK ÜRÜN M3'!K57/1000</f>
        <v>0</v>
      </c>
      <c r="M9" s="403">
        <f>+'SAHA AYLIK ÜRÜN M3'!L57/1000</f>
        <v>0</v>
      </c>
      <c r="N9" s="403">
        <f>+'SAHA AYLIK ÜRÜN M3'!M57/1000</f>
        <v>0</v>
      </c>
      <c r="O9" s="404">
        <f>+'SAHA AYLIK ÜRÜN M3'!N57/1000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M3'!C58/1000</f>
        <v>0</v>
      </c>
      <c r="E11" s="403">
        <f>+'SAHA AYLIK ÜRÜN M3'!D58/1000</f>
        <v>0</v>
      </c>
      <c r="F11" s="403">
        <f>+'SAHA AYLIK ÜRÜN M3'!E58/1000</f>
        <v>0</v>
      </c>
      <c r="G11" s="403">
        <f>+'SAHA AYLIK ÜRÜN M3'!F58/1000</f>
        <v>0</v>
      </c>
      <c r="H11" s="403">
        <f>+'SAHA AYLIK ÜRÜN M3'!G58/1000</f>
        <v>0</v>
      </c>
      <c r="I11" s="403">
        <f>+'SAHA AYLIK ÜRÜN M3'!H58/1000</f>
        <v>0</v>
      </c>
      <c r="J11" s="403">
        <f>+'SAHA AYLIK ÜRÜN M3'!I58/1000</f>
        <v>0</v>
      </c>
      <c r="K11" s="403">
        <f>+'SAHA AYLIK ÜRÜN M3'!J58/1000</f>
        <v>0</v>
      </c>
      <c r="L11" s="403">
        <f>+'SAHA AYLIK ÜRÜN M3'!K58/1000</f>
        <v>0</v>
      </c>
      <c r="M11" s="403">
        <f>+'SAHA AYLIK ÜRÜN M3'!L58/1000</f>
        <v>0</v>
      </c>
      <c r="N11" s="403">
        <f>+'SAHA AYLIK ÜRÜN M3'!M58/1000</f>
        <v>0</v>
      </c>
      <c r="O11" s="404">
        <f>+'SAHA AYLIK ÜRÜN M3'!N58/1000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M3'!C61/1000</f>
        <v>0</v>
      </c>
      <c r="E16" s="434">
        <f>+'SAHA AYLIK ÜRÜN M3'!D61/1000</f>
        <v>0</v>
      </c>
      <c r="F16" s="434">
        <f>+'SAHA AYLIK ÜRÜN M3'!E61/1000</f>
        <v>0</v>
      </c>
      <c r="G16" s="434">
        <f>+'SAHA AYLIK ÜRÜN M3'!F61/1000</f>
        <v>0</v>
      </c>
      <c r="H16" s="434">
        <f>+'SAHA AYLIK ÜRÜN M3'!G61/1000</f>
        <v>0</v>
      </c>
      <c r="I16" s="434">
        <f>+'SAHA AYLIK ÜRÜN M3'!H61/1000</f>
        <v>0</v>
      </c>
      <c r="J16" s="434">
        <f>+'SAHA AYLIK ÜRÜN M3'!I61/1000</f>
        <v>0</v>
      </c>
      <c r="K16" s="434">
        <f>+'SAHA AYLIK ÜRÜN M3'!J61/1000</f>
        <v>0</v>
      </c>
      <c r="L16" s="434">
        <f>+'SAHA AYLIK ÜRÜN M3'!K61/1000</f>
        <v>0</v>
      </c>
      <c r="M16" s="434">
        <f>+'SAHA AYLIK ÜRÜN M3'!L61/1000</f>
        <v>0</v>
      </c>
      <c r="N16" s="434">
        <f>+'SAHA AYLIK ÜRÜN M3'!M61/1000</f>
        <v>0</v>
      </c>
      <c r="O16" s="435">
        <f>+'SAHA AYLIK ÜRÜN M3'!N61/1000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+M.Yağ_Adbulue!E12/1000</f>
        <v>0</v>
      </c>
      <c r="E18" s="426">
        <f>+M.Yağ_Adbulue!F12/1000</f>
        <v>0</v>
      </c>
      <c r="F18" s="426">
        <f>+M.Yağ_Adbulue!G12/1000</f>
        <v>0</v>
      </c>
      <c r="G18" s="426">
        <f>+M.Yağ_Adbulue!H12/1000</f>
        <v>0</v>
      </c>
      <c r="H18" s="426">
        <f>+M.Yağ_Adbulue!I12/1000</f>
        <v>0</v>
      </c>
      <c r="I18" s="426">
        <f>+M.Yağ_Adbulue!J12/1000</f>
        <v>0</v>
      </c>
      <c r="J18" s="426">
        <f>+M.Yağ_Adbulue!K12/1000</f>
        <v>0</v>
      </c>
      <c r="K18" s="426">
        <f>+M.Yağ_Adbulue!L12/1000</f>
        <v>0</v>
      </c>
      <c r="L18" s="426">
        <f>+M.Yağ_Adbulue!M12/1000</f>
        <v>0</v>
      </c>
      <c r="M18" s="426">
        <f>+M.Yağ_Adbulue!N12/1000</f>
        <v>0</v>
      </c>
      <c r="N18" s="426">
        <f>+M.Yağ_Adbulue!O12/1000</f>
        <v>0</v>
      </c>
      <c r="O18" s="427">
        <f>+M.Yağ_Adbulue!P12/1000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+M.Yağ_Adbulue!E30/1000</f>
        <v>0</v>
      </c>
      <c r="E19" s="442">
        <f>+M.Yağ_Adbulue!F30/1000</f>
        <v>0</v>
      </c>
      <c r="F19" s="442">
        <f>+M.Yağ_Adbulue!G30/1000</f>
        <v>0</v>
      </c>
      <c r="G19" s="442">
        <f>+M.Yağ_Adbulue!H30/1000</f>
        <v>0</v>
      </c>
      <c r="H19" s="442">
        <f>+M.Yağ_Adbulue!I30/1000</f>
        <v>0</v>
      </c>
      <c r="I19" s="442">
        <f>+M.Yağ_Adbulue!J30/1000</f>
        <v>0</v>
      </c>
      <c r="J19" s="442">
        <f>+M.Yağ_Adbulue!K30/1000</f>
        <v>0</v>
      </c>
      <c r="K19" s="442">
        <f>+M.Yağ_Adbulue!L30/1000</f>
        <v>0</v>
      </c>
      <c r="L19" s="442">
        <f>+M.Yağ_Adbulue!M30/1000</f>
        <v>0</v>
      </c>
      <c r="M19" s="442">
        <f>+M.Yağ_Adbulue!N30/1000</f>
        <v>0</v>
      </c>
      <c r="N19" s="442">
        <f>+M.Yağ_Adbulue!O30/1000</f>
        <v>0</v>
      </c>
      <c r="O19" s="443">
        <f>+M.Yağ_Adbulue!P30/1000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Fiyat'!D197</f>
        <v>0</v>
      </c>
      <c r="E26" s="372">
        <f>E5*'Satış Fiyat'!E197</f>
        <v>0</v>
      </c>
      <c r="F26" s="372">
        <f>F5*'Satış Fiyat'!F197</f>
        <v>0</v>
      </c>
      <c r="G26" s="372">
        <f>G5*'Satış Fiyat'!G197</f>
        <v>0</v>
      </c>
      <c r="H26" s="373">
        <f>H5*'Satış Fiyat'!H197</f>
        <v>0</v>
      </c>
      <c r="I26" s="373">
        <f>I5*'Satış Fiyat'!I197</f>
        <v>0</v>
      </c>
      <c r="J26" s="373">
        <f>J5*'Satış Fiyat'!J197</f>
        <v>0</v>
      </c>
      <c r="K26" s="373">
        <f>K5*'Satış Fiyat'!K197</f>
        <v>0</v>
      </c>
      <c r="L26" s="373">
        <f>L5*'Satış Fiyat'!L197</f>
        <v>0</v>
      </c>
      <c r="M26" s="373">
        <f>M5*'Satış Fiyat'!M197</f>
        <v>0</v>
      </c>
      <c r="N26" s="373">
        <f>N5*'Satış Fiyat'!N197</f>
        <v>0</v>
      </c>
      <c r="O26" s="374">
        <f>O5*'Satış Fiyat'!O197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Fiyat'!D198</f>
        <v>0</v>
      </c>
      <c r="E27" s="381">
        <f>E6*'Satış Fiyat'!E198</f>
        <v>0</v>
      </c>
      <c r="F27" s="381">
        <f>F6*'Satış Fiyat'!F198</f>
        <v>0</v>
      </c>
      <c r="G27" s="381">
        <f>G6*'Satış Fiyat'!G198</f>
        <v>0</v>
      </c>
      <c r="H27" s="382">
        <f>H6*'Satış Fiyat'!H198</f>
        <v>0</v>
      </c>
      <c r="I27" s="382">
        <f>I6*'Satış Fiyat'!I198</f>
        <v>0</v>
      </c>
      <c r="J27" s="382">
        <f>J6*'Satış Fiyat'!J198</f>
        <v>0</v>
      </c>
      <c r="K27" s="382">
        <f>K6*'Satış Fiyat'!K198</f>
        <v>0</v>
      </c>
      <c r="L27" s="382">
        <f>L6*'Satış Fiyat'!L198</f>
        <v>0</v>
      </c>
      <c r="M27" s="382">
        <f>M6*'Satış Fiyat'!M198</f>
        <v>0</v>
      </c>
      <c r="N27" s="382">
        <f>N6*'Satış Fiyat'!N198</f>
        <v>0</v>
      </c>
      <c r="O27" s="383">
        <f>O6*'Satış Fiyat'!O198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Fiyat'!D200</f>
        <v>0</v>
      </c>
      <c r="E29" s="397">
        <f>E8*'Satış Fiyat'!E200</f>
        <v>0</v>
      </c>
      <c r="F29" s="397">
        <f>F8*'Satış Fiyat'!F200</f>
        <v>0</v>
      </c>
      <c r="G29" s="397">
        <f>G8*'Satış Fiyat'!G200</f>
        <v>0</v>
      </c>
      <c r="H29" s="397">
        <f>H8*'Satış Fiyat'!H200</f>
        <v>0</v>
      </c>
      <c r="I29" s="397">
        <f>I8*'Satış Fiyat'!I200</f>
        <v>0</v>
      </c>
      <c r="J29" s="397">
        <f>J8*'Satış Fiyat'!J200</f>
        <v>0</v>
      </c>
      <c r="K29" s="397">
        <f>K8*'Satış Fiyat'!K200</f>
        <v>0</v>
      </c>
      <c r="L29" s="397">
        <f>L8*'Satış Fiyat'!L200</f>
        <v>0</v>
      </c>
      <c r="M29" s="397">
        <f>M8*'Satış Fiyat'!M200</f>
        <v>0</v>
      </c>
      <c r="N29" s="397">
        <f>N8*'Satış Fiyat'!N200</f>
        <v>0</v>
      </c>
      <c r="O29" s="398">
        <f>O8*'Satış Fiyat'!O200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Fiyat'!D201</f>
        <v>0</v>
      </c>
      <c r="E30" s="389">
        <f>E9*'Satış Fiyat'!E201</f>
        <v>0</v>
      </c>
      <c r="F30" s="389">
        <f>F9*'Satış Fiyat'!F201</f>
        <v>0</v>
      </c>
      <c r="G30" s="389">
        <f>G9*'Satış Fiyat'!G201</f>
        <v>0</v>
      </c>
      <c r="H30" s="389">
        <f>H9*'Satış Fiyat'!H201</f>
        <v>0</v>
      </c>
      <c r="I30" s="389">
        <f>I9*'Satış Fiyat'!I201</f>
        <v>0</v>
      </c>
      <c r="J30" s="389">
        <f>J9*'Satış Fiyat'!J201</f>
        <v>0</v>
      </c>
      <c r="K30" s="389">
        <f>K9*'Satış Fiyat'!K201</f>
        <v>0</v>
      </c>
      <c r="L30" s="389">
        <f>L9*'Satış Fiyat'!L201</f>
        <v>0</v>
      </c>
      <c r="M30" s="389">
        <f>M9*'Satış Fiyat'!M201</f>
        <v>0</v>
      </c>
      <c r="N30" s="389">
        <f>N9*'Satış Fiyat'!N201</f>
        <v>0</v>
      </c>
      <c r="O30" s="390">
        <f>O9*'Satış Fiyat'!O201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Fiyat'!D202</f>
        <v>0</v>
      </c>
      <c r="E31" s="397">
        <f>E10*'Satış Fiyat'!E202</f>
        <v>0</v>
      </c>
      <c r="F31" s="397">
        <f>F10*'Satış Fiyat'!F202</f>
        <v>0</v>
      </c>
      <c r="G31" s="397">
        <f>G10*'Satış Fiyat'!G202</f>
        <v>0</v>
      </c>
      <c r="H31" s="397">
        <f>H10*'Satış Fiyat'!H202</f>
        <v>0</v>
      </c>
      <c r="I31" s="397">
        <f>I10*'Satış Fiyat'!I202</f>
        <v>0</v>
      </c>
      <c r="J31" s="397">
        <f>J10*'Satış Fiyat'!J202</f>
        <v>0</v>
      </c>
      <c r="K31" s="397">
        <f>K10*'Satış Fiyat'!K202</f>
        <v>0</v>
      </c>
      <c r="L31" s="397">
        <f>L10*'Satış Fiyat'!L202</f>
        <v>0</v>
      </c>
      <c r="M31" s="397">
        <f>M10*'Satış Fiyat'!M202</f>
        <v>0</v>
      </c>
      <c r="N31" s="397">
        <f>N10*'Satış Fiyat'!N202</f>
        <v>0</v>
      </c>
      <c r="O31" s="398">
        <f>O10*'Satış Fiyat'!O202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4"/>
      <c r="D32" s="402">
        <f>D11*'Satış Fiyat'!D203</f>
        <v>0</v>
      </c>
      <c r="E32" s="403">
        <f>E11*'Satış Fiyat'!E203</f>
        <v>0</v>
      </c>
      <c r="F32" s="389">
        <f>F11*'Satış Fiyat'!F203</f>
        <v>0</v>
      </c>
      <c r="G32" s="403">
        <f>G11*'Satış Fiyat'!G203</f>
        <v>0</v>
      </c>
      <c r="H32" s="403">
        <f>H11*'Satış Fiyat'!H203</f>
        <v>0</v>
      </c>
      <c r="I32" s="403">
        <f>I11*'Satış Fiyat'!I203</f>
        <v>0</v>
      </c>
      <c r="J32" s="403">
        <f>J11*'Satış Fiyat'!J203</f>
        <v>0</v>
      </c>
      <c r="K32" s="403">
        <f>K11*'Satış Fiyat'!K203</f>
        <v>0</v>
      </c>
      <c r="L32" s="403">
        <f>L11*'Satış Fiyat'!L203</f>
        <v>0</v>
      </c>
      <c r="M32" s="403">
        <f>M11*'Satış Fiyat'!M203</f>
        <v>0</v>
      </c>
      <c r="N32" s="403">
        <f>N11*'Satış Fiyat'!N203</f>
        <v>0</v>
      </c>
      <c r="O32" s="404">
        <f>O11*'Satış Fiyat'!O203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Fiyat'!D204</f>
        <v>0</v>
      </c>
      <c r="E33" s="382">
        <f>E12*'Satış Fiyat'!E204</f>
        <v>0</v>
      </c>
      <c r="F33" s="382">
        <f>F12*'Satış Fiyat'!F204</f>
        <v>0</v>
      </c>
      <c r="G33" s="382">
        <f>G12*'Satış Fiyat'!G204</f>
        <v>0</v>
      </c>
      <c r="H33" s="382">
        <f>H12*'Satış Fiyat'!H204</f>
        <v>0</v>
      </c>
      <c r="I33" s="381">
        <f>I12*'Satış Fiyat'!I204</f>
        <v>0</v>
      </c>
      <c r="J33" s="381">
        <f>J12*'Satış Fiyat'!J204</f>
        <v>0</v>
      </c>
      <c r="K33" s="382">
        <f>K12*'Satış Fiyat'!K204</f>
        <v>0</v>
      </c>
      <c r="L33" s="382">
        <f>L12*'Satış Fiyat'!L204</f>
        <v>0</v>
      </c>
      <c r="M33" s="382">
        <f>M12*'Satış Fiyat'!M204</f>
        <v>0</v>
      </c>
      <c r="N33" s="382">
        <f>N12*'Satış Fiyat'!N204</f>
        <v>0</v>
      </c>
      <c r="O33" s="383">
        <f>O12*'Satış Fiyat'!O204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Fiyat'!D207</f>
        <v>0</v>
      </c>
      <c r="E36" s="426">
        <f>E15*'Satış Fiyat'!E207</f>
        <v>0</v>
      </c>
      <c r="F36" s="426">
        <f>F15*'Satış Fiyat'!F207</f>
        <v>0</v>
      </c>
      <c r="G36" s="426">
        <f>G15*'Satış Fiyat'!G207</f>
        <v>0</v>
      </c>
      <c r="H36" s="426">
        <f>H15*'Satış Fiyat'!H207</f>
        <v>0</v>
      </c>
      <c r="I36" s="426">
        <f>I15*'Satış Fiyat'!I207</f>
        <v>0</v>
      </c>
      <c r="J36" s="426">
        <f>J15*'Satış Fiyat'!J207</f>
        <v>0</v>
      </c>
      <c r="K36" s="426">
        <f>K15*'Satış Fiyat'!K207</f>
        <v>0</v>
      </c>
      <c r="L36" s="426">
        <f>L15*'Satış Fiyat'!L207</f>
        <v>0</v>
      </c>
      <c r="M36" s="426">
        <f>M15*'Satış Fiyat'!M207</f>
        <v>0</v>
      </c>
      <c r="N36" s="426">
        <f>N15*'Satış Fiyat'!N207</f>
        <v>0</v>
      </c>
      <c r="O36" s="427">
        <f>O15*'Satış Fiyat'!O207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Fiyat'!D208</f>
        <v>0</v>
      </c>
      <c r="E37" s="434">
        <f>E16*'Satış Fiyat'!E208</f>
        <v>0</v>
      </c>
      <c r="F37" s="434">
        <f>F16*'Satış Fiyat'!F208</f>
        <v>0</v>
      </c>
      <c r="G37" s="434">
        <f>G16*'Satış Fiyat'!G208</f>
        <v>0</v>
      </c>
      <c r="H37" s="434">
        <f>H16*'Satış Fiyat'!H208</f>
        <v>0</v>
      </c>
      <c r="I37" s="434">
        <f>I16*'Satış Fiyat'!I208</f>
        <v>0</v>
      </c>
      <c r="J37" s="434">
        <f>J16*'Satış Fiyat'!J208</f>
        <v>0</v>
      </c>
      <c r="K37" s="434">
        <f>K16*'Satış Fiyat'!K208</f>
        <v>0</v>
      </c>
      <c r="L37" s="434">
        <f>L16*'Satış Fiyat'!L208</f>
        <v>0</v>
      </c>
      <c r="M37" s="434">
        <f>M16*'Satış Fiyat'!M208</f>
        <v>0</v>
      </c>
      <c r="N37" s="434">
        <f>N16*'Satış Fiyat'!N208</f>
        <v>0</v>
      </c>
      <c r="O37" s="435">
        <f>O16*'Satış Fiyat'!O208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Fiyat'!D210</f>
        <v>0</v>
      </c>
      <c r="E39" s="426">
        <f>E18*'Satış Fiyat'!E210</f>
        <v>0</v>
      </c>
      <c r="F39" s="426">
        <f>F18*'Satış Fiyat'!F210</f>
        <v>0</v>
      </c>
      <c r="G39" s="426">
        <f>G18*'Satış Fiyat'!G210</f>
        <v>0</v>
      </c>
      <c r="H39" s="426">
        <f>H18*'Satış Fiyat'!H210</f>
        <v>0</v>
      </c>
      <c r="I39" s="426">
        <f>I18*'Satış Fiyat'!I210</f>
        <v>0</v>
      </c>
      <c r="J39" s="426">
        <f>J18*'Satış Fiyat'!J210</f>
        <v>0</v>
      </c>
      <c r="K39" s="426">
        <f>K18*'Satış Fiyat'!K210</f>
        <v>0</v>
      </c>
      <c r="L39" s="426">
        <f>L18*'Satış Fiyat'!L210</f>
        <v>0</v>
      </c>
      <c r="M39" s="426">
        <f>M18*'Satış Fiyat'!M210</f>
        <v>0</v>
      </c>
      <c r="N39" s="426">
        <f>N18*'Satış Fiyat'!N210</f>
        <v>0</v>
      </c>
      <c r="O39" s="427">
        <f>O18*'Satış Fiyat'!O210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Fiyat'!D211</f>
        <v>0</v>
      </c>
      <c r="E40" s="442">
        <f>E19*'Satış Fiyat'!E211</f>
        <v>0</v>
      </c>
      <c r="F40" s="442">
        <f>F19*'Satış Fiyat'!F211</f>
        <v>0</v>
      </c>
      <c r="G40" s="442">
        <f>G19*'Satış Fiyat'!G211</f>
        <v>0</v>
      </c>
      <c r="H40" s="442">
        <f>H19*'Satış Fiyat'!H211</f>
        <v>0</v>
      </c>
      <c r="I40" s="442">
        <f>I19*'Satış Fiyat'!I211</f>
        <v>0</v>
      </c>
      <c r="J40" s="442">
        <f>J19*'Satış Fiyat'!J211</f>
        <v>0</v>
      </c>
      <c r="K40" s="442">
        <f>K19*'Satış Fiyat'!K211</f>
        <v>0</v>
      </c>
      <c r="L40" s="442">
        <f>L19*'Satış Fiyat'!L211</f>
        <v>0</v>
      </c>
      <c r="M40" s="442">
        <f>M19*'Satış Fiyat'!M211</f>
        <v>0</v>
      </c>
      <c r="N40" s="442">
        <f>N19*'Satış Fiyat'!N211</f>
        <v>0</v>
      </c>
      <c r="O40" s="443">
        <f>O19*'Satış Fiyat'!O211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D21*'Satış Fiyat'!D213</f>
        <v>0</v>
      </c>
      <c r="E42" s="366">
        <f>E21*'Satış Fiyat'!E213</f>
        <v>0</v>
      </c>
      <c r="F42" s="366">
        <f>F21*'Satış Fiyat'!F213</f>
        <v>0</v>
      </c>
      <c r="G42" s="366">
        <f>G21*'Satış Fiyat'!G213</f>
        <v>0</v>
      </c>
      <c r="H42" s="366">
        <f>H21*'Satış Fiyat'!H213</f>
        <v>0</v>
      </c>
      <c r="I42" s="366">
        <f>I21*'Satış Fiyat'!I213</f>
        <v>0</v>
      </c>
      <c r="J42" s="366">
        <f>J21*'Satış Fiyat'!J213</f>
        <v>0</v>
      </c>
      <c r="K42" s="366">
        <f>K21*'Satış Fiyat'!K213</f>
        <v>0</v>
      </c>
      <c r="L42" s="366">
        <f>L21*'Satış Fiyat'!L213</f>
        <v>0</v>
      </c>
      <c r="M42" s="366">
        <f>M21*'Satış Fiyat'!M213</f>
        <v>0</v>
      </c>
      <c r="N42" s="366">
        <f>N21*'Satış Fiyat'!N213</f>
        <v>0</v>
      </c>
      <c r="O42" s="448">
        <f>O21*'Satış Fiyat'!O213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0</v>
      </c>
      <c r="T53" s="461">
        <v>0</v>
      </c>
      <c r="U53" s="461">
        <v>0</v>
      </c>
      <c r="V53" s="461">
        <v>0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2.5999999999999999E-2</v>
      </c>
      <c r="T54" s="461">
        <v>2.5999999999999999E-2</v>
      </c>
      <c r="U54" s="461">
        <v>2.5999999999999999E-2</v>
      </c>
      <c r="V54" s="461">
        <v>2.5999999999999999E-2</v>
      </c>
    </row>
    <row r="55" spans="1:22" ht="16.5" customHeight="1">
      <c r="A55" s="400" t="s">
        <v>83</v>
      </c>
      <c r="B55" s="408"/>
      <c r="C55" s="404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0</v>
      </c>
      <c r="T55" s="461">
        <v>0</v>
      </c>
      <c r="U55" s="461">
        <v>0</v>
      </c>
      <c r="V55" s="461">
        <v>0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/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O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 t="shared" si="82"/>
        <v>0</v>
      </c>
      <c r="P67" s="363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369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643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Fiyat'!D197</f>
        <v>0</v>
      </c>
      <c r="E95" s="372">
        <f>E5*'Alış Fiyat'!E197</f>
        <v>0</v>
      </c>
      <c r="F95" s="372">
        <f>F5*'Alış Fiyat'!F197</f>
        <v>0</v>
      </c>
      <c r="G95" s="372">
        <f>G5*'Alış Fiyat'!G197</f>
        <v>0</v>
      </c>
      <c r="H95" s="373">
        <f>H5*'Alış Fiyat'!H197</f>
        <v>0</v>
      </c>
      <c r="I95" s="373">
        <f>I5*'Alış Fiyat'!I197</f>
        <v>0</v>
      </c>
      <c r="J95" s="373">
        <f>J5*'Alış Fiyat'!J197</f>
        <v>0</v>
      </c>
      <c r="K95" s="373">
        <f>K5*'Alış Fiyat'!K197</f>
        <v>0</v>
      </c>
      <c r="L95" s="373">
        <f>L5*'Alış Fiyat'!L197</f>
        <v>0</v>
      </c>
      <c r="M95" s="373">
        <f>M5*'Alış Fiyat'!M197</f>
        <v>0</v>
      </c>
      <c r="N95" s="373">
        <f>N5*'Alış Fiyat'!N197</f>
        <v>0</v>
      </c>
      <c r="O95" s="374">
        <f>O5*'Alış Fiyat'!O197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Fiyat'!D198</f>
        <v>0</v>
      </c>
      <c r="E96" s="381">
        <f>E6*'Alış Fiyat'!E198</f>
        <v>0</v>
      </c>
      <c r="F96" s="381">
        <f>F6*'Alış Fiyat'!F198</f>
        <v>0</v>
      </c>
      <c r="G96" s="381">
        <f>G6*'Alış Fiyat'!G198</f>
        <v>0</v>
      </c>
      <c r="H96" s="382">
        <f>H6*'Alış Fiyat'!H198</f>
        <v>0</v>
      </c>
      <c r="I96" s="382">
        <f>I6*'Alış Fiyat'!I198</f>
        <v>0</v>
      </c>
      <c r="J96" s="382">
        <f>J6*'Alış Fiyat'!J198</f>
        <v>0</v>
      </c>
      <c r="K96" s="382">
        <f>K6*'Alış Fiyat'!K198</f>
        <v>0</v>
      </c>
      <c r="L96" s="382">
        <f>L6*'Alış Fiyat'!L198</f>
        <v>0</v>
      </c>
      <c r="M96" s="382">
        <f>M6*'Alış Fiyat'!M198</f>
        <v>0</v>
      </c>
      <c r="N96" s="382">
        <f>N6*'Alış Fiyat'!N198</f>
        <v>0</v>
      </c>
      <c r="O96" s="383">
        <f>O6*'Alış Fiyat'!O198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Fiyat'!D200</f>
        <v>0</v>
      </c>
      <c r="E98" s="397">
        <f>E8*'Alış Fiyat'!E200</f>
        <v>0</v>
      </c>
      <c r="F98" s="397">
        <f>F8*'Alış Fiyat'!F200</f>
        <v>0</v>
      </c>
      <c r="G98" s="397">
        <f>G8*'Alış Fiyat'!G200</f>
        <v>0</v>
      </c>
      <c r="H98" s="397">
        <f>H8*'Alış Fiyat'!H200</f>
        <v>0</v>
      </c>
      <c r="I98" s="397">
        <f>I8*'Alış Fiyat'!I200</f>
        <v>0</v>
      </c>
      <c r="J98" s="397">
        <f>J8*'Alış Fiyat'!J200</f>
        <v>0</v>
      </c>
      <c r="K98" s="397">
        <f>K8*'Alış Fiyat'!K200</f>
        <v>0</v>
      </c>
      <c r="L98" s="397">
        <f>L8*'Alış Fiyat'!L200</f>
        <v>0</v>
      </c>
      <c r="M98" s="397">
        <f>M8*'Alış Fiyat'!M200</f>
        <v>0</v>
      </c>
      <c r="N98" s="397">
        <f>N8*'Alış Fiyat'!N200</f>
        <v>0</v>
      </c>
      <c r="O98" s="398">
        <f>O8*'Alış Fiyat'!O200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Fiyat'!D201</f>
        <v>0</v>
      </c>
      <c r="E99" s="389">
        <f>E9*'Alış Fiyat'!E201</f>
        <v>0</v>
      </c>
      <c r="F99" s="389">
        <f>F9*'Alış Fiyat'!F201</f>
        <v>0</v>
      </c>
      <c r="G99" s="389">
        <f>G9*'Alış Fiyat'!G201</f>
        <v>0</v>
      </c>
      <c r="H99" s="389">
        <f>H9*'Alış Fiyat'!H201</f>
        <v>0</v>
      </c>
      <c r="I99" s="389">
        <f>I9*'Alış Fiyat'!I201</f>
        <v>0</v>
      </c>
      <c r="J99" s="389">
        <f>J9*'Alış Fiyat'!J201</f>
        <v>0</v>
      </c>
      <c r="K99" s="389">
        <f>K9*'Alış Fiyat'!K201</f>
        <v>0</v>
      </c>
      <c r="L99" s="389">
        <f>L9*'Alış Fiyat'!L201</f>
        <v>0</v>
      </c>
      <c r="M99" s="389">
        <f>M9*'Alış Fiyat'!M201</f>
        <v>0</v>
      </c>
      <c r="N99" s="389">
        <f>N9*'Alış Fiyat'!N201</f>
        <v>0</v>
      </c>
      <c r="O99" s="390">
        <f>O9*'Alış Fiyat'!O201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Fiyat'!D202</f>
        <v>0</v>
      </c>
      <c r="E100" s="397">
        <f>E10*'Alış Fiyat'!E202</f>
        <v>0</v>
      </c>
      <c r="F100" s="397">
        <f>F10*'Alış Fiyat'!F202</f>
        <v>0</v>
      </c>
      <c r="G100" s="397">
        <f>G10*'Alış Fiyat'!G202</f>
        <v>0</v>
      </c>
      <c r="H100" s="397">
        <f>H10*'Alış Fiyat'!H202</f>
        <v>0</v>
      </c>
      <c r="I100" s="397">
        <f>I10*'Alış Fiyat'!I202</f>
        <v>0</v>
      </c>
      <c r="J100" s="397">
        <f>J10*'Alış Fiyat'!J202</f>
        <v>0</v>
      </c>
      <c r="K100" s="397">
        <f>K10*'Alış Fiyat'!K202</f>
        <v>0</v>
      </c>
      <c r="L100" s="397">
        <f>L10*'Alış Fiyat'!L202</f>
        <v>0</v>
      </c>
      <c r="M100" s="397">
        <f>M10*'Alış Fiyat'!M202</f>
        <v>0</v>
      </c>
      <c r="N100" s="397">
        <f>N10*'Alış Fiyat'!N202</f>
        <v>0</v>
      </c>
      <c r="O100" s="398">
        <f>O10*'Alış Fiyat'!O202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4"/>
      <c r="D101" s="402">
        <f>D11*'Alış Fiyat'!D203</f>
        <v>0</v>
      </c>
      <c r="E101" s="403">
        <f>E11*'Alış Fiyat'!E203</f>
        <v>0</v>
      </c>
      <c r="F101" s="403">
        <f>F11*'Alış Fiyat'!F203</f>
        <v>0</v>
      </c>
      <c r="G101" s="403">
        <f>G11*'Alış Fiyat'!G203</f>
        <v>0</v>
      </c>
      <c r="H101" s="403">
        <f>H11*'Alış Fiyat'!H203</f>
        <v>0</v>
      </c>
      <c r="I101" s="403">
        <f>I11*'Alış Fiyat'!I203</f>
        <v>0</v>
      </c>
      <c r="J101" s="403">
        <f>J11*'Alış Fiyat'!J203</f>
        <v>0</v>
      </c>
      <c r="K101" s="403">
        <f>K11*'Alış Fiyat'!K203</f>
        <v>0</v>
      </c>
      <c r="L101" s="403">
        <f>L11*'Alış Fiyat'!L203</f>
        <v>0</v>
      </c>
      <c r="M101" s="403">
        <f>M11*'Alış Fiyat'!M203</f>
        <v>0</v>
      </c>
      <c r="N101" s="403">
        <f>N11*'Alış Fiyat'!N203</f>
        <v>0</v>
      </c>
      <c r="O101" s="404">
        <f>O11*'Alış Fiyat'!O203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Fiyat'!D204</f>
        <v>0</v>
      </c>
      <c r="E102" s="382">
        <f>E12*'Alış Fiyat'!E204</f>
        <v>0</v>
      </c>
      <c r="F102" s="382">
        <f>F12*'Alış Fiyat'!F204</f>
        <v>0</v>
      </c>
      <c r="G102" s="382">
        <f>G12*'Alış Fiyat'!G204</f>
        <v>0</v>
      </c>
      <c r="H102" s="382">
        <f>H12*'Alış Fiyat'!H204</f>
        <v>0</v>
      </c>
      <c r="I102" s="381">
        <f>I12*'Alış Fiyat'!I204</f>
        <v>0</v>
      </c>
      <c r="J102" s="381">
        <f>J12*'Alış Fiyat'!J204</f>
        <v>0</v>
      </c>
      <c r="K102" s="382">
        <f>K12*'Alış Fiyat'!K204</f>
        <v>0</v>
      </c>
      <c r="L102" s="382">
        <f>L12*'Alış Fiyat'!L204</f>
        <v>0</v>
      </c>
      <c r="M102" s="382">
        <f>M12*'Alış Fiyat'!M204</f>
        <v>0</v>
      </c>
      <c r="N102" s="382">
        <f>N12*'Alış Fiyat'!N204</f>
        <v>0</v>
      </c>
      <c r="O102" s="383">
        <f>O12*'Alış Fiyat'!O204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Fiyat'!D207</f>
        <v>0</v>
      </c>
      <c r="E105" s="426">
        <f>E15*'Alış Fiyat'!E207</f>
        <v>0</v>
      </c>
      <c r="F105" s="426">
        <f>F15*'Alış Fiyat'!F207</f>
        <v>0</v>
      </c>
      <c r="G105" s="426">
        <f>G15*'Alış Fiyat'!G207</f>
        <v>0</v>
      </c>
      <c r="H105" s="426">
        <f>H15*'Alış Fiyat'!H207</f>
        <v>0</v>
      </c>
      <c r="I105" s="426">
        <f>I15*'Alış Fiyat'!I207</f>
        <v>0</v>
      </c>
      <c r="J105" s="426">
        <f>J15*'Alış Fiyat'!J207</f>
        <v>0</v>
      </c>
      <c r="K105" s="426">
        <f>K15*'Alış Fiyat'!K207</f>
        <v>0</v>
      </c>
      <c r="L105" s="426">
        <f>L15*'Alış Fiyat'!L207</f>
        <v>0</v>
      </c>
      <c r="M105" s="426">
        <f>M15*'Alış Fiyat'!M207</f>
        <v>0</v>
      </c>
      <c r="N105" s="426">
        <f>N15*'Alış Fiyat'!N207</f>
        <v>0</v>
      </c>
      <c r="O105" s="427">
        <f>O15*'Alış Fiyat'!O207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Fiyat'!D208</f>
        <v>0</v>
      </c>
      <c r="E106" s="434">
        <f>E16*'Alış Fiyat'!E208</f>
        <v>0</v>
      </c>
      <c r="F106" s="434">
        <f>F16*'Alış Fiyat'!F208</f>
        <v>0</v>
      </c>
      <c r="G106" s="434">
        <f>G16*'Alış Fiyat'!G208</f>
        <v>0</v>
      </c>
      <c r="H106" s="434">
        <f>H16*'Alış Fiyat'!H208</f>
        <v>0</v>
      </c>
      <c r="I106" s="434">
        <f>I16*'Alış Fiyat'!I208</f>
        <v>0</v>
      </c>
      <c r="J106" s="434">
        <f>J16*'Alış Fiyat'!J208</f>
        <v>0</v>
      </c>
      <c r="K106" s="434">
        <f>K16*'Alış Fiyat'!K208</f>
        <v>0</v>
      </c>
      <c r="L106" s="434">
        <f>L16*'Alış Fiyat'!L208</f>
        <v>0</v>
      </c>
      <c r="M106" s="434">
        <f>M16*'Alış Fiyat'!M208</f>
        <v>0</v>
      </c>
      <c r="N106" s="434">
        <f>N16*'Alış Fiyat'!N208</f>
        <v>0</v>
      </c>
      <c r="O106" s="435">
        <f>O16*'Alış Fiyat'!O208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Fiyat'!D210</f>
        <v>0</v>
      </c>
      <c r="E108" s="426">
        <f>E18*'Alış Fiyat'!E210</f>
        <v>0</v>
      </c>
      <c r="F108" s="426">
        <f>F18*'Alış Fiyat'!F210</f>
        <v>0</v>
      </c>
      <c r="G108" s="426">
        <f>G18*'Alış Fiyat'!G210</f>
        <v>0</v>
      </c>
      <c r="H108" s="426">
        <f>H18*'Alış Fiyat'!H210</f>
        <v>0</v>
      </c>
      <c r="I108" s="426">
        <f>I18*'Alış Fiyat'!I210</f>
        <v>0</v>
      </c>
      <c r="J108" s="426">
        <f>J18*'Alış Fiyat'!J210</f>
        <v>0</v>
      </c>
      <c r="K108" s="426">
        <f>K18*'Alış Fiyat'!K210</f>
        <v>0</v>
      </c>
      <c r="L108" s="426">
        <f>L18*'Alış Fiyat'!L210</f>
        <v>0</v>
      </c>
      <c r="M108" s="426">
        <f>M18*'Alış Fiyat'!M210</f>
        <v>0</v>
      </c>
      <c r="N108" s="426">
        <f>N18*'Alış Fiyat'!N210</f>
        <v>0</v>
      </c>
      <c r="O108" s="427">
        <f>O18*'Alış Fiyat'!O210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39">
        <f>B109/9*12</f>
        <v>0</v>
      </c>
      <c r="D109" s="441">
        <f>D19*'Alış Fiyat'!D211</f>
        <v>0</v>
      </c>
      <c r="E109" s="442">
        <f>E19*'Alış Fiyat'!E211</f>
        <v>0</v>
      </c>
      <c r="F109" s="442">
        <f>F19*'Alış Fiyat'!F211</f>
        <v>0</v>
      </c>
      <c r="G109" s="442">
        <f>G19*'Alış Fiyat'!G211</f>
        <v>0</v>
      </c>
      <c r="H109" s="442">
        <f>H19*'Alış Fiyat'!H211</f>
        <v>0</v>
      </c>
      <c r="I109" s="442">
        <f>I19*'Alış Fiyat'!I211</f>
        <v>0</v>
      </c>
      <c r="J109" s="442">
        <f>J19*'Alış Fiyat'!J211</f>
        <v>0</v>
      </c>
      <c r="K109" s="442">
        <f>K19*'Alış Fiyat'!K211</f>
        <v>0</v>
      </c>
      <c r="L109" s="442">
        <f>L19*'Alış Fiyat'!L211</f>
        <v>0</v>
      </c>
      <c r="M109" s="442">
        <f>M19*'Alış Fiyat'!M211</f>
        <v>0</v>
      </c>
      <c r="N109" s="442">
        <f>N19*'Alış Fiyat'!N211</f>
        <v>0</v>
      </c>
      <c r="O109" s="443">
        <f>O19*'Alış Fiyat'!O211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D21*'Alış Fiyat'!D213</f>
        <v>0</v>
      </c>
      <c r="E111" s="366">
        <f>E21*'Alış Fiyat'!E213</f>
        <v>0</v>
      </c>
      <c r="F111" s="366">
        <f>F21*'Alış Fiyat'!F213</f>
        <v>0</v>
      </c>
      <c r="G111" s="366">
        <f>G21*'Alış Fiyat'!G213</f>
        <v>0</v>
      </c>
      <c r="H111" s="366">
        <f>H21*'Alış Fiyat'!H213</f>
        <v>0</v>
      </c>
      <c r="I111" s="366">
        <f>I21*'Alış Fiyat'!I213</f>
        <v>0</v>
      </c>
      <c r="J111" s="366">
        <f>J21*'Alış Fiyat'!J213</f>
        <v>0</v>
      </c>
      <c r="K111" s="366">
        <f>K21*'Alış Fiyat'!K213</f>
        <v>0</v>
      </c>
      <c r="L111" s="366">
        <f>L21*'Alış Fiyat'!L213</f>
        <v>0</v>
      </c>
      <c r="M111" s="366">
        <f>M21*'Alış Fiyat'!M213</f>
        <v>0</v>
      </c>
      <c r="N111" s="366">
        <f>N21*'Alış Fiyat'!N213</f>
        <v>0</v>
      </c>
      <c r="O111" s="448">
        <f>O21*'Alış Fiyat'!O213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 t="shared" ref="D134:O134" si="148">+D88-D111</f>
        <v>0</v>
      </c>
      <c r="E134" s="366">
        <f t="shared" si="148"/>
        <v>0</v>
      </c>
      <c r="F134" s="366">
        <f t="shared" si="148"/>
        <v>0</v>
      </c>
      <c r="G134" s="366">
        <f t="shared" si="148"/>
        <v>0</v>
      </c>
      <c r="H134" s="366">
        <f t="shared" si="148"/>
        <v>0</v>
      </c>
      <c r="I134" s="366">
        <f t="shared" si="148"/>
        <v>0</v>
      </c>
      <c r="J134" s="366">
        <f t="shared" si="148"/>
        <v>0</v>
      </c>
      <c r="K134" s="366">
        <f t="shared" si="148"/>
        <v>0</v>
      </c>
      <c r="L134" s="366">
        <f t="shared" si="148"/>
        <v>0</v>
      </c>
      <c r="M134" s="366">
        <f t="shared" si="148"/>
        <v>0</v>
      </c>
      <c r="N134" s="366">
        <f t="shared" si="148"/>
        <v>0</v>
      </c>
      <c r="O134" s="366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 ht="15" customHeight="1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>SUM(D172:O172)</f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>D90-D179</f>
        <v>0</v>
      </c>
      <c r="E180" s="487">
        <f t="shared" ref="E180:P180" si="161">E90-E179</f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634" t="e">
        <f t="shared" ref="B183:C183" si="166">B182/B180</f>
        <v>#DIV/0!</v>
      </c>
      <c r="C183" s="2243" t="e">
        <f t="shared" si="166"/>
        <v>#DIV/0!</v>
      </c>
      <c r="D183" s="634" t="e">
        <f t="shared" ref="D183:P183" si="167">D182/D180</f>
        <v>#DIV/0!</v>
      </c>
      <c r="E183" s="635" t="e">
        <f t="shared" si="167"/>
        <v>#DIV/0!</v>
      </c>
      <c r="F183" s="635" t="e">
        <f t="shared" si="167"/>
        <v>#DIV/0!</v>
      </c>
      <c r="G183" s="635" t="e">
        <f t="shared" si="167"/>
        <v>#DIV/0!</v>
      </c>
      <c r="H183" s="635" t="e">
        <f t="shared" si="167"/>
        <v>#DIV/0!</v>
      </c>
      <c r="I183" s="635" t="e">
        <f t="shared" si="167"/>
        <v>#DIV/0!</v>
      </c>
      <c r="J183" s="635" t="e">
        <f t="shared" si="167"/>
        <v>#DIV/0!</v>
      </c>
      <c r="K183" s="635" t="e">
        <f t="shared" si="167"/>
        <v>#DIV/0!</v>
      </c>
      <c r="L183" s="635" t="e">
        <f t="shared" si="167"/>
        <v>#DIV/0!</v>
      </c>
      <c r="M183" s="635" t="e">
        <f t="shared" si="167"/>
        <v>#DIV/0!</v>
      </c>
      <c r="N183" s="635" t="e">
        <f t="shared" si="167"/>
        <v>#DIV/0!</v>
      </c>
      <c r="O183" s="636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3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4" max="16" man="1"/>
  </rowBreaks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V187"/>
  <sheetViews>
    <sheetView zoomScale="85" zoomScaleNormal="85" workbookViewId="0">
      <selection activeCell="B111" sqref="B111"/>
    </sheetView>
  </sheetViews>
  <sheetFormatPr defaultColWidth="9.109375" defaultRowHeight="14.4"/>
  <cols>
    <col min="1" max="1" width="32.5546875" style="352" customWidth="1"/>
    <col min="2" max="2" width="11.33203125" style="352" customWidth="1"/>
    <col min="3" max="3" width="11.88671875" style="352" customWidth="1"/>
    <col min="4" max="4" width="10.88671875" style="352" bestFit="1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1.33203125" style="352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649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360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363">
        <f t="shared" ref="P4:P21" si="2">SUM(D4:O4)</f>
        <v>0</v>
      </c>
      <c r="Q4" s="421" t="str">
        <f t="shared" ref="Q4:Q21" si="3">IF(P4=0,"-",P4/C4-1)</f>
        <v>-</v>
      </c>
    </row>
    <row r="5" spans="1:22" ht="16.5" customHeight="1">
      <c r="A5" s="368" t="s">
        <v>15</v>
      </c>
      <c r="B5" s="1444"/>
      <c r="C5" s="1445">
        <f>B5/9*12</f>
        <v>0</v>
      </c>
      <c r="D5" s="371">
        <f>+'SAHA AYLIK ÜRÜN M3'!C83/1000</f>
        <v>0</v>
      </c>
      <c r="E5" s="372">
        <f>+'SAHA AYLIK ÜRÜN M3'!D83/1000</f>
        <v>0</v>
      </c>
      <c r="F5" s="372">
        <f>+'SAHA AYLIK ÜRÜN M3'!E83/1000</f>
        <v>0</v>
      </c>
      <c r="G5" s="372">
        <f>+'SAHA AYLIK ÜRÜN M3'!F83/1000</f>
        <v>0</v>
      </c>
      <c r="H5" s="373">
        <f>+'SAHA AYLIK ÜRÜN M3'!G83/1000</f>
        <v>0</v>
      </c>
      <c r="I5" s="373">
        <f>+'SAHA AYLIK ÜRÜN M3'!H83/1000</f>
        <v>0</v>
      </c>
      <c r="J5" s="373">
        <f>+'SAHA AYLIK ÜRÜN M3'!I83/1000</f>
        <v>0</v>
      </c>
      <c r="K5" s="373">
        <f>+'SAHA AYLIK ÜRÜN M3'!J83/1000</f>
        <v>0</v>
      </c>
      <c r="L5" s="373">
        <f>+'SAHA AYLIK ÜRÜN M3'!K83/1000</f>
        <v>0</v>
      </c>
      <c r="M5" s="373">
        <f>+'SAHA AYLIK ÜRÜN M3'!L83/1000</f>
        <v>0</v>
      </c>
      <c r="N5" s="373">
        <f>+'SAHA AYLIK ÜRÜN M3'!M83/1000</f>
        <v>0</v>
      </c>
      <c r="O5" s="374">
        <f>+'SAHA AYLIK ÜRÜN M3'!N83/1000</f>
        <v>0</v>
      </c>
      <c r="P5" s="369">
        <f t="shared" si="2"/>
        <v>0</v>
      </c>
      <c r="Q5" s="375" t="str">
        <f t="shared" si="3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378">
        <f t="shared" si="2"/>
        <v>0</v>
      </c>
      <c r="Q6" s="1438" t="str">
        <f t="shared" si="3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391">
        <f t="shared" si="2"/>
        <v>0</v>
      </c>
      <c r="Q7" s="392" t="str">
        <f t="shared" si="3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M3'!C84/1000</f>
        <v>0</v>
      </c>
      <c r="E8" s="397">
        <f>+'SAHA AYLIK ÜRÜN M3'!D84/1000</f>
        <v>0</v>
      </c>
      <c r="F8" s="397">
        <f>+'SAHA AYLIK ÜRÜN M3'!E84/1000</f>
        <v>0</v>
      </c>
      <c r="G8" s="397">
        <f>+'SAHA AYLIK ÜRÜN M3'!F84/1000</f>
        <v>0</v>
      </c>
      <c r="H8" s="397">
        <f>+'SAHA AYLIK ÜRÜN M3'!G84/1000</f>
        <v>0</v>
      </c>
      <c r="I8" s="397">
        <f>+'SAHA AYLIK ÜRÜN M3'!H84/1000</f>
        <v>0</v>
      </c>
      <c r="J8" s="397">
        <f>+'SAHA AYLIK ÜRÜN M3'!I84/1000</f>
        <v>0</v>
      </c>
      <c r="K8" s="397">
        <f>+'SAHA AYLIK ÜRÜN M3'!J84/1000</f>
        <v>0</v>
      </c>
      <c r="L8" s="397">
        <f>+'SAHA AYLIK ÜRÜN M3'!K84/1000</f>
        <v>0</v>
      </c>
      <c r="M8" s="397">
        <f>+'SAHA AYLIK ÜRÜN M3'!L84/1000</f>
        <v>0</v>
      </c>
      <c r="N8" s="397">
        <f>+'SAHA AYLIK ÜRÜN M3'!M84/1000</f>
        <v>0</v>
      </c>
      <c r="O8" s="398">
        <f>+'SAHA AYLIK ÜRÜN M3'!N84/1000</f>
        <v>0</v>
      </c>
      <c r="P8" s="399">
        <f t="shared" si="2"/>
        <v>0</v>
      </c>
      <c r="Q8" s="384" t="str">
        <f t="shared" si="3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M3'!C81/1000</f>
        <v>0</v>
      </c>
      <c r="E9" s="403">
        <f>+'SAHA AYLIK ÜRÜN M3'!D81/1000</f>
        <v>0</v>
      </c>
      <c r="F9" s="403">
        <f>+'SAHA AYLIK ÜRÜN M3'!E81/1000</f>
        <v>0</v>
      </c>
      <c r="G9" s="403">
        <f>+'SAHA AYLIK ÜRÜN M3'!F81/1000</f>
        <v>0</v>
      </c>
      <c r="H9" s="403">
        <f>+'SAHA AYLIK ÜRÜN M3'!G81/1000</f>
        <v>0</v>
      </c>
      <c r="I9" s="403">
        <f>+'SAHA AYLIK ÜRÜN M3'!H81/1000</f>
        <v>0</v>
      </c>
      <c r="J9" s="403">
        <f>+'SAHA AYLIK ÜRÜN M3'!I81/1000</f>
        <v>0</v>
      </c>
      <c r="K9" s="403">
        <f>+'SAHA AYLIK ÜRÜN M3'!J81/1000</f>
        <v>0</v>
      </c>
      <c r="L9" s="403">
        <f>+'SAHA AYLIK ÜRÜN M3'!K81/1000</f>
        <v>0</v>
      </c>
      <c r="M9" s="403">
        <f>+'SAHA AYLIK ÜRÜN M3'!L81/1000</f>
        <v>0</v>
      </c>
      <c r="N9" s="403">
        <f>+'SAHA AYLIK ÜRÜN M3'!M81/1000</f>
        <v>0</v>
      </c>
      <c r="O9" s="404">
        <f>+'SAHA AYLIK ÜRÜN M3'!N81/1000</f>
        <v>0</v>
      </c>
      <c r="P9" s="386">
        <f t="shared" si="2"/>
        <v>0</v>
      </c>
      <c r="Q9" s="405" t="str">
        <f t="shared" si="3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399">
        <f t="shared" si="2"/>
        <v>0</v>
      </c>
      <c r="Q10" s="1438" t="str">
        <f t="shared" si="3"/>
        <v>-</v>
      </c>
    </row>
    <row r="11" spans="1:22" ht="16.5" customHeight="1">
      <c r="A11" s="400" t="s">
        <v>83</v>
      </c>
      <c r="B11" s="408"/>
      <c r="C11" s="404"/>
      <c r="D11" s="402">
        <f>+'SAHA AYLIK ÜRÜN M3'!C82/1000</f>
        <v>0</v>
      </c>
      <c r="E11" s="403">
        <f>+'SAHA AYLIK ÜRÜN M3'!D82/1000</f>
        <v>0</v>
      </c>
      <c r="F11" s="403">
        <f>+'SAHA AYLIK ÜRÜN M3'!E82/1000</f>
        <v>0</v>
      </c>
      <c r="G11" s="403">
        <f>+'SAHA AYLIK ÜRÜN M3'!F82/1000</f>
        <v>0</v>
      </c>
      <c r="H11" s="403">
        <f>+'SAHA AYLIK ÜRÜN M3'!G82/1000</f>
        <v>0</v>
      </c>
      <c r="I11" s="403">
        <f>+'SAHA AYLIK ÜRÜN M3'!H82/1000</f>
        <v>0</v>
      </c>
      <c r="J11" s="403">
        <f>+'SAHA AYLIK ÜRÜN M3'!I82/1000</f>
        <v>0</v>
      </c>
      <c r="K11" s="403">
        <f>+'SAHA AYLIK ÜRÜN M3'!J82/1000</f>
        <v>0</v>
      </c>
      <c r="L11" s="403">
        <f>+'SAHA AYLIK ÜRÜN M3'!K82/1000</f>
        <v>0</v>
      </c>
      <c r="M11" s="403">
        <f>+'SAHA AYLIK ÜRÜN M3'!L82/1000</f>
        <v>0</v>
      </c>
      <c r="N11" s="403">
        <f>+'SAHA AYLIK ÜRÜN M3'!M82/1000</f>
        <v>0</v>
      </c>
      <c r="O11" s="404">
        <f>+'SAHA AYLIK ÜRÜN M3'!N82/1000</f>
        <v>0</v>
      </c>
      <c r="P11" s="386">
        <f t="shared" si="2"/>
        <v>0</v>
      </c>
      <c r="Q11" s="405" t="str">
        <f t="shared" si="3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399">
        <f t="shared" si="2"/>
        <v>0</v>
      </c>
      <c r="Q12" s="1438" t="str">
        <f t="shared" si="3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411">
        <f t="shared" si="2"/>
        <v>0</v>
      </c>
      <c r="Q13" s="415" t="str">
        <f t="shared" si="3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420">
        <f t="shared" si="2"/>
        <v>0</v>
      </c>
      <c r="Q14" s="421" t="str">
        <f t="shared" si="3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428">
        <f t="shared" si="2"/>
        <v>0</v>
      </c>
      <c r="Q15" s="429" t="str">
        <f t="shared" si="3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M3'!C85/1000</f>
        <v>0</v>
      </c>
      <c r="E16" s="434">
        <f>+'SAHA AYLIK ÜRÜN M3'!D85/1000</f>
        <v>0</v>
      </c>
      <c r="F16" s="434">
        <f>+'SAHA AYLIK ÜRÜN M3'!E85/1000</f>
        <v>0</v>
      </c>
      <c r="G16" s="434">
        <f>+'SAHA AYLIK ÜRÜN M3'!F85/1000</f>
        <v>0</v>
      </c>
      <c r="H16" s="434">
        <f>+'SAHA AYLIK ÜRÜN M3'!G85/1000</f>
        <v>0</v>
      </c>
      <c r="I16" s="434">
        <f>+'SAHA AYLIK ÜRÜN M3'!H85/1000</f>
        <v>0</v>
      </c>
      <c r="J16" s="434">
        <f>+'SAHA AYLIK ÜRÜN M3'!I85/1000</f>
        <v>0</v>
      </c>
      <c r="K16" s="434">
        <f>+'SAHA AYLIK ÜRÜN M3'!J85/1000</f>
        <v>0</v>
      </c>
      <c r="L16" s="434">
        <f>+'SAHA AYLIK ÜRÜN M3'!K85/1000</f>
        <v>0</v>
      </c>
      <c r="M16" s="434">
        <f>+'SAHA AYLIK ÜRÜN M3'!L85/1000</f>
        <v>0</v>
      </c>
      <c r="N16" s="434">
        <f>+'SAHA AYLIK ÜRÜN M3'!M85/1000</f>
        <v>0</v>
      </c>
      <c r="O16" s="435">
        <f>+'SAHA AYLIK ÜRÜN M3'!N85/1000</f>
        <v>0</v>
      </c>
      <c r="P16" s="436">
        <f t="shared" si="2"/>
        <v>0</v>
      </c>
      <c r="Q16" s="437" t="str">
        <f t="shared" si="3"/>
        <v>-</v>
      </c>
    </row>
    <row r="17" spans="1:22" ht="22.5" customHeight="1" thickBot="1">
      <c r="A17" s="362" t="s">
        <v>26</v>
      </c>
      <c r="B17" s="363">
        <f t="shared" ref="B17" si="9">SUM(B18:B19)</f>
        <v>0</v>
      </c>
      <c r="C17" s="416">
        <f>(B17/9)*12</f>
        <v>0</v>
      </c>
      <c r="D17" s="417">
        <f>SUM(D18:D19)</f>
        <v>0</v>
      </c>
      <c r="E17" s="418">
        <f t="shared" ref="E17:O17" si="10">SUM(E18:E19)</f>
        <v>0</v>
      </c>
      <c r="F17" s="418">
        <f t="shared" si="10"/>
        <v>0</v>
      </c>
      <c r="G17" s="418">
        <f t="shared" si="10"/>
        <v>0</v>
      </c>
      <c r="H17" s="418">
        <f t="shared" si="10"/>
        <v>0</v>
      </c>
      <c r="I17" s="418">
        <f t="shared" si="10"/>
        <v>0</v>
      </c>
      <c r="J17" s="418">
        <f t="shared" si="10"/>
        <v>0</v>
      </c>
      <c r="K17" s="418">
        <f t="shared" si="10"/>
        <v>0</v>
      </c>
      <c r="L17" s="418">
        <f t="shared" si="10"/>
        <v>0</v>
      </c>
      <c r="M17" s="418">
        <f t="shared" si="10"/>
        <v>0</v>
      </c>
      <c r="N17" s="418">
        <f t="shared" si="10"/>
        <v>0</v>
      </c>
      <c r="O17" s="419">
        <f t="shared" si="10"/>
        <v>0</v>
      </c>
      <c r="P17" s="420">
        <f t="shared" si="2"/>
        <v>0</v>
      </c>
      <c r="Q17" s="421" t="str">
        <f t="shared" si="3"/>
        <v>-</v>
      </c>
    </row>
    <row r="18" spans="1:22" ht="16.5" customHeight="1">
      <c r="A18" s="422" t="s">
        <v>106</v>
      </c>
      <c r="B18" s="423"/>
      <c r="C18" s="1449">
        <f>(B18/9)*12</f>
        <v>0</v>
      </c>
      <c r="D18" s="425">
        <f>+M.Yağ_Adbulue!E15/1000</f>
        <v>0</v>
      </c>
      <c r="E18" s="426">
        <f>+M.Yağ_Adbulue!F15/1000</f>
        <v>0</v>
      </c>
      <c r="F18" s="426">
        <f>+M.Yağ_Adbulue!G15/1000</f>
        <v>0</v>
      </c>
      <c r="G18" s="426">
        <f>+M.Yağ_Adbulue!H15/1000</f>
        <v>0</v>
      </c>
      <c r="H18" s="426">
        <f>+M.Yağ_Adbulue!I15/1000</f>
        <v>0</v>
      </c>
      <c r="I18" s="426">
        <f>+M.Yağ_Adbulue!J15/1000</f>
        <v>0</v>
      </c>
      <c r="J18" s="426">
        <f>+M.Yağ_Adbulue!K15/1000</f>
        <v>0</v>
      </c>
      <c r="K18" s="426">
        <f>+M.Yağ_Adbulue!L15/1000</f>
        <v>0</v>
      </c>
      <c r="L18" s="426">
        <f>+M.Yağ_Adbulue!M15/1000</f>
        <v>0</v>
      </c>
      <c r="M18" s="426">
        <f>+M.Yağ_Adbulue!N15/1000</f>
        <v>0</v>
      </c>
      <c r="N18" s="426">
        <f>+M.Yağ_Adbulue!O15/1000</f>
        <v>0</v>
      </c>
      <c r="O18" s="427">
        <f>+M.Yağ_Adbulue!P15/1000</f>
        <v>0</v>
      </c>
      <c r="P18" s="428">
        <f t="shared" si="2"/>
        <v>0</v>
      </c>
      <c r="Q18" s="429" t="str">
        <f t="shared" si="3"/>
        <v>-</v>
      </c>
    </row>
    <row r="19" spans="1:22" ht="16.5" customHeight="1" thickBot="1">
      <c r="A19" s="438" t="s">
        <v>105</v>
      </c>
      <c r="B19" s="439"/>
      <c r="C19" s="1450">
        <f>(B19/9)*12</f>
        <v>0</v>
      </c>
      <c r="D19" s="441">
        <f>+M.Yağ_Adbulue!E33/1000</f>
        <v>0</v>
      </c>
      <c r="E19" s="442">
        <f>+M.Yağ_Adbulue!F33/1000</f>
        <v>0</v>
      </c>
      <c r="F19" s="442">
        <f>+M.Yağ_Adbulue!G33/1000</f>
        <v>0</v>
      </c>
      <c r="G19" s="442">
        <f>+M.Yağ_Adbulue!H33/1000</f>
        <v>0</v>
      </c>
      <c r="H19" s="442">
        <f>+M.Yağ_Adbulue!I33/1000</f>
        <v>0</v>
      </c>
      <c r="I19" s="442">
        <f>+M.Yağ_Adbulue!J33/1000</f>
        <v>0</v>
      </c>
      <c r="J19" s="442">
        <f>+M.Yağ_Adbulue!K33/1000</f>
        <v>0</v>
      </c>
      <c r="K19" s="442">
        <f>+M.Yağ_Adbulue!L33/1000</f>
        <v>0</v>
      </c>
      <c r="L19" s="442">
        <f>+M.Yağ_Adbulue!M33/1000</f>
        <v>0</v>
      </c>
      <c r="M19" s="442">
        <f>+M.Yağ_Adbulue!N33/1000</f>
        <v>0</v>
      </c>
      <c r="N19" s="442">
        <f>+M.Yağ_Adbulue!O33/1000</f>
        <v>0</v>
      </c>
      <c r="O19" s="443">
        <f>+M.Yağ_Adbulue!P33/1000</f>
        <v>0</v>
      </c>
      <c r="P19" s="444">
        <f t="shared" si="2"/>
        <v>0</v>
      </c>
      <c r="Q19" s="445" t="str">
        <f t="shared" si="3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>
        <f t="shared" si="2"/>
        <v>0</v>
      </c>
      <c r="Q20" s="447" t="str">
        <f t="shared" si="3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363">
        <f t="shared" si="2"/>
        <v>0</v>
      </c>
      <c r="Q21" s="367" t="str">
        <f t="shared" si="3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649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360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1">D28+D29+D34</f>
        <v>0</v>
      </c>
      <c r="E25" s="366">
        <f t="shared" si="11"/>
        <v>0</v>
      </c>
      <c r="F25" s="366">
        <f t="shared" si="11"/>
        <v>0</v>
      </c>
      <c r="G25" s="366">
        <f t="shared" si="11"/>
        <v>0</v>
      </c>
      <c r="H25" s="366">
        <f t="shared" si="11"/>
        <v>0</v>
      </c>
      <c r="I25" s="366">
        <f t="shared" si="11"/>
        <v>0</v>
      </c>
      <c r="J25" s="366">
        <f t="shared" si="11"/>
        <v>0</v>
      </c>
      <c r="K25" s="366">
        <f t="shared" si="11"/>
        <v>0</v>
      </c>
      <c r="L25" s="366">
        <f t="shared" si="11"/>
        <v>0</v>
      </c>
      <c r="M25" s="366">
        <f t="shared" si="11"/>
        <v>0</v>
      </c>
      <c r="N25" s="366">
        <f t="shared" si="11"/>
        <v>0</v>
      </c>
      <c r="O25" s="364">
        <f t="shared" si="11"/>
        <v>0</v>
      </c>
      <c r="P25" s="363">
        <f t="shared" ref="P25:P44" si="12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Fiyat'!D293</f>
        <v>0</v>
      </c>
      <c r="E26" s="372">
        <f>E5*'Satış Fiyat'!E293</f>
        <v>0</v>
      </c>
      <c r="F26" s="372">
        <f>F5*'Satış Fiyat'!F293</f>
        <v>0</v>
      </c>
      <c r="G26" s="372">
        <f>G5*'Satış Fiyat'!G293</f>
        <v>0</v>
      </c>
      <c r="H26" s="373">
        <f>H5*'Satış Fiyat'!H293</f>
        <v>0</v>
      </c>
      <c r="I26" s="373">
        <f>I5*'Satış Fiyat'!I293</f>
        <v>0</v>
      </c>
      <c r="J26" s="373">
        <f>J5*'Satış Fiyat'!J293</f>
        <v>0</v>
      </c>
      <c r="K26" s="373">
        <f>K5*'Satış Fiyat'!K293</f>
        <v>0</v>
      </c>
      <c r="L26" s="373">
        <f>L5*'Satış Fiyat'!L293</f>
        <v>0</v>
      </c>
      <c r="M26" s="373">
        <f>M5*'Satış Fiyat'!M293</f>
        <v>0</v>
      </c>
      <c r="N26" s="373">
        <f>N5*'Satış Fiyat'!N293</f>
        <v>0</v>
      </c>
      <c r="O26" s="374">
        <f>O5*'Satış Fiyat'!O293</f>
        <v>0</v>
      </c>
      <c r="P26" s="369">
        <f t="shared" si="12"/>
        <v>0</v>
      </c>
      <c r="Q26" s="1237" t="str">
        <f t="shared" ref="Q26:Q40" si="13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Fiyat'!D294</f>
        <v>0</v>
      </c>
      <c r="E27" s="381">
        <f>E6*'Satış Fiyat'!E294</f>
        <v>0</v>
      </c>
      <c r="F27" s="381">
        <f>F6*'Satış Fiyat'!F294</f>
        <v>0</v>
      </c>
      <c r="G27" s="381">
        <f>G6*'Satış Fiyat'!G294</f>
        <v>0</v>
      </c>
      <c r="H27" s="382">
        <f>H6*'Satış Fiyat'!H294</f>
        <v>0</v>
      </c>
      <c r="I27" s="382">
        <f>I6*'Satış Fiyat'!I294</f>
        <v>0</v>
      </c>
      <c r="J27" s="382">
        <f>J6*'Satış Fiyat'!J294</f>
        <v>0</v>
      </c>
      <c r="K27" s="382">
        <f>K6*'Satış Fiyat'!K294</f>
        <v>0</v>
      </c>
      <c r="L27" s="382">
        <f>L6*'Satış Fiyat'!L294</f>
        <v>0</v>
      </c>
      <c r="M27" s="382">
        <f>M6*'Satış Fiyat'!M294</f>
        <v>0</v>
      </c>
      <c r="N27" s="382">
        <f>N6*'Satış Fiyat'!N294</f>
        <v>0</v>
      </c>
      <c r="O27" s="383">
        <f>O6*'Satış Fiyat'!O294</f>
        <v>0</v>
      </c>
      <c r="P27" s="378">
        <f t="shared" si="12"/>
        <v>0</v>
      </c>
      <c r="Q27" s="1238" t="str">
        <f t="shared" si="13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4">SUM(D26:D27)</f>
        <v>0</v>
      </c>
      <c r="E28" s="389">
        <f t="shared" si="14"/>
        <v>0</v>
      </c>
      <c r="F28" s="389">
        <f t="shared" si="14"/>
        <v>0</v>
      </c>
      <c r="G28" s="389">
        <f t="shared" si="14"/>
        <v>0</v>
      </c>
      <c r="H28" s="389">
        <f t="shared" si="14"/>
        <v>0</v>
      </c>
      <c r="I28" s="389">
        <f t="shared" si="14"/>
        <v>0</v>
      </c>
      <c r="J28" s="389">
        <f t="shared" si="14"/>
        <v>0</v>
      </c>
      <c r="K28" s="389">
        <f t="shared" si="14"/>
        <v>0</v>
      </c>
      <c r="L28" s="389">
        <f t="shared" si="14"/>
        <v>0</v>
      </c>
      <c r="M28" s="389">
        <f t="shared" si="14"/>
        <v>0</v>
      </c>
      <c r="N28" s="389">
        <f t="shared" si="14"/>
        <v>0</v>
      </c>
      <c r="O28" s="390">
        <f t="shared" si="14"/>
        <v>0</v>
      </c>
      <c r="P28" s="391">
        <f t="shared" si="12"/>
        <v>0</v>
      </c>
      <c r="Q28" s="1239" t="str">
        <f t="shared" si="13"/>
        <v>-</v>
      </c>
    </row>
    <row r="29" spans="1:22" ht="16.5" customHeight="1">
      <c r="A29" s="393" t="s">
        <v>17</v>
      </c>
      <c r="B29" s="394"/>
      <c r="C29" s="395"/>
      <c r="D29" s="396">
        <f>D8*'Satış Fiyat'!D296</f>
        <v>0</v>
      </c>
      <c r="E29" s="397">
        <f>E8*'Satış Fiyat'!E296</f>
        <v>0</v>
      </c>
      <c r="F29" s="397">
        <f>F8*'Satış Fiyat'!F296</f>
        <v>0</v>
      </c>
      <c r="G29" s="397">
        <f>G8*'Satış Fiyat'!G296</f>
        <v>0</v>
      </c>
      <c r="H29" s="397">
        <f>H8*'Satış Fiyat'!H296</f>
        <v>0</v>
      </c>
      <c r="I29" s="397">
        <f>I8*'Satış Fiyat'!I296</f>
        <v>0</v>
      </c>
      <c r="J29" s="397">
        <f>J8*'Satış Fiyat'!J296</f>
        <v>0</v>
      </c>
      <c r="K29" s="397">
        <f>K8*'Satış Fiyat'!K296</f>
        <v>0</v>
      </c>
      <c r="L29" s="397">
        <f>L8*'Satış Fiyat'!L296</f>
        <v>0</v>
      </c>
      <c r="M29" s="397">
        <f>M8*'Satış Fiyat'!M296</f>
        <v>0</v>
      </c>
      <c r="N29" s="397">
        <f>N8*'Satış Fiyat'!N296</f>
        <v>0</v>
      </c>
      <c r="O29" s="398">
        <f>O8*'Satış Fiyat'!O296</f>
        <v>0</v>
      </c>
      <c r="P29" s="399">
        <f t="shared" si="12"/>
        <v>0</v>
      </c>
      <c r="Q29" s="1238" t="str">
        <f t="shared" si="13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Fiyat'!D297</f>
        <v>0</v>
      </c>
      <c r="E30" s="389">
        <f>E9*'Satış Fiyat'!E297</f>
        <v>0</v>
      </c>
      <c r="F30" s="389">
        <f>F9*'Satış Fiyat'!F297</f>
        <v>0</v>
      </c>
      <c r="G30" s="389">
        <f>G9*'Satış Fiyat'!G297</f>
        <v>0</v>
      </c>
      <c r="H30" s="389">
        <f>H9*'Satış Fiyat'!H297</f>
        <v>0</v>
      </c>
      <c r="I30" s="389">
        <f>I9*'Satış Fiyat'!I297</f>
        <v>0</v>
      </c>
      <c r="J30" s="389">
        <f>J9*'Satış Fiyat'!J297</f>
        <v>0</v>
      </c>
      <c r="K30" s="389">
        <f>K9*'Satış Fiyat'!K297</f>
        <v>0</v>
      </c>
      <c r="L30" s="389">
        <f>L9*'Satış Fiyat'!L297</f>
        <v>0</v>
      </c>
      <c r="M30" s="389">
        <f>M9*'Satış Fiyat'!M297</f>
        <v>0</v>
      </c>
      <c r="N30" s="389">
        <f>N9*'Satış Fiyat'!N297</f>
        <v>0</v>
      </c>
      <c r="O30" s="390">
        <f>O9*'Satış Fiyat'!O297</f>
        <v>0</v>
      </c>
      <c r="P30" s="386">
        <f t="shared" si="12"/>
        <v>0</v>
      </c>
      <c r="Q30" s="1240" t="str">
        <f t="shared" si="13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Fiyat'!D298</f>
        <v>0</v>
      </c>
      <c r="E31" s="397">
        <f>E10*'Satış Fiyat'!E298</f>
        <v>0</v>
      </c>
      <c r="F31" s="397">
        <f>F10*'Satış Fiyat'!F298</f>
        <v>0</v>
      </c>
      <c r="G31" s="397">
        <f>G10*'Satış Fiyat'!G298</f>
        <v>0</v>
      </c>
      <c r="H31" s="397">
        <f>H10*'Satış Fiyat'!H298</f>
        <v>0</v>
      </c>
      <c r="I31" s="397">
        <f>I10*'Satış Fiyat'!I298</f>
        <v>0</v>
      </c>
      <c r="J31" s="397">
        <f>J10*'Satış Fiyat'!J298</f>
        <v>0</v>
      </c>
      <c r="K31" s="397">
        <f>K10*'Satış Fiyat'!K298</f>
        <v>0</v>
      </c>
      <c r="L31" s="397">
        <f>L10*'Satış Fiyat'!L298</f>
        <v>0</v>
      </c>
      <c r="M31" s="397">
        <f>M10*'Satış Fiyat'!M298</f>
        <v>0</v>
      </c>
      <c r="N31" s="397">
        <f>N10*'Satış Fiyat'!N298</f>
        <v>0</v>
      </c>
      <c r="O31" s="398">
        <f>O10*'Satış Fiyat'!O298</f>
        <v>0</v>
      </c>
      <c r="P31" s="399">
        <f t="shared" si="12"/>
        <v>0</v>
      </c>
      <c r="Q31" s="1238" t="str">
        <f t="shared" si="13"/>
        <v>-</v>
      </c>
    </row>
    <row r="32" spans="1:22" ht="16.5" customHeight="1">
      <c r="A32" s="400" t="s">
        <v>83</v>
      </c>
      <c r="B32" s="408"/>
      <c r="C32" s="404"/>
      <c r="D32" s="402">
        <f>D11*'Satış Fiyat'!D299</f>
        <v>0</v>
      </c>
      <c r="E32" s="403">
        <f>E11*'Satış Fiyat'!E299</f>
        <v>0</v>
      </c>
      <c r="F32" s="389">
        <f>F11*'Satış Fiyat'!F299</f>
        <v>0</v>
      </c>
      <c r="G32" s="403">
        <f>G11*'Satış Fiyat'!G299</f>
        <v>0</v>
      </c>
      <c r="H32" s="403">
        <f>H11*'Satış Fiyat'!H299</f>
        <v>0</v>
      </c>
      <c r="I32" s="403">
        <f>I11*'Satış Fiyat'!I299</f>
        <v>0</v>
      </c>
      <c r="J32" s="403">
        <f>J11*'Satış Fiyat'!J299</f>
        <v>0</v>
      </c>
      <c r="K32" s="403">
        <f>K11*'Satış Fiyat'!K299</f>
        <v>0</v>
      </c>
      <c r="L32" s="403">
        <f>L11*'Satış Fiyat'!L299</f>
        <v>0</v>
      </c>
      <c r="M32" s="403">
        <f>M11*'Satış Fiyat'!M299</f>
        <v>0</v>
      </c>
      <c r="N32" s="403">
        <f>N11*'Satış Fiyat'!N299</f>
        <v>0</v>
      </c>
      <c r="O32" s="404">
        <f>O11*'Satış Fiyat'!O299</f>
        <v>0</v>
      </c>
      <c r="P32" s="386">
        <f t="shared" si="12"/>
        <v>0</v>
      </c>
      <c r="Q32" s="1240" t="str">
        <f t="shared" si="13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Fiyat'!D300</f>
        <v>0</v>
      </c>
      <c r="E33" s="382">
        <f>E12*'Satış Fiyat'!E300</f>
        <v>0</v>
      </c>
      <c r="F33" s="382">
        <f>F12*'Satış Fiyat'!F300</f>
        <v>0</v>
      </c>
      <c r="G33" s="382">
        <f>G12*'Satış Fiyat'!G300</f>
        <v>0</v>
      </c>
      <c r="H33" s="382">
        <f>H12*'Satış Fiyat'!H300</f>
        <v>0</v>
      </c>
      <c r="I33" s="381">
        <f>I12*'Satış Fiyat'!I300</f>
        <v>0</v>
      </c>
      <c r="J33" s="381">
        <f>J12*'Satış Fiyat'!J300</f>
        <v>0</v>
      </c>
      <c r="K33" s="382">
        <f>K12*'Satış Fiyat'!K300</f>
        <v>0</v>
      </c>
      <c r="L33" s="382">
        <f>L12*'Satış Fiyat'!L300</f>
        <v>0</v>
      </c>
      <c r="M33" s="382">
        <f>M12*'Satış Fiyat'!M300</f>
        <v>0</v>
      </c>
      <c r="N33" s="382">
        <f>N12*'Satış Fiyat'!N300</f>
        <v>0</v>
      </c>
      <c r="O33" s="383">
        <f>O12*'Satış Fiyat'!O300</f>
        <v>0</v>
      </c>
      <c r="P33" s="399">
        <f t="shared" si="12"/>
        <v>0</v>
      </c>
      <c r="Q33" s="1238" t="str">
        <f t="shared" si="13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5">SUM(E30:E33)</f>
        <v>0</v>
      </c>
      <c r="F34" s="414">
        <f t="shared" si="15"/>
        <v>0</v>
      </c>
      <c r="G34" s="414">
        <f t="shared" si="15"/>
        <v>0</v>
      </c>
      <c r="H34" s="414">
        <f t="shared" si="15"/>
        <v>0</v>
      </c>
      <c r="I34" s="414">
        <f t="shared" si="15"/>
        <v>0</v>
      </c>
      <c r="J34" s="414">
        <f t="shared" si="15"/>
        <v>0</v>
      </c>
      <c r="K34" s="414">
        <f t="shared" si="15"/>
        <v>0</v>
      </c>
      <c r="L34" s="414">
        <f t="shared" si="15"/>
        <v>0</v>
      </c>
      <c r="M34" s="414">
        <f t="shared" si="15"/>
        <v>0</v>
      </c>
      <c r="N34" s="414">
        <f t="shared" si="15"/>
        <v>0</v>
      </c>
      <c r="O34" s="412">
        <f t="shared" si="15"/>
        <v>0</v>
      </c>
      <c r="P34" s="411">
        <f t="shared" si="12"/>
        <v>0</v>
      </c>
      <c r="Q34" s="1241" t="str">
        <f t="shared" si="13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6">SUM(C36:C37)</f>
        <v>0</v>
      </c>
      <c r="D35" s="417">
        <f t="shared" ref="D35:O35" si="17">SUM(D36:D37)</f>
        <v>0</v>
      </c>
      <c r="E35" s="418">
        <f t="shared" si="17"/>
        <v>0</v>
      </c>
      <c r="F35" s="418">
        <f t="shared" si="17"/>
        <v>0</v>
      </c>
      <c r="G35" s="418">
        <f t="shared" si="17"/>
        <v>0</v>
      </c>
      <c r="H35" s="418">
        <f t="shared" si="17"/>
        <v>0</v>
      </c>
      <c r="I35" s="418">
        <f t="shared" si="17"/>
        <v>0</v>
      </c>
      <c r="J35" s="418">
        <f t="shared" si="17"/>
        <v>0</v>
      </c>
      <c r="K35" s="418">
        <f t="shared" si="17"/>
        <v>0</v>
      </c>
      <c r="L35" s="418">
        <f t="shared" si="17"/>
        <v>0</v>
      </c>
      <c r="M35" s="418">
        <f t="shared" si="17"/>
        <v>0</v>
      </c>
      <c r="N35" s="418">
        <f t="shared" si="17"/>
        <v>0</v>
      </c>
      <c r="O35" s="419">
        <f t="shared" si="17"/>
        <v>0</v>
      </c>
      <c r="P35" s="420">
        <f t="shared" si="12"/>
        <v>0</v>
      </c>
      <c r="Q35" s="1242" t="str">
        <f t="shared" si="13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Fiyat'!D303</f>
        <v>0</v>
      </c>
      <c r="E36" s="426">
        <f>E15*'Satış Fiyat'!E303</f>
        <v>0</v>
      </c>
      <c r="F36" s="426">
        <f>F15*'Satış Fiyat'!F303</f>
        <v>0</v>
      </c>
      <c r="G36" s="426">
        <f>G15*'Satış Fiyat'!G303</f>
        <v>0</v>
      </c>
      <c r="H36" s="426">
        <f>H15*'Satış Fiyat'!H303</f>
        <v>0</v>
      </c>
      <c r="I36" s="426">
        <f>I15*'Satış Fiyat'!I303</f>
        <v>0</v>
      </c>
      <c r="J36" s="426">
        <f>J15*'Satış Fiyat'!J303</f>
        <v>0</v>
      </c>
      <c r="K36" s="426">
        <f>K15*'Satış Fiyat'!K303</f>
        <v>0</v>
      </c>
      <c r="L36" s="426">
        <f>L15*'Satış Fiyat'!L303</f>
        <v>0</v>
      </c>
      <c r="M36" s="426">
        <f>M15*'Satış Fiyat'!M303</f>
        <v>0</v>
      </c>
      <c r="N36" s="426">
        <f>N15*'Satış Fiyat'!N303</f>
        <v>0</v>
      </c>
      <c r="O36" s="427">
        <f>O15*'Satış Fiyat'!O303</f>
        <v>0</v>
      </c>
      <c r="P36" s="428">
        <f t="shared" si="12"/>
        <v>0</v>
      </c>
      <c r="Q36" s="1243" t="str">
        <f t="shared" si="13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Fiyat'!D304</f>
        <v>0</v>
      </c>
      <c r="E37" s="434">
        <f>E16*'Satış Fiyat'!E304</f>
        <v>0</v>
      </c>
      <c r="F37" s="434">
        <f>F16*'Satış Fiyat'!F304</f>
        <v>0</v>
      </c>
      <c r="G37" s="434">
        <f>G16*'Satış Fiyat'!G304</f>
        <v>0</v>
      </c>
      <c r="H37" s="434">
        <f>H16*'Satış Fiyat'!H304</f>
        <v>0</v>
      </c>
      <c r="I37" s="434">
        <f>I16*'Satış Fiyat'!I304</f>
        <v>0</v>
      </c>
      <c r="J37" s="434">
        <f>J16*'Satış Fiyat'!J304</f>
        <v>0</v>
      </c>
      <c r="K37" s="434">
        <f>K16*'Satış Fiyat'!K304</f>
        <v>0</v>
      </c>
      <c r="L37" s="434">
        <f>L16*'Satış Fiyat'!L304</f>
        <v>0</v>
      </c>
      <c r="M37" s="434">
        <f>M16*'Satış Fiyat'!M304</f>
        <v>0</v>
      </c>
      <c r="N37" s="434">
        <f>N16*'Satış Fiyat'!N304</f>
        <v>0</v>
      </c>
      <c r="O37" s="435">
        <f>O16*'Satış Fiyat'!O304</f>
        <v>0</v>
      </c>
      <c r="P37" s="436">
        <f t="shared" si="12"/>
        <v>0</v>
      </c>
      <c r="Q37" s="1244" t="str">
        <f t="shared" si="13"/>
        <v>-</v>
      </c>
    </row>
    <row r="38" spans="1:22" ht="22.5" customHeight="1" thickBot="1">
      <c r="A38" s="362" t="s">
        <v>30</v>
      </c>
      <c r="B38" s="363">
        <f t="shared" ref="B38:C38" si="18">SUM(B39:B40)</f>
        <v>0</v>
      </c>
      <c r="C38" s="416">
        <f t="shared" si="18"/>
        <v>0</v>
      </c>
      <c r="D38" s="417">
        <f t="shared" ref="D38:O38" si="19">SUM(D39:D40)</f>
        <v>0</v>
      </c>
      <c r="E38" s="418">
        <f t="shared" si="19"/>
        <v>0</v>
      </c>
      <c r="F38" s="418">
        <f t="shared" si="19"/>
        <v>0</v>
      </c>
      <c r="G38" s="418">
        <f t="shared" si="19"/>
        <v>0</v>
      </c>
      <c r="H38" s="418">
        <f t="shared" si="19"/>
        <v>0</v>
      </c>
      <c r="I38" s="418">
        <f t="shared" si="19"/>
        <v>0</v>
      </c>
      <c r="J38" s="418">
        <f t="shared" si="19"/>
        <v>0</v>
      </c>
      <c r="K38" s="418">
        <f t="shared" si="19"/>
        <v>0</v>
      </c>
      <c r="L38" s="418">
        <f t="shared" si="19"/>
        <v>0</v>
      </c>
      <c r="M38" s="418">
        <f t="shared" si="19"/>
        <v>0</v>
      </c>
      <c r="N38" s="418">
        <f t="shared" si="19"/>
        <v>0</v>
      </c>
      <c r="O38" s="419">
        <f t="shared" si="19"/>
        <v>0</v>
      </c>
      <c r="P38" s="420">
        <f t="shared" si="12"/>
        <v>0</v>
      </c>
      <c r="Q38" s="1242" t="str">
        <f t="shared" si="13"/>
        <v>-</v>
      </c>
    </row>
    <row r="39" spans="1:22" ht="16.5" customHeight="1">
      <c r="A39" s="422" t="s">
        <v>106</v>
      </c>
      <c r="B39" s="423"/>
      <c r="C39" s="424">
        <f>B39/9*12</f>
        <v>0</v>
      </c>
      <c r="D39" s="425">
        <f>D18*'Satış Fiyat'!D306</f>
        <v>0</v>
      </c>
      <c r="E39" s="426">
        <f>E18*'Satış Fiyat'!E306</f>
        <v>0</v>
      </c>
      <c r="F39" s="426">
        <f>F18*'Satış Fiyat'!F306</f>
        <v>0</v>
      </c>
      <c r="G39" s="426">
        <f>G18*'Satış Fiyat'!G306</f>
        <v>0</v>
      </c>
      <c r="H39" s="426">
        <f>H18*'Satış Fiyat'!H306</f>
        <v>0</v>
      </c>
      <c r="I39" s="426">
        <f>I18*'Satış Fiyat'!I306</f>
        <v>0</v>
      </c>
      <c r="J39" s="426">
        <f>J18*'Satış Fiyat'!J306</f>
        <v>0</v>
      </c>
      <c r="K39" s="426">
        <f>K18*'Satış Fiyat'!K306</f>
        <v>0</v>
      </c>
      <c r="L39" s="426">
        <f>L18*'Satış Fiyat'!L306</f>
        <v>0</v>
      </c>
      <c r="M39" s="426">
        <f>M18*'Satış Fiyat'!M306</f>
        <v>0</v>
      </c>
      <c r="N39" s="426">
        <f>N18*'Satış Fiyat'!N306</f>
        <v>0</v>
      </c>
      <c r="O39" s="427">
        <f>O18*'Satış Fiyat'!O306</f>
        <v>0</v>
      </c>
      <c r="P39" s="428">
        <f t="shared" si="12"/>
        <v>0</v>
      </c>
      <c r="Q39" s="1243" t="str">
        <f t="shared" si="13"/>
        <v>-</v>
      </c>
    </row>
    <row r="40" spans="1:22" ht="16.5" customHeight="1" thickBot="1">
      <c r="A40" s="438" t="s">
        <v>105</v>
      </c>
      <c r="B40" s="439"/>
      <c r="C40" s="440">
        <f>B40/9*12</f>
        <v>0</v>
      </c>
      <c r="D40" s="441">
        <f>D19*'Satış Fiyat'!D307</f>
        <v>0</v>
      </c>
      <c r="E40" s="442">
        <f>E19*'Satış Fiyat'!E307</f>
        <v>0</v>
      </c>
      <c r="F40" s="442">
        <f>F19*'Satış Fiyat'!F307</f>
        <v>0</v>
      </c>
      <c r="G40" s="442">
        <f>G19*'Satış Fiyat'!G307</f>
        <v>0</v>
      </c>
      <c r="H40" s="442">
        <f>H19*'Satış Fiyat'!H307</f>
        <v>0</v>
      </c>
      <c r="I40" s="442">
        <f>I19*'Satış Fiyat'!I307</f>
        <v>0</v>
      </c>
      <c r="J40" s="442">
        <f>J19*'Satış Fiyat'!J307</f>
        <v>0</v>
      </c>
      <c r="K40" s="442">
        <f>K19*'Satış Fiyat'!K307</f>
        <v>0</v>
      </c>
      <c r="L40" s="442">
        <f>L19*'Satış Fiyat'!L307</f>
        <v>0</v>
      </c>
      <c r="M40" s="442">
        <f>M19*'Satış Fiyat'!M307</f>
        <v>0</v>
      </c>
      <c r="N40" s="442">
        <f>N19*'Satış Fiyat'!N307</f>
        <v>0</v>
      </c>
      <c r="O40" s="443">
        <f>O19*'Satış Fiyat'!O307</f>
        <v>0</v>
      </c>
      <c r="P40" s="444">
        <f t="shared" si="12"/>
        <v>0</v>
      </c>
      <c r="Q40" s="1245" t="str">
        <f t="shared" si="13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(D21*'Satış Fiyat'!D309)</f>
        <v>0</v>
      </c>
      <c r="E42" s="365">
        <f>(E21*'Satış Fiyat'!E309)</f>
        <v>0</v>
      </c>
      <c r="F42" s="365">
        <f>(F21*'Satış Fiyat'!F309)</f>
        <v>0</v>
      </c>
      <c r="G42" s="365">
        <f>(G21*'Satış Fiyat'!G309)</f>
        <v>0</v>
      </c>
      <c r="H42" s="365">
        <f>(H21*'Satış Fiyat'!H309)</f>
        <v>0</v>
      </c>
      <c r="I42" s="365">
        <f>(I21*'Satış Fiyat'!I309)</f>
        <v>0</v>
      </c>
      <c r="J42" s="365">
        <f>(J21*'Satış Fiyat'!J309)</f>
        <v>0</v>
      </c>
      <c r="K42" s="365">
        <f>(K21*'Satış Fiyat'!K309)</f>
        <v>0</v>
      </c>
      <c r="L42" s="365">
        <f>(L21*'Satış Fiyat'!L309)</f>
        <v>0</v>
      </c>
      <c r="M42" s="365">
        <f>(M21*'Satış Fiyat'!M309)</f>
        <v>0</v>
      </c>
      <c r="N42" s="365">
        <f>(N21*'Satış Fiyat'!N309)</f>
        <v>0</v>
      </c>
      <c r="O42" s="365">
        <f>(O21*'Satış Fiyat'!O309)</f>
        <v>0</v>
      </c>
      <c r="P42" s="363">
        <f t="shared" si="12"/>
        <v>0</v>
      </c>
      <c r="Q42" s="1250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452">
        <f t="shared" si="12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20">+C25+C35+C38+C42</f>
        <v>0</v>
      </c>
      <c r="D44" s="365">
        <f t="shared" ref="D44:O44" si="21">+D25+D35+D38+D42</f>
        <v>0</v>
      </c>
      <c r="E44" s="366">
        <f t="shared" si="21"/>
        <v>0</v>
      </c>
      <c r="F44" s="366">
        <f t="shared" si="21"/>
        <v>0</v>
      </c>
      <c r="G44" s="366">
        <f>+G25+G35+G38+G42</f>
        <v>0</v>
      </c>
      <c r="H44" s="366">
        <f t="shared" si="21"/>
        <v>0</v>
      </c>
      <c r="I44" s="366">
        <f t="shared" si="21"/>
        <v>0</v>
      </c>
      <c r="J44" s="366">
        <f t="shared" si="21"/>
        <v>0</v>
      </c>
      <c r="K44" s="366">
        <f t="shared" si="21"/>
        <v>0</v>
      </c>
      <c r="L44" s="366">
        <f t="shared" si="21"/>
        <v>0</v>
      </c>
      <c r="M44" s="366">
        <f t="shared" si="21"/>
        <v>0</v>
      </c>
      <c r="N44" s="366">
        <f t="shared" si="21"/>
        <v>0</v>
      </c>
      <c r="O44" s="364">
        <f t="shared" si="21"/>
        <v>0</v>
      </c>
      <c r="P44" s="363">
        <f t="shared" si="12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649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360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2">C51+C52+C57</f>
        <v>0</v>
      </c>
      <c r="D48" s="365">
        <f t="shared" ref="D48:O48" si="23">D51+D52+D57</f>
        <v>0</v>
      </c>
      <c r="E48" s="366">
        <f t="shared" si="23"/>
        <v>0</v>
      </c>
      <c r="F48" s="366">
        <f t="shared" si="23"/>
        <v>0</v>
      </c>
      <c r="G48" s="366">
        <f t="shared" si="23"/>
        <v>0</v>
      </c>
      <c r="H48" s="366">
        <f t="shared" si="23"/>
        <v>0</v>
      </c>
      <c r="I48" s="366">
        <f t="shared" si="23"/>
        <v>0</v>
      </c>
      <c r="J48" s="366">
        <f t="shared" si="23"/>
        <v>0</v>
      </c>
      <c r="K48" s="366">
        <f t="shared" si="23"/>
        <v>0</v>
      </c>
      <c r="L48" s="366">
        <f t="shared" si="23"/>
        <v>0</v>
      </c>
      <c r="M48" s="366">
        <f t="shared" si="23"/>
        <v>0</v>
      </c>
      <c r="N48" s="366">
        <f t="shared" si="23"/>
        <v>0</v>
      </c>
      <c r="O48" s="364">
        <f t="shared" si="23"/>
        <v>0</v>
      </c>
      <c r="P48" s="363">
        <f t="shared" ref="P48:P67" si="24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5">+$S$49*E26</f>
        <v>0</v>
      </c>
      <c r="F49" s="373">
        <f>+$S$49*F26</f>
        <v>0</v>
      </c>
      <c r="G49" s="373">
        <f>+$T$49*G26</f>
        <v>0</v>
      </c>
      <c r="H49" s="373">
        <f t="shared" ref="H49" si="26">+$T$49*H26</f>
        <v>0</v>
      </c>
      <c r="I49" s="373">
        <f>+$T$49*I26</f>
        <v>0</v>
      </c>
      <c r="J49" s="373">
        <f>+$U$49*J26</f>
        <v>0</v>
      </c>
      <c r="K49" s="373">
        <f t="shared" ref="K49" si="27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369">
        <f t="shared" si="24"/>
        <v>0</v>
      </c>
      <c r="Q49" s="1237" t="str">
        <f t="shared" ref="Q49:Q63" si="28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9">+$S$50*E27</f>
        <v>0</v>
      </c>
      <c r="F50" s="382">
        <f t="shared" si="29"/>
        <v>0</v>
      </c>
      <c r="G50" s="382">
        <f t="shared" si="29"/>
        <v>0</v>
      </c>
      <c r="H50" s="382">
        <f t="shared" si="29"/>
        <v>0</v>
      </c>
      <c r="I50" s="382">
        <f t="shared" si="29"/>
        <v>0</v>
      </c>
      <c r="J50" s="382">
        <f t="shared" si="29"/>
        <v>0</v>
      </c>
      <c r="K50" s="382">
        <f t="shared" si="29"/>
        <v>0</v>
      </c>
      <c r="L50" s="382">
        <f t="shared" si="29"/>
        <v>0</v>
      </c>
      <c r="M50" s="382">
        <f t="shared" si="29"/>
        <v>0</v>
      </c>
      <c r="N50" s="382">
        <f t="shared" si="29"/>
        <v>0</v>
      </c>
      <c r="O50" s="383">
        <f t="shared" si="29"/>
        <v>0</v>
      </c>
      <c r="P50" s="378">
        <f t="shared" si="24"/>
        <v>0</v>
      </c>
      <c r="Q50" s="1238" t="str">
        <f t="shared" si="28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30">SUM(E49:E50)</f>
        <v>0</v>
      </c>
      <c r="F51" s="389">
        <f t="shared" si="30"/>
        <v>0</v>
      </c>
      <c r="G51" s="389">
        <f>SUM(G49:G50)</f>
        <v>0</v>
      </c>
      <c r="H51" s="389">
        <f t="shared" ref="H51" si="31">SUM(H49:H50)</f>
        <v>0</v>
      </c>
      <c r="I51" s="389">
        <f>SUM(I49:I50)</f>
        <v>0</v>
      </c>
      <c r="J51" s="389">
        <f>SUM(J49:J50)</f>
        <v>0</v>
      </c>
      <c r="K51" s="389">
        <f t="shared" ref="K51" si="32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391">
        <f t="shared" si="24"/>
        <v>0</v>
      </c>
      <c r="Q51" s="1239" t="str">
        <f t="shared" si="28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3">+$S$52*E29</f>
        <v>0</v>
      </c>
      <c r="F52" s="397">
        <f>+$S$52*F29</f>
        <v>0</v>
      </c>
      <c r="G52" s="397">
        <f>+$T$52*G29</f>
        <v>0</v>
      </c>
      <c r="H52" s="397">
        <f t="shared" ref="H52" si="34">+$T$52*H29</f>
        <v>0</v>
      </c>
      <c r="I52" s="397">
        <f>+$T$52*I29</f>
        <v>0</v>
      </c>
      <c r="J52" s="397">
        <f>+$U$52*J29</f>
        <v>0</v>
      </c>
      <c r="K52" s="397">
        <f t="shared" ref="K52" si="35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399">
        <f t="shared" si="24"/>
        <v>0</v>
      </c>
      <c r="Q52" s="1238" t="str">
        <f t="shared" si="28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6">+$S$53*D30</f>
        <v>0</v>
      </c>
      <c r="E53" s="403">
        <f t="shared" si="36"/>
        <v>0</v>
      </c>
      <c r="F53" s="403">
        <f t="shared" si="36"/>
        <v>0</v>
      </c>
      <c r="G53" s="403">
        <f>+$T$53*G30</f>
        <v>0</v>
      </c>
      <c r="H53" s="403">
        <f t="shared" ref="H53" si="37">+$T$53*H30</f>
        <v>0</v>
      </c>
      <c r="I53" s="403">
        <f>+$T$53*I30</f>
        <v>0</v>
      </c>
      <c r="J53" s="403">
        <f>+$U$53*J30</f>
        <v>0</v>
      </c>
      <c r="K53" s="403">
        <f t="shared" ref="K53" si="38">+$U$53*K30</f>
        <v>0</v>
      </c>
      <c r="L53" s="403">
        <f>+$U$53*L30</f>
        <v>0</v>
      </c>
      <c r="M53" s="403">
        <f>+$V$53*M30</f>
        <v>0</v>
      </c>
      <c r="N53" s="403">
        <f t="shared" ref="N53" si="39">+$V$53*N30</f>
        <v>0</v>
      </c>
      <c r="O53" s="404">
        <f>+$V$53*O30</f>
        <v>0</v>
      </c>
      <c r="P53" s="386">
        <f t="shared" si="24"/>
        <v>0</v>
      </c>
      <c r="Q53" s="1240" t="str">
        <f t="shared" si="28"/>
        <v>-</v>
      </c>
      <c r="S53" s="461">
        <v>0.01</v>
      </c>
      <c r="T53" s="461">
        <v>0.01</v>
      </c>
      <c r="U53" s="461">
        <v>0.01</v>
      </c>
      <c r="V53" s="461">
        <v>0.01</v>
      </c>
    </row>
    <row r="54" spans="1:22" ht="16.5" hidden="1" customHeight="1">
      <c r="A54" s="406" t="s">
        <v>82</v>
      </c>
      <c r="B54" s="394"/>
      <c r="C54" s="395"/>
      <c r="D54" s="407">
        <f t="shared" ref="D54:O54" si="40">+$S$54*D31</f>
        <v>0</v>
      </c>
      <c r="E54" s="382">
        <f t="shared" si="40"/>
        <v>0</v>
      </c>
      <c r="F54" s="382">
        <f t="shared" si="40"/>
        <v>0</v>
      </c>
      <c r="G54" s="382">
        <f t="shared" si="40"/>
        <v>0</v>
      </c>
      <c r="H54" s="382">
        <f t="shared" si="40"/>
        <v>0</v>
      </c>
      <c r="I54" s="382">
        <f t="shared" si="40"/>
        <v>0</v>
      </c>
      <c r="J54" s="382">
        <f t="shared" si="40"/>
        <v>0</v>
      </c>
      <c r="K54" s="382">
        <f t="shared" si="40"/>
        <v>0</v>
      </c>
      <c r="L54" s="382">
        <f t="shared" si="40"/>
        <v>0</v>
      </c>
      <c r="M54" s="382">
        <f t="shared" si="40"/>
        <v>0</v>
      </c>
      <c r="N54" s="382">
        <f t="shared" si="40"/>
        <v>0</v>
      </c>
      <c r="O54" s="383">
        <f t="shared" si="40"/>
        <v>0</v>
      </c>
      <c r="P54" s="399">
        <f t="shared" si="24"/>
        <v>0</v>
      </c>
      <c r="Q54" s="1238" t="str">
        <f t="shared" si="28"/>
        <v>-</v>
      </c>
      <c r="S54" s="461">
        <v>0.02</v>
      </c>
      <c r="T54" s="461">
        <v>0.02</v>
      </c>
      <c r="U54" s="461">
        <v>0.02</v>
      </c>
      <c r="V54" s="461">
        <v>0.02</v>
      </c>
    </row>
    <row r="55" spans="1:22" ht="16.5" customHeight="1">
      <c r="A55" s="400" t="s">
        <v>83</v>
      </c>
      <c r="B55" s="408"/>
      <c r="C55" s="404">
        <f>B55/10*12</f>
        <v>0</v>
      </c>
      <c r="D55" s="402">
        <f t="shared" ref="D55:F55" si="41">+$S$55*D32</f>
        <v>0</v>
      </c>
      <c r="E55" s="403">
        <f t="shared" si="41"/>
        <v>0</v>
      </c>
      <c r="F55" s="403">
        <f t="shared" si="41"/>
        <v>0</v>
      </c>
      <c r="G55" s="403">
        <f>+$T$55*G32</f>
        <v>0</v>
      </c>
      <c r="H55" s="403">
        <f t="shared" ref="H55" si="42">+$T$55*H32</f>
        <v>0</v>
      </c>
      <c r="I55" s="403">
        <f>+$T$55*I32</f>
        <v>0</v>
      </c>
      <c r="J55" s="403">
        <f>+$U$55*J32</f>
        <v>0</v>
      </c>
      <c r="K55" s="403">
        <f t="shared" ref="K55" si="43">+$U$55*K32</f>
        <v>0</v>
      </c>
      <c r="L55" s="403">
        <f>+$U$55*L32</f>
        <v>0</v>
      </c>
      <c r="M55" s="403">
        <f>+$V$55*M32</f>
        <v>0</v>
      </c>
      <c r="N55" s="403">
        <f t="shared" ref="N55" si="44">+$V$55*N32</f>
        <v>0</v>
      </c>
      <c r="O55" s="404">
        <f>+$V$55*O32</f>
        <v>0</v>
      </c>
      <c r="P55" s="386">
        <f t="shared" si="24"/>
        <v>0</v>
      </c>
      <c r="Q55" s="1240" t="str">
        <f t="shared" si="28"/>
        <v>-</v>
      </c>
      <c r="S55" s="461">
        <v>0.02</v>
      </c>
      <c r="T55" s="461">
        <v>0.02</v>
      </c>
      <c r="U55" s="461">
        <v>0.02</v>
      </c>
      <c r="V55" s="461">
        <v>0.02</v>
      </c>
    </row>
    <row r="56" spans="1:22" ht="16.5" hidden="1" customHeight="1">
      <c r="A56" s="406" t="s">
        <v>84</v>
      </c>
      <c r="B56" s="378"/>
      <c r="C56" s="379"/>
      <c r="D56" s="407">
        <f t="shared" ref="D56:O56" si="45">+$S$56*D33</f>
        <v>0</v>
      </c>
      <c r="E56" s="382">
        <f t="shared" si="45"/>
        <v>0</v>
      </c>
      <c r="F56" s="382">
        <f t="shared" si="45"/>
        <v>0</v>
      </c>
      <c r="G56" s="382">
        <f t="shared" si="45"/>
        <v>0</v>
      </c>
      <c r="H56" s="382">
        <f t="shared" si="45"/>
        <v>0</v>
      </c>
      <c r="I56" s="382">
        <f t="shared" si="45"/>
        <v>0</v>
      </c>
      <c r="J56" s="382">
        <f t="shared" si="45"/>
        <v>0</v>
      </c>
      <c r="K56" s="382">
        <f t="shared" si="45"/>
        <v>0</v>
      </c>
      <c r="L56" s="382">
        <f t="shared" si="45"/>
        <v>0</v>
      </c>
      <c r="M56" s="382">
        <f t="shared" si="45"/>
        <v>0</v>
      </c>
      <c r="N56" s="382">
        <f t="shared" si="45"/>
        <v>0</v>
      </c>
      <c r="O56" s="383">
        <f t="shared" si="45"/>
        <v>0</v>
      </c>
      <c r="P56" s="399">
        <f t="shared" si="24"/>
        <v>0</v>
      </c>
      <c r="Q56" s="1238" t="str">
        <f t="shared" si="28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6">SUM(B53:B56)</f>
        <v>0</v>
      </c>
      <c r="C57" s="412">
        <f t="shared" si="46"/>
        <v>0</v>
      </c>
      <c r="D57" s="413">
        <f t="shared" ref="D57:F57" si="47">SUM(D53:D56)</f>
        <v>0</v>
      </c>
      <c r="E57" s="414">
        <f t="shared" si="47"/>
        <v>0</v>
      </c>
      <c r="F57" s="414">
        <f t="shared" si="47"/>
        <v>0</v>
      </c>
      <c r="G57" s="414">
        <f>SUM(G53:G56)</f>
        <v>0</v>
      </c>
      <c r="H57" s="414">
        <f t="shared" ref="H57" si="48">SUM(H53:H56)</f>
        <v>0</v>
      </c>
      <c r="I57" s="414">
        <f>SUM(I53:I56)</f>
        <v>0</v>
      </c>
      <c r="J57" s="414">
        <f>SUM(J53:J56)</f>
        <v>0</v>
      </c>
      <c r="K57" s="414">
        <f t="shared" ref="K57" si="49">SUM(K53:K56)</f>
        <v>0</v>
      </c>
      <c r="L57" s="414">
        <f>SUM(L53:L56)</f>
        <v>0</v>
      </c>
      <c r="M57" s="414">
        <f>SUM(M53:M56)</f>
        <v>0</v>
      </c>
      <c r="N57" s="414">
        <f t="shared" ref="N57" si="50">SUM(N53:N56)</f>
        <v>0</v>
      </c>
      <c r="O57" s="412">
        <f>SUM(O53:O56)</f>
        <v>0</v>
      </c>
      <c r="P57" s="411">
        <f t="shared" si="24"/>
        <v>0</v>
      </c>
      <c r="Q57" s="1241" t="str">
        <f t="shared" si="28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1">SUM(C59:C60)</f>
        <v>0</v>
      </c>
      <c r="D58" s="417">
        <f t="shared" ref="D58:F58" si="52">SUM(D59:D60)</f>
        <v>0</v>
      </c>
      <c r="E58" s="418">
        <f t="shared" si="52"/>
        <v>0</v>
      </c>
      <c r="F58" s="418">
        <f t="shared" si="52"/>
        <v>0</v>
      </c>
      <c r="G58" s="418">
        <f>SUM(G59:G60)</f>
        <v>0</v>
      </c>
      <c r="H58" s="418">
        <f t="shared" ref="H58" si="53">SUM(H59:H60)</f>
        <v>0</v>
      </c>
      <c r="I58" s="418">
        <f>SUM(I59:I60)</f>
        <v>0</v>
      </c>
      <c r="J58" s="418">
        <f>SUM(J59:J60)</f>
        <v>0</v>
      </c>
      <c r="K58" s="418">
        <f t="shared" ref="K58" si="54">SUM(K59:K60)</f>
        <v>0</v>
      </c>
      <c r="L58" s="418">
        <f>SUM(L59:L60)</f>
        <v>0</v>
      </c>
      <c r="M58" s="418">
        <f>SUM(M59:M60)</f>
        <v>0</v>
      </c>
      <c r="N58" s="418">
        <f t="shared" ref="N58" si="55">SUM(N59:N60)</f>
        <v>0</v>
      </c>
      <c r="O58" s="419">
        <f>SUM(O59:O60)</f>
        <v>0</v>
      </c>
      <c r="P58" s="420">
        <f t="shared" si="24"/>
        <v>0</v>
      </c>
      <c r="Q58" s="1242" t="str">
        <f t="shared" si="28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6">+$S$59*E36</f>
        <v>0</v>
      </c>
      <c r="F59" s="426">
        <f t="shared" si="56"/>
        <v>0</v>
      </c>
      <c r="G59" s="426">
        <f>+$T$59*G36</f>
        <v>0</v>
      </c>
      <c r="H59" s="426">
        <f t="shared" ref="H59" si="57">+$T$59*H36</f>
        <v>0</v>
      </c>
      <c r="I59" s="426">
        <f>+$T$59*I36</f>
        <v>0</v>
      </c>
      <c r="J59" s="426">
        <f>+$U$59*J36</f>
        <v>0</v>
      </c>
      <c r="K59" s="426">
        <f t="shared" ref="K59" si="58">+$U$59*K36</f>
        <v>0</v>
      </c>
      <c r="L59" s="426">
        <f>+$U$59*L36</f>
        <v>0</v>
      </c>
      <c r="M59" s="426">
        <f>+$V$59*M36</f>
        <v>0</v>
      </c>
      <c r="N59" s="426">
        <f t="shared" ref="N59" si="59">+$V$59*N36</f>
        <v>0</v>
      </c>
      <c r="O59" s="427">
        <f>+$V$59*O36</f>
        <v>0</v>
      </c>
      <c r="P59" s="428">
        <f t="shared" si="24"/>
        <v>0</v>
      </c>
      <c r="Q59" s="1243" t="str">
        <f t="shared" si="28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60">+$S$60*E37</f>
        <v>0</v>
      </c>
      <c r="F60" s="434">
        <f t="shared" si="60"/>
        <v>0</v>
      </c>
      <c r="G60" s="434">
        <f>+$T$60*G37</f>
        <v>0</v>
      </c>
      <c r="H60" s="434">
        <f t="shared" ref="H60" si="61">+$T$60*H37</f>
        <v>0</v>
      </c>
      <c r="I60" s="434">
        <f>+$T$60*I37</f>
        <v>0</v>
      </c>
      <c r="J60" s="434">
        <f>+$U$60*J37</f>
        <v>0</v>
      </c>
      <c r="K60" s="434">
        <f t="shared" ref="K60" si="62">+$U$60*K37</f>
        <v>0</v>
      </c>
      <c r="L60" s="434">
        <f>+$U$60*L37</f>
        <v>0</v>
      </c>
      <c r="M60" s="434">
        <f>+$V$60*M37</f>
        <v>0</v>
      </c>
      <c r="N60" s="434">
        <f t="shared" ref="N60" si="63">+$V$60*N37</f>
        <v>0</v>
      </c>
      <c r="O60" s="435">
        <f>+$V$60*O37</f>
        <v>0</v>
      </c>
      <c r="P60" s="436">
        <f t="shared" si="24"/>
        <v>0</v>
      </c>
      <c r="Q60" s="1244" t="str">
        <f t="shared" si="28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4">SUM(B62:B63)</f>
        <v>0</v>
      </c>
      <c r="C61" s="416">
        <f t="shared" si="64"/>
        <v>0</v>
      </c>
      <c r="D61" s="417">
        <f t="shared" ref="D61:F61" si="65">SUM(D62:D63)</f>
        <v>0</v>
      </c>
      <c r="E61" s="418">
        <f t="shared" si="65"/>
        <v>0</v>
      </c>
      <c r="F61" s="418">
        <f t="shared" si="65"/>
        <v>0</v>
      </c>
      <c r="G61" s="418">
        <f>SUM(G62:G63)</f>
        <v>0</v>
      </c>
      <c r="H61" s="418">
        <f t="shared" ref="H61" si="66">SUM(H62:H63)</f>
        <v>0</v>
      </c>
      <c r="I61" s="418">
        <f>SUM(I62:I63)</f>
        <v>0</v>
      </c>
      <c r="J61" s="418">
        <f>SUM(J62:J63)</f>
        <v>0</v>
      </c>
      <c r="K61" s="418">
        <f t="shared" ref="K61" si="67">SUM(K62:K63)</f>
        <v>0</v>
      </c>
      <c r="L61" s="418">
        <f>SUM(L62:L63)</f>
        <v>0</v>
      </c>
      <c r="M61" s="418">
        <f>SUM(M62:M63)</f>
        <v>0</v>
      </c>
      <c r="N61" s="418">
        <f t="shared" ref="N61" si="68">SUM(N62:N63)</f>
        <v>0</v>
      </c>
      <c r="O61" s="419">
        <f>SUM(O62:O63)</f>
        <v>0</v>
      </c>
      <c r="P61" s="420">
        <f t="shared" si="24"/>
        <v>0</v>
      </c>
      <c r="Q61" s="1242" t="str">
        <f t="shared" si="28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9">+$S$62*E39</f>
        <v>0</v>
      </c>
      <c r="F62" s="426">
        <f t="shared" si="69"/>
        <v>0</v>
      </c>
      <c r="G62" s="426">
        <f>+$T$62*G39</f>
        <v>0</v>
      </c>
      <c r="H62" s="426">
        <f t="shared" ref="H62" si="70">+$T$62*H39</f>
        <v>0</v>
      </c>
      <c r="I62" s="426">
        <f>+$T$62*I39</f>
        <v>0</v>
      </c>
      <c r="J62" s="426">
        <f>+$U$62*J39</f>
        <v>0</v>
      </c>
      <c r="K62" s="426">
        <f t="shared" ref="K62" si="71">+$U$62*K39</f>
        <v>0</v>
      </c>
      <c r="L62" s="426">
        <f>+$U$62*L39</f>
        <v>0</v>
      </c>
      <c r="M62" s="426">
        <f>+$V$62*M39</f>
        <v>0</v>
      </c>
      <c r="N62" s="426">
        <f t="shared" ref="N62" si="72">+$V$62*N39</f>
        <v>0</v>
      </c>
      <c r="O62" s="427">
        <f>+$V$62*O39</f>
        <v>0</v>
      </c>
      <c r="P62" s="428">
        <f t="shared" si="24"/>
        <v>0</v>
      </c>
      <c r="Q62" s="1243" t="str">
        <f t="shared" si="28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3">+$S$63*E40</f>
        <v>0</v>
      </c>
      <c r="F63" s="442">
        <f t="shared" si="73"/>
        <v>0</v>
      </c>
      <c r="G63" s="442">
        <f>+$T$63*G40</f>
        <v>0</v>
      </c>
      <c r="H63" s="442">
        <f t="shared" ref="H63" si="74">+$T$63*H40</f>
        <v>0</v>
      </c>
      <c r="I63" s="442">
        <f>+$T$63*I40</f>
        <v>0</v>
      </c>
      <c r="J63" s="442">
        <f>+$U$63*J40</f>
        <v>0</v>
      </c>
      <c r="K63" s="442">
        <f t="shared" ref="K63" si="75">+$U$63*K40</f>
        <v>0</v>
      </c>
      <c r="L63" s="442">
        <f>+$U$63*L40</f>
        <v>0</v>
      </c>
      <c r="M63" s="442">
        <f>+$V$63*M40</f>
        <v>0</v>
      </c>
      <c r="N63" s="442">
        <f t="shared" ref="N63" si="76">+$V$63*N40</f>
        <v>0</v>
      </c>
      <c r="O63" s="443">
        <f>+$V$63*O40</f>
        <v>0</v>
      </c>
      <c r="P63" s="444">
        <f t="shared" si="24"/>
        <v>0</v>
      </c>
      <c r="Q63" s="1245" t="str">
        <f t="shared" si="28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7">+$S$65*E42</f>
        <v>0</v>
      </c>
      <c r="F65" s="366">
        <f t="shared" si="77"/>
        <v>0</v>
      </c>
      <c r="G65" s="366">
        <f>+$T$65*G42</f>
        <v>0</v>
      </c>
      <c r="H65" s="366">
        <f t="shared" ref="H65" si="78">+$T$65*H42</f>
        <v>0</v>
      </c>
      <c r="I65" s="366">
        <f>+$T$65*I42</f>
        <v>0</v>
      </c>
      <c r="J65" s="366">
        <f>+$T$65*J42</f>
        <v>0</v>
      </c>
      <c r="K65" s="366">
        <f t="shared" ref="K65" si="79">+$T$65*K42</f>
        <v>0</v>
      </c>
      <c r="L65" s="366">
        <f>+$U$65*L42</f>
        <v>0</v>
      </c>
      <c r="M65" s="366">
        <f>+$V$65*M42</f>
        <v>0</v>
      </c>
      <c r="N65" s="366">
        <f t="shared" ref="N65" si="80">+$V$65*N42</f>
        <v>0</v>
      </c>
      <c r="O65" s="448">
        <f>+$V$65*O42</f>
        <v>0</v>
      </c>
      <c r="P65" s="363">
        <f t="shared" si="24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452">
        <f t="shared" si="24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1">+C48+C58+C61+C65</f>
        <v>0</v>
      </c>
      <c r="D67" s="365">
        <f t="shared" ref="D67:N67" si="82">+D48+D58+D61+D65</f>
        <v>0</v>
      </c>
      <c r="E67" s="366">
        <f t="shared" si="82"/>
        <v>0</v>
      </c>
      <c r="F67" s="366">
        <f t="shared" si="82"/>
        <v>0</v>
      </c>
      <c r="G67" s="366">
        <f t="shared" si="82"/>
        <v>0</v>
      </c>
      <c r="H67" s="366">
        <f t="shared" si="82"/>
        <v>0</v>
      </c>
      <c r="I67" s="366">
        <f t="shared" si="82"/>
        <v>0</v>
      </c>
      <c r="J67" s="366">
        <f t="shared" si="82"/>
        <v>0</v>
      </c>
      <c r="K67" s="366">
        <f t="shared" si="82"/>
        <v>0</v>
      </c>
      <c r="L67" s="366">
        <f t="shared" si="82"/>
        <v>0</v>
      </c>
      <c r="M67" s="366">
        <f t="shared" si="82"/>
        <v>0</v>
      </c>
      <c r="N67" s="366">
        <f t="shared" si="82"/>
        <v>0</v>
      </c>
      <c r="O67" s="364">
        <f>+O48+O58+O61+O65</f>
        <v>0</v>
      </c>
      <c r="P67" s="363">
        <f t="shared" si="24"/>
        <v>0</v>
      </c>
      <c r="Q67" s="1236" t="str">
        <f>IF(P67=0,"-",P67/C67-1)</f>
        <v>-</v>
      </c>
      <c r="S67" s="467"/>
      <c r="T67" s="467"/>
      <c r="U67" s="467"/>
      <c r="V67" s="467"/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649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360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3">C74+C75+C80</f>
        <v>0</v>
      </c>
      <c r="D71" s="365">
        <f t="shared" ref="D71:O71" si="84">D74+D75+D80</f>
        <v>0</v>
      </c>
      <c r="E71" s="366">
        <f t="shared" si="84"/>
        <v>0</v>
      </c>
      <c r="F71" s="366">
        <f t="shared" si="84"/>
        <v>0</v>
      </c>
      <c r="G71" s="366">
        <f t="shared" si="84"/>
        <v>0</v>
      </c>
      <c r="H71" s="366">
        <f t="shared" si="84"/>
        <v>0</v>
      </c>
      <c r="I71" s="366">
        <f t="shared" si="84"/>
        <v>0</v>
      </c>
      <c r="J71" s="366">
        <f t="shared" si="84"/>
        <v>0</v>
      </c>
      <c r="K71" s="366">
        <f t="shared" si="84"/>
        <v>0</v>
      </c>
      <c r="L71" s="366">
        <f t="shared" si="84"/>
        <v>0</v>
      </c>
      <c r="M71" s="366">
        <f t="shared" si="84"/>
        <v>0</v>
      </c>
      <c r="N71" s="366">
        <f t="shared" si="84"/>
        <v>0</v>
      </c>
      <c r="O71" s="364">
        <f t="shared" si="84"/>
        <v>0</v>
      </c>
      <c r="P71" s="363">
        <f>SUM(D71:O71)</f>
        <v>0</v>
      </c>
      <c r="Q71" s="1236" t="str">
        <f t="shared" ref="Q71:Q86" si="85">IF(P71=0,"-",P71/C71-1)</f>
        <v>-</v>
      </c>
    </row>
    <row r="72" spans="1:22" ht="16.5" customHeight="1">
      <c r="A72" s="368" t="s">
        <v>15</v>
      </c>
      <c r="B72" s="369">
        <f t="shared" ref="B72:C73" si="86">+B26-B49</f>
        <v>0</v>
      </c>
      <c r="C72" s="370">
        <f t="shared" si="86"/>
        <v>0</v>
      </c>
      <c r="D72" s="371">
        <f t="shared" ref="D72:O72" si="87">+D26-D49</f>
        <v>0</v>
      </c>
      <c r="E72" s="372">
        <f t="shared" si="87"/>
        <v>0</v>
      </c>
      <c r="F72" s="372">
        <f t="shared" si="87"/>
        <v>0</v>
      </c>
      <c r="G72" s="372">
        <f t="shared" si="87"/>
        <v>0</v>
      </c>
      <c r="H72" s="373">
        <f t="shared" si="87"/>
        <v>0</v>
      </c>
      <c r="I72" s="373">
        <f t="shared" si="87"/>
        <v>0</v>
      </c>
      <c r="J72" s="373">
        <f t="shared" si="87"/>
        <v>0</v>
      </c>
      <c r="K72" s="373">
        <f t="shared" si="87"/>
        <v>0</v>
      </c>
      <c r="L72" s="373">
        <f t="shared" si="87"/>
        <v>0</v>
      </c>
      <c r="M72" s="373">
        <f t="shared" si="87"/>
        <v>0</v>
      </c>
      <c r="N72" s="373">
        <f t="shared" si="87"/>
        <v>0</v>
      </c>
      <c r="O72" s="374">
        <f t="shared" si="87"/>
        <v>0</v>
      </c>
      <c r="P72" s="369">
        <f t="shared" ref="P72:P90" si="88">SUM(D72:O72)</f>
        <v>0</v>
      </c>
      <c r="Q72" s="1237" t="str">
        <f t="shared" si="85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6"/>
        <v>0</v>
      </c>
      <c r="C73" s="379">
        <f t="shared" si="86"/>
        <v>0</v>
      </c>
      <c r="D73" s="380">
        <f t="shared" ref="D73:O73" si="89">+D27-D50</f>
        <v>0</v>
      </c>
      <c r="E73" s="381">
        <f t="shared" si="89"/>
        <v>0</v>
      </c>
      <c r="F73" s="381">
        <f t="shared" si="89"/>
        <v>0</v>
      </c>
      <c r="G73" s="381">
        <f t="shared" si="89"/>
        <v>0</v>
      </c>
      <c r="H73" s="382">
        <f t="shared" si="89"/>
        <v>0</v>
      </c>
      <c r="I73" s="382">
        <f t="shared" si="89"/>
        <v>0</v>
      </c>
      <c r="J73" s="382">
        <f t="shared" si="89"/>
        <v>0</v>
      </c>
      <c r="K73" s="382">
        <f t="shared" si="89"/>
        <v>0</v>
      </c>
      <c r="L73" s="382">
        <f t="shared" si="89"/>
        <v>0</v>
      </c>
      <c r="M73" s="382">
        <f t="shared" si="89"/>
        <v>0</v>
      </c>
      <c r="N73" s="382">
        <f t="shared" si="89"/>
        <v>0</v>
      </c>
      <c r="O73" s="383">
        <f t="shared" si="89"/>
        <v>0</v>
      </c>
      <c r="P73" s="378">
        <f t="shared" si="88"/>
        <v>0</v>
      </c>
      <c r="Q73" s="1238" t="str">
        <f t="shared" si="85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90">SUM(D72:D73)</f>
        <v>0</v>
      </c>
      <c r="E74" s="389">
        <f t="shared" si="90"/>
        <v>0</v>
      </c>
      <c r="F74" s="389">
        <f t="shared" si="90"/>
        <v>0</v>
      </c>
      <c r="G74" s="389">
        <f t="shared" si="90"/>
        <v>0</v>
      </c>
      <c r="H74" s="389">
        <f t="shared" si="90"/>
        <v>0</v>
      </c>
      <c r="I74" s="389">
        <f t="shared" si="90"/>
        <v>0</v>
      </c>
      <c r="J74" s="389">
        <f t="shared" si="90"/>
        <v>0</v>
      </c>
      <c r="K74" s="389">
        <f t="shared" si="90"/>
        <v>0</v>
      </c>
      <c r="L74" s="389">
        <f t="shared" si="90"/>
        <v>0</v>
      </c>
      <c r="M74" s="389">
        <f t="shared" si="90"/>
        <v>0</v>
      </c>
      <c r="N74" s="389">
        <f t="shared" si="90"/>
        <v>0</v>
      </c>
      <c r="O74" s="390">
        <f t="shared" si="90"/>
        <v>0</v>
      </c>
      <c r="P74" s="391">
        <f t="shared" si="88"/>
        <v>0</v>
      </c>
      <c r="Q74" s="1239" t="str">
        <f t="shared" si="85"/>
        <v>-</v>
      </c>
    </row>
    <row r="75" spans="1:22" ht="16.5" customHeight="1">
      <c r="A75" s="393" t="s">
        <v>17</v>
      </c>
      <c r="B75" s="394">
        <f t="shared" ref="B75:C79" si="91">+B29-B52</f>
        <v>0</v>
      </c>
      <c r="C75" s="395">
        <f t="shared" si="91"/>
        <v>0</v>
      </c>
      <c r="D75" s="396">
        <f t="shared" ref="D75:O75" si="92">+D29-D52</f>
        <v>0</v>
      </c>
      <c r="E75" s="397">
        <f t="shared" si="92"/>
        <v>0</v>
      </c>
      <c r="F75" s="397">
        <f t="shared" si="92"/>
        <v>0</v>
      </c>
      <c r="G75" s="397">
        <f t="shared" si="92"/>
        <v>0</v>
      </c>
      <c r="H75" s="397">
        <f t="shared" si="92"/>
        <v>0</v>
      </c>
      <c r="I75" s="397">
        <f t="shared" si="92"/>
        <v>0</v>
      </c>
      <c r="J75" s="397">
        <f t="shared" si="92"/>
        <v>0</v>
      </c>
      <c r="K75" s="397">
        <f t="shared" si="92"/>
        <v>0</v>
      </c>
      <c r="L75" s="397">
        <f t="shared" si="92"/>
        <v>0</v>
      </c>
      <c r="M75" s="397">
        <f t="shared" si="92"/>
        <v>0</v>
      </c>
      <c r="N75" s="397">
        <f t="shared" si="92"/>
        <v>0</v>
      </c>
      <c r="O75" s="398">
        <f t="shared" si="92"/>
        <v>0</v>
      </c>
      <c r="P75" s="399">
        <f t="shared" si="88"/>
        <v>0</v>
      </c>
      <c r="Q75" s="1238" t="str">
        <f t="shared" si="85"/>
        <v>-</v>
      </c>
    </row>
    <row r="76" spans="1:22" ht="16.5" customHeight="1">
      <c r="A76" s="400" t="s">
        <v>81</v>
      </c>
      <c r="B76" s="386">
        <f t="shared" si="91"/>
        <v>0</v>
      </c>
      <c r="C76" s="401">
        <f t="shared" si="91"/>
        <v>0</v>
      </c>
      <c r="D76" s="388">
        <f t="shared" ref="D76:O76" si="93">+D30-D53</f>
        <v>0</v>
      </c>
      <c r="E76" s="389">
        <f t="shared" si="93"/>
        <v>0</v>
      </c>
      <c r="F76" s="389">
        <f t="shared" si="93"/>
        <v>0</v>
      </c>
      <c r="G76" s="389">
        <f t="shared" si="93"/>
        <v>0</v>
      </c>
      <c r="H76" s="389">
        <f t="shared" si="93"/>
        <v>0</v>
      </c>
      <c r="I76" s="389">
        <f t="shared" si="93"/>
        <v>0</v>
      </c>
      <c r="J76" s="389">
        <f t="shared" si="93"/>
        <v>0</v>
      </c>
      <c r="K76" s="389">
        <f t="shared" si="93"/>
        <v>0</v>
      </c>
      <c r="L76" s="389">
        <f t="shared" si="93"/>
        <v>0</v>
      </c>
      <c r="M76" s="389">
        <f t="shared" si="93"/>
        <v>0</v>
      </c>
      <c r="N76" s="389">
        <f t="shared" si="93"/>
        <v>0</v>
      </c>
      <c r="O76" s="390">
        <f t="shared" si="93"/>
        <v>0</v>
      </c>
      <c r="P76" s="386">
        <f t="shared" si="88"/>
        <v>0</v>
      </c>
      <c r="Q76" s="1240" t="str">
        <f t="shared" si="85"/>
        <v>-</v>
      </c>
    </row>
    <row r="77" spans="1:22" ht="16.5" hidden="1" customHeight="1">
      <c r="A77" s="406" t="s">
        <v>82</v>
      </c>
      <c r="B77" s="394">
        <f t="shared" si="91"/>
        <v>0</v>
      </c>
      <c r="C77" s="395">
        <f t="shared" si="91"/>
        <v>0</v>
      </c>
      <c r="D77" s="396">
        <f t="shared" ref="D77:O77" si="94">+D31-D54</f>
        <v>0</v>
      </c>
      <c r="E77" s="397">
        <f t="shared" si="94"/>
        <v>0</v>
      </c>
      <c r="F77" s="397">
        <f t="shared" si="94"/>
        <v>0</v>
      </c>
      <c r="G77" s="397">
        <f t="shared" si="94"/>
        <v>0</v>
      </c>
      <c r="H77" s="397">
        <f t="shared" si="94"/>
        <v>0</v>
      </c>
      <c r="I77" s="397">
        <f t="shared" si="94"/>
        <v>0</v>
      </c>
      <c r="J77" s="397">
        <f t="shared" si="94"/>
        <v>0</v>
      </c>
      <c r="K77" s="397">
        <f t="shared" si="94"/>
        <v>0</v>
      </c>
      <c r="L77" s="397">
        <f t="shared" si="94"/>
        <v>0</v>
      </c>
      <c r="M77" s="397">
        <f t="shared" si="94"/>
        <v>0</v>
      </c>
      <c r="N77" s="397">
        <f t="shared" si="94"/>
        <v>0</v>
      </c>
      <c r="O77" s="398">
        <f t="shared" si="94"/>
        <v>0</v>
      </c>
      <c r="P77" s="399">
        <f>SUM(D77:O77)</f>
        <v>0</v>
      </c>
      <c r="Q77" s="1238" t="str">
        <f t="shared" si="85"/>
        <v>-</v>
      </c>
    </row>
    <row r="78" spans="1:22" ht="16.5" customHeight="1">
      <c r="A78" s="400" t="s">
        <v>83</v>
      </c>
      <c r="B78" s="408">
        <f t="shared" si="91"/>
        <v>0</v>
      </c>
      <c r="C78" s="409">
        <f t="shared" si="91"/>
        <v>0</v>
      </c>
      <c r="D78" s="402">
        <f t="shared" ref="D78:O78" si="95">+D32-D55</f>
        <v>0</v>
      </c>
      <c r="E78" s="403">
        <f t="shared" si="95"/>
        <v>0</v>
      </c>
      <c r="F78" s="403">
        <f t="shared" si="95"/>
        <v>0</v>
      </c>
      <c r="G78" s="403">
        <f t="shared" si="95"/>
        <v>0</v>
      </c>
      <c r="H78" s="403">
        <f t="shared" si="95"/>
        <v>0</v>
      </c>
      <c r="I78" s="403">
        <f t="shared" si="95"/>
        <v>0</v>
      </c>
      <c r="J78" s="403">
        <f t="shared" si="95"/>
        <v>0</v>
      </c>
      <c r="K78" s="403">
        <f t="shared" si="95"/>
        <v>0</v>
      </c>
      <c r="L78" s="403">
        <f t="shared" si="95"/>
        <v>0</v>
      </c>
      <c r="M78" s="403">
        <f t="shared" si="95"/>
        <v>0</v>
      </c>
      <c r="N78" s="403">
        <f t="shared" si="95"/>
        <v>0</v>
      </c>
      <c r="O78" s="404">
        <f t="shared" si="95"/>
        <v>0</v>
      </c>
      <c r="P78" s="386">
        <f t="shared" si="88"/>
        <v>0</v>
      </c>
      <c r="Q78" s="1240" t="str">
        <f t="shared" si="85"/>
        <v>-</v>
      </c>
    </row>
    <row r="79" spans="1:22" ht="16.5" hidden="1" customHeight="1">
      <c r="A79" s="406" t="s">
        <v>84</v>
      </c>
      <c r="B79" s="378">
        <f t="shared" si="91"/>
        <v>0</v>
      </c>
      <c r="C79" s="379">
        <f t="shared" si="91"/>
        <v>0</v>
      </c>
      <c r="D79" s="407">
        <f t="shared" ref="D79:O79" si="96">+D33-D56</f>
        <v>0</v>
      </c>
      <c r="E79" s="382">
        <f t="shared" si="96"/>
        <v>0</v>
      </c>
      <c r="F79" s="382">
        <f t="shared" si="96"/>
        <v>0</v>
      </c>
      <c r="G79" s="382">
        <f t="shared" si="96"/>
        <v>0</v>
      </c>
      <c r="H79" s="382">
        <f t="shared" si="96"/>
        <v>0</v>
      </c>
      <c r="I79" s="381">
        <f t="shared" si="96"/>
        <v>0</v>
      </c>
      <c r="J79" s="381">
        <f t="shared" si="96"/>
        <v>0</v>
      </c>
      <c r="K79" s="382">
        <f t="shared" si="96"/>
        <v>0</v>
      </c>
      <c r="L79" s="382">
        <f t="shared" si="96"/>
        <v>0</v>
      </c>
      <c r="M79" s="382">
        <f t="shared" si="96"/>
        <v>0</v>
      </c>
      <c r="N79" s="382">
        <f t="shared" si="96"/>
        <v>0</v>
      </c>
      <c r="O79" s="383">
        <f t="shared" si="96"/>
        <v>0</v>
      </c>
      <c r="P79" s="399">
        <f t="shared" si="88"/>
        <v>0</v>
      </c>
      <c r="Q79" s="1238" t="str">
        <f t="shared" si="85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7">SUM(B76:B79)</f>
        <v>0</v>
      </c>
      <c r="C80" s="412">
        <f t="shared" si="97"/>
        <v>0</v>
      </c>
      <c r="D80" s="413">
        <f t="shared" ref="D80:O80" si="98">SUM(D76:D79)</f>
        <v>0</v>
      </c>
      <c r="E80" s="414">
        <f t="shared" si="98"/>
        <v>0</v>
      </c>
      <c r="F80" s="414">
        <f t="shared" si="98"/>
        <v>0</v>
      </c>
      <c r="G80" s="414">
        <f t="shared" si="98"/>
        <v>0</v>
      </c>
      <c r="H80" s="414">
        <f t="shared" si="98"/>
        <v>0</v>
      </c>
      <c r="I80" s="414">
        <f t="shared" si="98"/>
        <v>0</v>
      </c>
      <c r="J80" s="414">
        <f t="shared" si="98"/>
        <v>0</v>
      </c>
      <c r="K80" s="414">
        <f t="shared" si="98"/>
        <v>0</v>
      </c>
      <c r="L80" s="414">
        <f t="shared" si="98"/>
        <v>0</v>
      </c>
      <c r="M80" s="414">
        <f t="shared" si="98"/>
        <v>0</v>
      </c>
      <c r="N80" s="414">
        <f t="shared" si="98"/>
        <v>0</v>
      </c>
      <c r="O80" s="412">
        <f t="shared" si="98"/>
        <v>0</v>
      </c>
      <c r="P80" s="411">
        <f t="shared" si="88"/>
        <v>0</v>
      </c>
      <c r="Q80" s="1241" t="str">
        <f t="shared" si="85"/>
        <v>-</v>
      </c>
    </row>
    <row r="81" spans="1:22" ht="22.5" customHeight="1" thickBot="1">
      <c r="A81" s="362" t="s">
        <v>29</v>
      </c>
      <c r="B81" s="420">
        <f t="shared" ref="B81:C86" si="99">+B35-B58</f>
        <v>0</v>
      </c>
      <c r="C81" s="416">
        <f t="shared" si="99"/>
        <v>0</v>
      </c>
      <c r="D81" s="417">
        <f t="shared" ref="D81:O81" si="100">+D35-D58</f>
        <v>0</v>
      </c>
      <c r="E81" s="418">
        <f t="shared" si="100"/>
        <v>0</v>
      </c>
      <c r="F81" s="418">
        <f t="shared" si="100"/>
        <v>0</v>
      </c>
      <c r="G81" s="418">
        <f t="shared" si="100"/>
        <v>0</v>
      </c>
      <c r="H81" s="418">
        <f t="shared" si="100"/>
        <v>0</v>
      </c>
      <c r="I81" s="418">
        <f t="shared" si="100"/>
        <v>0</v>
      </c>
      <c r="J81" s="418">
        <f t="shared" si="100"/>
        <v>0</v>
      </c>
      <c r="K81" s="418">
        <f t="shared" si="100"/>
        <v>0</v>
      </c>
      <c r="L81" s="418">
        <f t="shared" si="100"/>
        <v>0</v>
      </c>
      <c r="M81" s="418">
        <f t="shared" si="100"/>
        <v>0</v>
      </c>
      <c r="N81" s="418">
        <f t="shared" si="100"/>
        <v>0</v>
      </c>
      <c r="O81" s="419">
        <f t="shared" si="100"/>
        <v>0</v>
      </c>
      <c r="P81" s="420">
        <f t="shared" si="88"/>
        <v>0</v>
      </c>
      <c r="Q81" s="1242" t="str">
        <f t="shared" si="85"/>
        <v>-</v>
      </c>
    </row>
    <row r="82" spans="1:22" ht="16.5" customHeight="1">
      <c r="A82" s="422" t="s">
        <v>19</v>
      </c>
      <c r="B82" s="423">
        <f t="shared" si="99"/>
        <v>0</v>
      </c>
      <c r="C82" s="424">
        <f t="shared" si="99"/>
        <v>0</v>
      </c>
      <c r="D82" s="425">
        <f t="shared" ref="D82:O82" si="101">+D36-D59</f>
        <v>0</v>
      </c>
      <c r="E82" s="426">
        <f t="shared" si="101"/>
        <v>0</v>
      </c>
      <c r="F82" s="426">
        <f t="shared" si="101"/>
        <v>0</v>
      </c>
      <c r="G82" s="426">
        <f t="shared" si="101"/>
        <v>0</v>
      </c>
      <c r="H82" s="426">
        <f t="shared" si="101"/>
        <v>0</v>
      </c>
      <c r="I82" s="426">
        <f t="shared" si="101"/>
        <v>0</v>
      </c>
      <c r="J82" s="426">
        <f t="shared" si="101"/>
        <v>0</v>
      </c>
      <c r="K82" s="426">
        <f t="shared" si="101"/>
        <v>0</v>
      </c>
      <c r="L82" s="426">
        <f t="shared" si="101"/>
        <v>0</v>
      </c>
      <c r="M82" s="426">
        <f t="shared" si="101"/>
        <v>0</v>
      </c>
      <c r="N82" s="426">
        <f t="shared" si="101"/>
        <v>0</v>
      </c>
      <c r="O82" s="427">
        <f t="shared" si="101"/>
        <v>0</v>
      </c>
      <c r="P82" s="428">
        <f t="shared" si="88"/>
        <v>0</v>
      </c>
      <c r="Q82" s="1243" t="str">
        <f t="shared" si="85"/>
        <v>-</v>
      </c>
    </row>
    <row r="83" spans="1:22" ht="16.5" customHeight="1" thickBot="1">
      <c r="A83" s="430" t="s">
        <v>20</v>
      </c>
      <c r="B83" s="431">
        <f t="shared" si="99"/>
        <v>0</v>
      </c>
      <c r="C83" s="432">
        <f t="shared" si="99"/>
        <v>0</v>
      </c>
      <c r="D83" s="433">
        <f t="shared" ref="D83:O83" si="102">+D37-D60</f>
        <v>0</v>
      </c>
      <c r="E83" s="434">
        <f t="shared" si="102"/>
        <v>0</v>
      </c>
      <c r="F83" s="434">
        <f t="shared" si="102"/>
        <v>0</v>
      </c>
      <c r="G83" s="434">
        <f t="shared" si="102"/>
        <v>0</v>
      </c>
      <c r="H83" s="434">
        <f t="shared" si="102"/>
        <v>0</v>
      </c>
      <c r="I83" s="434">
        <f t="shared" si="102"/>
        <v>0</v>
      </c>
      <c r="J83" s="434">
        <f t="shared" si="102"/>
        <v>0</v>
      </c>
      <c r="K83" s="434">
        <f t="shared" si="102"/>
        <v>0</v>
      </c>
      <c r="L83" s="434">
        <f t="shared" si="102"/>
        <v>0</v>
      </c>
      <c r="M83" s="434">
        <f t="shared" si="102"/>
        <v>0</v>
      </c>
      <c r="N83" s="434">
        <f t="shared" si="102"/>
        <v>0</v>
      </c>
      <c r="O83" s="435">
        <f t="shared" si="102"/>
        <v>0</v>
      </c>
      <c r="P83" s="436">
        <f t="shared" si="88"/>
        <v>0</v>
      </c>
      <c r="Q83" s="1244" t="str">
        <f t="shared" si="85"/>
        <v>-</v>
      </c>
    </row>
    <row r="84" spans="1:22" ht="22.5" customHeight="1" thickBot="1">
      <c r="A84" s="362" t="s">
        <v>30</v>
      </c>
      <c r="B84" s="363">
        <f t="shared" si="99"/>
        <v>0</v>
      </c>
      <c r="C84" s="364">
        <f t="shared" si="99"/>
        <v>0</v>
      </c>
      <c r="D84" s="365">
        <f t="shared" ref="D84:O84" si="103">+D38-D61</f>
        <v>0</v>
      </c>
      <c r="E84" s="366">
        <f t="shared" si="103"/>
        <v>0</v>
      </c>
      <c r="F84" s="366">
        <f t="shared" si="103"/>
        <v>0</v>
      </c>
      <c r="G84" s="366">
        <f t="shared" si="103"/>
        <v>0</v>
      </c>
      <c r="H84" s="366">
        <f t="shared" si="103"/>
        <v>0</v>
      </c>
      <c r="I84" s="366">
        <f t="shared" si="103"/>
        <v>0</v>
      </c>
      <c r="J84" s="366">
        <f t="shared" si="103"/>
        <v>0</v>
      </c>
      <c r="K84" s="366">
        <f t="shared" si="103"/>
        <v>0</v>
      </c>
      <c r="L84" s="366">
        <f t="shared" si="103"/>
        <v>0</v>
      </c>
      <c r="M84" s="366">
        <f t="shared" si="103"/>
        <v>0</v>
      </c>
      <c r="N84" s="366">
        <f t="shared" si="103"/>
        <v>0</v>
      </c>
      <c r="O84" s="448">
        <f t="shared" si="103"/>
        <v>0</v>
      </c>
      <c r="P84" s="363">
        <f t="shared" si="88"/>
        <v>0</v>
      </c>
      <c r="Q84" s="1236" t="str">
        <f t="shared" si="85"/>
        <v>-</v>
      </c>
    </row>
    <row r="85" spans="1:22" ht="16.5" customHeight="1">
      <c r="A85" s="422" t="s">
        <v>106</v>
      </c>
      <c r="B85" s="423">
        <f t="shared" si="99"/>
        <v>0</v>
      </c>
      <c r="C85" s="424">
        <f t="shared" si="99"/>
        <v>0</v>
      </c>
      <c r="D85" s="425">
        <f t="shared" ref="D85:O85" si="104">+D39-D62</f>
        <v>0</v>
      </c>
      <c r="E85" s="426">
        <f t="shared" si="104"/>
        <v>0</v>
      </c>
      <c r="F85" s="426">
        <f t="shared" si="104"/>
        <v>0</v>
      </c>
      <c r="G85" s="426">
        <f t="shared" si="104"/>
        <v>0</v>
      </c>
      <c r="H85" s="426">
        <f t="shared" si="104"/>
        <v>0</v>
      </c>
      <c r="I85" s="426">
        <f t="shared" si="104"/>
        <v>0</v>
      </c>
      <c r="J85" s="426">
        <f t="shared" si="104"/>
        <v>0</v>
      </c>
      <c r="K85" s="426">
        <f t="shared" si="104"/>
        <v>0</v>
      </c>
      <c r="L85" s="426">
        <f t="shared" si="104"/>
        <v>0</v>
      </c>
      <c r="M85" s="426">
        <f t="shared" si="104"/>
        <v>0</v>
      </c>
      <c r="N85" s="426">
        <f t="shared" si="104"/>
        <v>0</v>
      </c>
      <c r="O85" s="427">
        <f t="shared" si="104"/>
        <v>0</v>
      </c>
      <c r="P85" s="428">
        <f t="shared" si="88"/>
        <v>0</v>
      </c>
      <c r="Q85" s="1243" t="str">
        <f t="shared" si="85"/>
        <v>-</v>
      </c>
    </row>
    <row r="86" spans="1:22" ht="16.5" customHeight="1" thickBot="1">
      <c r="A86" s="438" t="s">
        <v>105</v>
      </c>
      <c r="B86" s="439">
        <f t="shared" si="99"/>
        <v>0</v>
      </c>
      <c r="C86" s="440">
        <f t="shared" si="99"/>
        <v>0</v>
      </c>
      <c r="D86" s="441">
        <f t="shared" ref="D86:O86" si="105">+D40-D63</f>
        <v>0</v>
      </c>
      <c r="E86" s="442">
        <f t="shared" si="105"/>
        <v>0</v>
      </c>
      <c r="F86" s="442">
        <f t="shared" si="105"/>
        <v>0</v>
      </c>
      <c r="G86" s="442">
        <f t="shared" si="105"/>
        <v>0</v>
      </c>
      <c r="H86" s="442">
        <f t="shared" si="105"/>
        <v>0</v>
      </c>
      <c r="I86" s="442">
        <f t="shared" si="105"/>
        <v>0</v>
      </c>
      <c r="J86" s="442">
        <f t="shared" si="105"/>
        <v>0</v>
      </c>
      <c r="K86" s="442">
        <f t="shared" si="105"/>
        <v>0</v>
      </c>
      <c r="L86" s="442">
        <f t="shared" si="105"/>
        <v>0</v>
      </c>
      <c r="M86" s="442">
        <f t="shared" si="105"/>
        <v>0</v>
      </c>
      <c r="N86" s="442">
        <f t="shared" si="105"/>
        <v>0</v>
      </c>
      <c r="O86" s="443">
        <f t="shared" si="105"/>
        <v>0</v>
      </c>
      <c r="P86" s="444">
        <f t="shared" si="88"/>
        <v>0</v>
      </c>
      <c r="Q86" s="1245" t="str">
        <f t="shared" si="85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7"/>
    </row>
    <row r="88" spans="1:22" ht="22.5" customHeight="1" thickBot="1">
      <c r="A88" s="362" t="s">
        <v>86</v>
      </c>
      <c r="B88" s="363">
        <f t="shared" ref="B88:C88" si="106">+B42-B65</f>
        <v>0</v>
      </c>
      <c r="C88" s="364">
        <f t="shared" si="106"/>
        <v>0</v>
      </c>
      <c r="D88" s="365">
        <f t="shared" ref="D88:O88" si="107">+D42-D65</f>
        <v>0</v>
      </c>
      <c r="E88" s="366">
        <f t="shared" si="107"/>
        <v>0</v>
      </c>
      <c r="F88" s="366">
        <f t="shared" si="107"/>
        <v>0</v>
      </c>
      <c r="G88" s="366">
        <f t="shared" si="107"/>
        <v>0</v>
      </c>
      <c r="H88" s="366">
        <f t="shared" si="107"/>
        <v>0</v>
      </c>
      <c r="I88" s="366">
        <f t="shared" si="107"/>
        <v>0</v>
      </c>
      <c r="J88" s="366">
        <f t="shared" si="107"/>
        <v>0</v>
      </c>
      <c r="K88" s="366">
        <f t="shared" si="107"/>
        <v>0</v>
      </c>
      <c r="L88" s="366">
        <f t="shared" si="107"/>
        <v>0</v>
      </c>
      <c r="M88" s="366">
        <f t="shared" si="107"/>
        <v>0</v>
      </c>
      <c r="N88" s="366">
        <f t="shared" si="107"/>
        <v>0</v>
      </c>
      <c r="O88" s="448">
        <f t="shared" si="107"/>
        <v>0</v>
      </c>
      <c r="P88" s="363">
        <f t="shared" si="88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>
        <f t="shared" si="88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8">+C71+C81+C84+C88</f>
        <v>0</v>
      </c>
      <c r="D90" s="365">
        <f t="shared" ref="D90:O90" si="109">+D71+D81+D84+D88</f>
        <v>0</v>
      </c>
      <c r="E90" s="366">
        <f t="shared" si="109"/>
        <v>0</v>
      </c>
      <c r="F90" s="366">
        <f t="shared" si="109"/>
        <v>0</v>
      </c>
      <c r="G90" s="366">
        <f t="shared" si="109"/>
        <v>0</v>
      </c>
      <c r="H90" s="366">
        <f t="shared" si="109"/>
        <v>0</v>
      </c>
      <c r="I90" s="366">
        <f t="shared" si="109"/>
        <v>0</v>
      </c>
      <c r="J90" s="366">
        <f t="shared" si="109"/>
        <v>0</v>
      </c>
      <c r="K90" s="366">
        <f t="shared" si="109"/>
        <v>0</v>
      </c>
      <c r="L90" s="366">
        <f t="shared" si="109"/>
        <v>0</v>
      </c>
      <c r="M90" s="366">
        <f t="shared" si="109"/>
        <v>0</v>
      </c>
      <c r="N90" s="366">
        <f t="shared" si="109"/>
        <v>0</v>
      </c>
      <c r="O90" s="448">
        <f t="shared" si="109"/>
        <v>0</v>
      </c>
      <c r="P90" s="363">
        <f t="shared" si="88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649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360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10">C97+C98+C103</f>
        <v>0</v>
      </c>
      <c r="D94" s="365">
        <f t="shared" ref="D94:P94" si="111">D97+D98+D103</f>
        <v>0</v>
      </c>
      <c r="E94" s="366">
        <f t="shared" si="111"/>
        <v>0</v>
      </c>
      <c r="F94" s="366">
        <f t="shared" si="111"/>
        <v>0</v>
      </c>
      <c r="G94" s="366">
        <f t="shared" si="111"/>
        <v>0</v>
      </c>
      <c r="H94" s="366">
        <f t="shared" si="111"/>
        <v>0</v>
      </c>
      <c r="I94" s="366">
        <f t="shared" si="111"/>
        <v>0</v>
      </c>
      <c r="J94" s="366">
        <f t="shared" si="111"/>
        <v>0</v>
      </c>
      <c r="K94" s="366">
        <f t="shared" si="111"/>
        <v>0</v>
      </c>
      <c r="L94" s="366">
        <f t="shared" si="111"/>
        <v>0</v>
      </c>
      <c r="M94" s="366">
        <f t="shared" si="111"/>
        <v>0</v>
      </c>
      <c r="N94" s="366">
        <f t="shared" si="111"/>
        <v>0</v>
      </c>
      <c r="O94" s="364">
        <f t="shared" si="111"/>
        <v>0</v>
      </c>
      <c r="P94" s="363">
        <f t="shared" si="111"/>
        <v>0</v>
      </c>
      <c r="Q94" s="1236" t="str">
        <f t="shared" ref="Q94:Q109" si="112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Fiyat'!D293</f>
        <v>0</v>
      </c>
      <c r="E95" s="372">
        <f>E5*'Alış Fiyat'!E293</f>
        <v>0</v>
      </c>
      <c r="F95" s="372">
        <f>F5*'Alış Fiyat'!F293</f>
        <v>0</v>
      </c>
      <c r="G95" s="372">
        <f>G5*'Alış Fiyat'!G293</f>
        <v>0</v>
      </c>
      <c r="H95" s="373">
        <f>H5*'Alış Fiyat'!H293</f>
        <v>0</v>
      </c>
      <c r="I95" s="373">
        <f>I5*'Alış Fiyat'!I293</f>
        <v>0</v>
      </c>
      <c r="J95" s="373">
        <f>J5*'Alış Fiyat'!J293</f>
        <v>0</v>
      </c>
      <c r="K95" s="373">
        <f>K5*'Alış Fiyat'!K293</f>
        <v>0</v>
      </c>
      <c r="L95" s="373">
        <f>L5*'Alış Fiyat'!L293</f>
        <v>0</v>
      </c>
      <c r="M95" s="373">
        <f>M5*'Alış Fiyat'!M293</f>
        <v>0</v>
      </c>
      <c r="N95" s="373">
        <f>N5*'Alış Fiyat'!N293</f>
        <v>0</v>
      </c>
      <c r="O95" s="374">
        <f>O5*'Alış Fiyat'!O293</f>
        <v>0</v>
      </c>
      <c r="P95" s="369">
        <f t="shared" ref="P95:P102" si="113">SUM(D95:O95)</f>
        <v>0</v>
      </c>
      <c r="Q95" s="1237" t="str">
        <f t="shared" si="112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Fiyat'!D294</f>
        <v>0</v>
      </c>
      <c r="E96" s="381">
        <f>E6*'Alış Fiyat'!E294</f>
        <v>0</v>
      </c>
      <c r="F96" s="381">
        <f>F6*'Alış Fiyat'!F294</f>
        <v>0</v>
      </c>
      <c r="G96" s="381">
        <f>G6*'Alış Fiyat'!G294</f>
        <v>0</v>
      </c>
      <c r="H96" s="382">
        <f>H6*'Alış Fiyat'!H294</f>
        <v>0</v>
      </c>
      <c r="I96" s="382">
        <f>I6*'Alış Fiyat'!I294</f>
        <v>0</v>
      </c>
      <c r="J96" s="382">
        <f>J6*'Alış Fiyat'!J294</f>
        <v>0</v>
      </c>
      <c r="K96" s="382">
        <f>K6*'Alış Fiyat'!K294</f>
        <v>0</v>
      </c>
      <c r="L96" s="382">
        <f>L6*'Alış Fiyat'!L294</f>
        <v>0</v>
      </c>
      <c r="M96" s="382">
        <f>M6*'Alış Fiyat'!M294</f>
        <v>0</v>
      </c>
      <c r="N96" s="382">
        <f>N6*'Alış Fiyat'!N294</f>
        <v>0</v>
      </c>
      <c r="O96" s="383">
        <f>O6*'Alış Fiyat'!O294</f>
        <v>0</v>
      </c>
      <c r="P96" s="378">
        <f t="shared" si="113"/>
        <v>0</v>
      </c>
      <c r="Q96" s="1238" t="str">
        <f t="shared" si="112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4">SUM(D95:D96)</f>
        <v>0</v>
      </c>
      <c r="E97" s="389">
        <f t="shared" si="114"/>
        <v>0</v>
      </c>
      <c r="F97" s="389">
        <f t="shared" si="114"/>
        <v>0</v>
      </c>
      <c r="G97" s="389">
        <f t="shared" si="114"/>
        <v>0</v>
      </c>
      <c r="H97" s="389">
        <f t="shared" si="114"/>
        <v>0</v>
      </c>
      <c r="I97" s="389">
        <f t="shared" si="114"/>
        <v>0</v>
      </c>
      <c r="J97" s="389">
        <f t="shared" si="114"/>
        <v>0</v>
      </c>
      <c r="K97" s="389">
        <f t="shared" si="114"/>
        <v>0</v>
      </c>
      <c r="L97" s="389">
        <f t="shared" si="114"/>
        <v>0</v>
      </c>
      <c r="M97" s="389">
        <f t="shared" si="114"/>
        <v>0</v>
      </c>
      <c r="N97" s="389">
        <f t="shared" si="114"/>
        <v>0</v>
      </c>
      <c r="O97" s="390">
        <f t="shared" si="114"/>
        <v>0</v>
      </c>
      <c r="P97" s="391">
        <f t="shared" si="113"/>
        <v>0</v>
      </c>
      <c r="Q97" s="1239" t="str">
        <f t="shared" si="112"/>
        <v>-</v>
      </c>
    </row>
    <row r="98" spans="1:22" ht="16.5" customHeight="1">
      <c r="A98" s="393" t="s">
        <v>17</v>
      </c>
      <c r="B98" s="394"/>
      <c r="C98" s="395"/>
      <c r="D98" s="396">
        <f>D8*'Alış Fiyat'!D296</f>
        <v>0</v>
      </c>
      <c r="E98" s="397">
        <f>E8*'Alış Fiyat'!E296</f>
        <v>0</v>
      </c>
      <c r="F98" s="397">
        <f>F8*'Alış Fiyat'!F296</f>
        <v>0</v>
      </c>
      <c r="G98" s="397">
        <f>G8*'Alış Fiyat'!G296</f>
        <v>0</v>
      </c>
      <c r="H98" s="397">
        <f>H8*'Alış Fiyat'!H296</f>
        <v>0</v>
      </c>
      <c r="I98" s="397">
        <f>I8*'Alış Fiyat'!I296</f>
        <v>0</v>
      </c>
      <c r="J98" s="397">
        <f>J8*'Alış Fiyat'!J296</f>
        <v>0</v>
      </c>
      <c r="K98" s="397">
        <f>K8*'Alış Fiyat'!K296</f>
        <v>0</v>
      </c>
      <c r="L98" s="397">
        <f>L8*'Alış Fiyat'!L296</f>
        <v>0</v>
      </c>
      <c r="M98" s="397">
        <f>M8*'Alış Fiyat'!M296</f>
        <v>0</v>
      </c>
      <c r="N98" s="397">
        <f>N8*'Alış Fiyat'!N296</f>
        <v>0</v>
      </c>
      <c r="O98" s="398">
        <f>O8*'Alış Fiyat'!O296</f>
        <v>0</v>
      </c>
      <c r="P98" s="399">
        <f t="shared" si="113"/>
        <v>0</v>
      </c>
      <c r="Q98" s="1238" t="str">
        <f t="shared" si="112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Fiyat'!D297</f>
        <v>0</v>
      </c>
      <c r="E99" s="389">
        <f>E9*'Alış Fiyat'!E297</f>
        <v>0</v>
      </c>
      <c r="F99" s="389">
        <f>F9*'Alış Fiyat'!F297</f>
        <v>0</v>
      </c>
      <c r="G99" s="389">
        <f>G9*'Alış Fiyat'!G297</f>
        <v>0</v>
      </c>
      <c r="H99" s="389">
        <f>H9*'Alış Fiyat'!H297</f>
        <v>0</v>
      </c>
      <c r="I99" s="389">
        <f>I9*'Alış Fiyat'!I297</f>
        <v>0</v>
      </c>
      <c r="J99" s="389">
        <f>J9*'Alış Fiyat'!J297</f>
        <v>0</v>
      </c>
      <c r="K99" s="389">
        <f>K9*'Alış Fiyat'!K297</f>
        <v>0</v>
      </c>
      <c r="L99" s="389">
        <f>L9*'Alış Fiyat'!L297</f>
        <v>0</v>
      </c>
      <c r="M99" s="389">
        <f>M9*'Alış Fiyat'!M297</f>
        <v>0</v>
      </c>
      <c r="N99" s="389">
        <f>N9*'Alış Fiyat'!N297</f>
        <v>0</v>
      </c>
      <c r="O99" s="390">
        <f>O9*'Alış Fiyat'!O297</f>
        <v>0</v>
      </c>
      <c r="P99" s="386">
        <f t="shared" si="113"/>
        <v>0</v>
      </c>
      <c r="Q99" s="1240" t="str">
        <f t="shared" si="112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Fiyat'!D298</f>
        <v>0</v>
      </c>
      <c r="E100" s="397">
        <f>E10*'Alış Fiyat'!E298</f>
        <v>0</v>
      </c>
      <c r="F100" s="397">
        <f>F10*'Alış Fiyat'!F298</f>
        <v>0</v>
      </c>
      <c r="G100" s="397">
        <f>G10*'Alış Fiyat'!G298</f>
        <v>0</v>
      </c>
      <c r="H100" s="397">
        <f>H10*'Alış Fiyat'!H298</f>
        <v>0</v>
      </c>
      <c r="I100" s="397">
        <f>I10*'Alış Fiyat'!I298</f>
        <v>0</v>
      </c>
      <c r="J100" s="397">
        <f>J10*'Alış Fiyat'!J298</f>
        <v>0</v>
      </c>
      <c r="K100" s="397">
        <f>K10*'Alış Fiyat'!K298</f>
        <v>0</v>
      </c>
      <c r="L100" s="397">
        <f>L10*'Alış Fiyat'!L298</f>
        <v>0</v>
      </c>
      <c r="M100" s="397">
        <f>M10*'Alış Fiyat'!M298</f>
        <v>0</v>
      </c>
      <c r="N100" s="397">
        <f>N10*'Alış Fiyat'!N298</f>
        <v>0</v>
      </c>
      <c r="O100" s="398">
        <f>O10*'Alış Fiyat'!O298</f>
        <v>0</v>
      </c>
      <c r="P100" s="399">
        <f t="shared" si="113"/>
        <v>0</v>
      </c>
      <c r="Q100" s="1238" t="str">
        <f t="shared" si="112"/>
        <v>-</v>
      </c>
    </row>
    <row r="101" spans="1:22" ht="16.5" customHeight="1">
      <c r="A101" s="400" t="s">
        <v>83</v>
      </c>
      <c r="B101" s="408"/>
      <c r="C101" s="404"/>
      <c r="D101" s="402">
        <f>D11*'Alış Fiyat'!D299</f>
        <v>0</v>
      </c>
      <c r="E101" s="403">
        <f>E11*'Alış Fiyat'!E299</f>
        <v>0</v>
      </c>
      <c r="F101" s="403">
        <f>F11*'Alış Fiyat'!F299</f>
        <v>0</v>
      </c>
      <c r="G101" s="403">
        <f>G11*'Alış Fiyat'!G299</f>
        <v>0</v>
      </c>
      <c r="H101" s="403">
        <f>H11*'Alış Fiyat'!H299</f>
        <v>0</v>
      </c>
      <c r="I101" s="403">
        <f>I11*'Alış Fiyat'!I299</f>
        <v>0</v>
      </c>
      <c r="J101" s="403">
        <f>J11*'Alış Fiyat'!J299</f>
        <v>0</v>
      </c>
      <c r="K101" s="403">
        <f>K11*'Alış Fiyat'!K299</f>
        <v>0</v>
      </c>
      <c r="L101" s="403">
        <f>L11*'Alış Fiyat'!L299</f>
        <v>0</v>
      </c>
      <c r="M101" s="403">
        <f>M11*'Alış Fiyat'!M299</f>
        <v>0</v>
      </c>
      <c r="N101" s="403">
        <f>N11*'Alış Fiyat'!N299</f>
        <v>0</v>
      </c>
      <c r="O101" s="404">
        <f>O11*'Alış Fiyat'!O299</f>
        <v>0</v>
      </c>
      <c r="P101" s="386">
        <f t="shared" si="113"/>
        <v>0</v>
      </c>
      <c r="Q101" s="1240" t="str">
        <f t="shared" si="112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Fiyat'!D300</f>
        <v>0</v>
      </c>
      <c r="E102" s="382">
        <f>E12*'Alış Fiyat'!E300</f>
        <v>0</v>
      </c>
      <c r="F102" s="382">
        <f>F12*'Alış Fiyat'!F300</f>
        <v>0</v>
      </c>
      <c r="G102" s="382">
        <f>G12*'Alış Fiyat'!G300</f>
        <v>0</v>
      </c>
      <c r="H102" s="382">
        <f>H12*'Alış Fiyat'!H300</f>
        <v>0</v>
      </c>
      <c r="I102" s="381">
        <f>I12*'Alış Fiyat'!I300</f>
        <v>0</v>
      </c>
      <c r="J102" s="381">
        <f>J12*'Alış Fiyat'!J300</f>
        <v>0</v>
      </c>
      <c r="K102" s="382">
        <f>K12*'Alış Fiyat'!K300</f>
        <v>0</v>
      </c>
      <c r="L102" s="382">
        <f>L12*'Alış Fiyat'!L300</f>
        <v>0</v>
      </c>
      <c r="M102" s="382">
        <f>M12*'Alış Fiyat'!M300</f>
        <v>0</v>
      </c>
      <c r="N102" s="382">
        <f>N12*'Alış Fiyat'!N300</f>
        <v>0</v>
      </c>
      <c r="O102" s="383">
        <f>O12*'Alış Fiyat'!O300</f>
        <v>0</v>
      </c>
      <c r="P102" s="399">
        <f t="shared" si="113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5">SUM(E99:E102)</f>
        <v>0</v>
      </c>
      <c r="F103" s="414">
        <f t="shared" si="115"/>
        <v>0</v>
      </c>
      <c r="G103" s="414">
        <f t="shared" si="115"/>
        <v>0</v>
      </c>
      <c r="H103" s="414">
        <f t="shared" si="115"/>
        <v>0</v>
      </c>
      <c r="I103" s="414">
        <f t="shared" si="115"/>
        <v>0</v>
      </c>
      <c r="J103" s="414">
        <f t="shared" si="115"/>
        <v>0</v>
      </c>
      <c r="K103" s="414">
        <f t="shared" si="115"/>
        <v>0</v>
      </c>
      <c r="L103" s="414">
        <f t="shared" si="115"/>
        <v>0</v>
      </c>
      <c r="M103" s="414">
        <f t="shared" si="115"/>
        <v>0</v>
      </c>
      <c r="N103" s="414">
        <f t="shared" si="115"/>
        <v>0</v>
      </c>
      <c r="O103" s="412">
        <f t="shared" si="115"/>
        <v>0</v>
      </c>
      <c r="P103" s="411">
        <f t="shared" si="115"/>
        <v>0</v>
      </c>
      <c r="Q103" s="1241" t="str">
        <f t="shared" si="112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6">SUM(C105:C106)</f>
        <v>0</v>
      </c>
      <c r="D104" s="417">
        <f t="shared" ref="D104:P104" si="117">SUM(D105:D106)</f>
        <v>0</v>
      </c>
      <c r="E104" s="418">
        <f t="shared" si="117"/>
        <v>0</v>
      </c>
      <c r="F104" s="418">
        <f t="shared" si="117"/>
        <v>0</v>
      </c>
      <c r="G104" s="418">
        <f t="shared" si="117"/>
        <v>0</v>
      </c>
      <c r="H104" s="418">
        <f t="shared" si="117"/>
        <v>0</v>
      </c>
      <c r="I104" s="418">
        <f t="shared" si="117"/>
        <v>0</v>
      </c>
      <c r="J104" s="418">
        <f t="shared" si="117"/>
        <v>0</v>
      </c>
      <c r="K104" s="418">
        <f t="shared" si="117"/>
        <v>0</v>
      </c>
      <c r="L104" s="418">
        <f t="shared" si="117"/>
        <v>0</v>
      </c>
      <c r="M104" s="418">
        <f t="shared" si="117"/>
        <v>0</v>
      </c>
      <c r="N104" s="418">
        <f t="shared" si="117"/>
        <v>0</v>
      </c>
      <c r="O104" s="419">
        <f t="shared" si="117"/>
        <v>0</v>
      </c>
      <c r="P104" s="420">
        <f t="shared" si="117"/>
        <v>0</v>
      </c>
      <c r="Q104" s="1242" t="str">
        <f t="shared" si="112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Fiyat'!D303</f>
        <v>0</v>
      </c>
      <c r="E105" s="426">
        <f>E15*'Alış Fiyat'!E303</f>
        <v>0</v>
      </c>
      <c r="F105" s="426">
        <f>F15*'Alış Fiyat'!F303</f>
        <v>0</v>
      </c>
      <c r="G105" s="426">
        <f>G15*'Alış Fiyat'!G303</f>
        <v>0</v>
      </c>
      <c r="H105" s="426">
        <f>H15*'Alış Fiyat'!H303</f>
        <v>0</v>
      </c>
      <c r="I105" s="426">
        <f>I15*'Alış Fiyat'!I303</f>
        <v>0</v>
      </c>
      <c r="J105" s="426">
        <f>J15*'Alış Fiyat'!J303</f>
        <v>0</v>
      </c>
      <c r="K105" s="426">
        <f>K15*'Alış Fiyat'!K303</f>
        <v>0</v>
      </c>
      <c r="L105" s="426">
        <f>L15*'Alış Fiyat'!L303</f>
        <v>0</v>
      </c>
      <c r="M105" s="426">
        <f>M15*'Alış Fiyat'!M303</f>
        <v>0</v>
      </c>
      <c r="N105" s="426">
        <f>N15*'Alış Fiyat'!N303</f>
        <v>0</v>
      </c>
      <c r="O105" s="427">
        <f>O15*'Alış Fiyat'!O303</f>
        <v>0</v>
      </c>
      <c r="P105" s="428">
        <f>SUM(D105:O105)</f>
        <v>0</v>
      </c>
      <c r="Q105" s="1243" t="str">
        <f t="shared" si="112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Fiyat'!D304</f>
        <v>0</v>
      </c>
      <c r="E106" s="434">
        <f>E16*'Alış Fiyat'!E304</f>
        <v>0</v>
      </c>
      <c r="F106" s="434">
        <f>F16*'Alış Fiyat'!F304</f>
        <v>0</v>
      </c>
      <c r="G106" s="434">
        <f>G16*'Alış Fiyat'!G304</f>
        <v>0</v>
      </c>
      <c r="H106" s="434">
        <f>H16*'Alış Fiyat'!H304</f>
        <v>0</v>
      </c>
      <c r="I106" s="434">
        <f>I16*'Alış Fiyat'!I304</f>
        <v>0</v>
      </c>
      <c r="J106" s="434">
        <f>J16*'Alış Fiyat'!J304</f>
        <v>0</v>
      </c>
      <c r="K106" s="434">
        <f>K16*'Alış Fiyat'!K304</f>
        <v>0</v>
      </c>
      <c r="L106" s="434">
        <f>L16*'Alış Fiyat'!L304</f>
        <v>0</v>
      </c>
      <c r="M106" s="434">
        <f>M16*'Alış Fiyat'!M304</f>
        <v>0</v>
      </c>
      <c r="N106" s="434">
        <f>N16*'Alış Fiyat'!N304</f>
        <v>0</v>
      </c>
      <c r="O106" s="435">
        <f>O16*'Alış Fiyat'!O304</f>
        <v>0</v>
      </c>
      <c r="P106" s="436">
        <f>SUM(D106:O106)</f>
        <v>0</v>
      </c>
      <c r="Q106" s="1244" t="str">
        <f t="shared" si="112"/>
        <v>-</v>
      </c>
    </row>
    <row r="107" spans="1:22" ht="22.5" customHeight="1" thickBot="1">
      <c r="A107" s="362" t="s">
        <v>30</v>
      </c>
      <c r="B107" s="363">
        <f t="shared" ref="B107:C107" si="118">SUM(B108:B109)</f>
        <v>0</v>
      </c>
      <c r="C107" s="416">
        <f t="shared" si="118"/>
        <v>0</v>
      </c>
      <c r="D107" s="417">
        <f t="shared" ref="D107:P107" si="119">SUM(D108:D109)</f>
        <v>0</v>
      </c>
      <c r="E107" s="418">
        <f t="shared" si="119"/>
        <v>0</v>
      </c>
      <c r="F107" s="418">
        <f t="shared" si="119"/>
        <v>0</v>
      </c>
      <c r="G107" s="418">
        <f t="shared" si="119"/>
        <v>0</v>
      </c>
      <c r="H107" s="418">
        <f t="shared" si="119"/>
        <v>0</v>
      </c>
      <c r="I107" s="418">
        <f t="shared" si="119"/>
        <v>0</v>
      </c>
      <c r="J107" s="418">
        <f t="shared" si="119"/>
        <v>0</v>
      </c>
      <c r="K107" s="418">
        <f t="shared" si="119"/>
        <v>0</v>
      </c>
      <c r="L107" s="418">
        <f t="shared" si="119"/>
        <v>0</v>
      </c>
      <c r="M107" s="418">
        <f t="shared" si="119"/>
        <v>0</v>
      </c>
      <c r="N107" s="418">
        <f t="shared" si="119"/>
        <v>0</v>
      </c>
      <c r="O107" s="419">
        <f t="shared" si="119"/>
        <v>0</v>
      </c>
      <c r="P107" s="420">
        <f t="shared" si="119"/>
        <v>0</v>
      </c>
      <c r="Q107" s="1242" t="str">
        <f t="shared" si="112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Fiyat'!D306</f>
        <v>0</v>
      </c>
      <c r="E108" s="426">
        <f>E18*'Alış Fiyat'!E306</f>
        <v>0</v>
      </c>
      <c r="F108" s="426">
        <f>F18*'Alış Fiyat'!F306</f>
        <v>0</v>
      </c>
      <c r="G108" s="426">
        <f>G18*'Alış Fiyat'!G306</f>
        <v>0</v>
      </c>
      <c r="H108" s="426">
        <f>H18*'Alış Fiyat'!H306</f>
        <v>0</v>
      </c>
      <c r="I108" s="426">
        <f>I18*'Alış Fiyat'!I306</f>
        <v>0</v>
      </c>
      <c r="J108" s="426">
        <f>J18*'Alış Fiyat'!J306</f>
        <v>0</v>
      </c>
      <c r="K108" s="426">
        <f>K18*'Alış Fiyat'!K306</f>
        <v>0</v>
      </c>
      <c r="L108" s="426">
        <f>L18*'Alış Fiyat'!L306</f>
        <v>0</v>
      </c>
      <c r="M108" s="426">
        <f>M18*'Alış Fiyat'!M306</f>
        <v>0</v>
      </c>
      <c r="N108" s="426">
        <f>N18*'Alış Fiyat'!N306</f>
        <v>0</v>
      </c>
      <c r="O108" s="427">
        <f>O18*'Alış Fiyat'!O306</f>
        <v>0</v>
      </c>
      <c r="P108" s="428">
        <f>SUM(D108:O108)</f>
        <v>0</v>
      </c>
      <c r="Q108" s="1243" t="str">
        <f t="shared" si="112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Fiyat'!D307</f>
        <v>0</v>
      </c>
      <c r="E109" s="442">
        <f>E19*'Alış Fiyat'!E307</f>
        <v>0</v>
      </c>
      <c r="F109" s="442">
        <f>F19*'Alış Fiyat'!F307</f>
        <v>0</v>
      </c>
      <c r="G109" s="442">
        <f>G19*'Alış Fiyat'!G307</f>
        <v>0</v>
      </c>
      <c r="H109" s="442">
        <f>H19*'Alış Fiyat'!H307</f>
        <v>0</v>
      </c>
      <c r="I109" s="442">
        <f>I19*'Alış Fiyat'!I307</f>
        <v>0</v>
      </c>
      <c r="J109" s="442">
        <f>J19*'Alış Fiyat'!J307</f>
        <v>0</v>
      </c>
      <c r="K109" s="442">
        <f>K19*'Alış Fiyat'!K307</f>
        <v>0</v>
      </c>
      <c r="L109" s="442">
        <f>L19*'Alış Fiyat'!L307</f>
        <v>0</v>
      </c>
      <c r="M109" s="442">
        <f>M19*'Alış Fiyat'!M307</f>
        <v>0</v>
      </c>
      <c r="N109" s="442">
        <f>N19*'Alış Fiyat'!N307</f>
        <v>0</v>
      </c>
      <c r="O109" s="443">
        <f>O19*'Alış Fiyat'!O307</f>
        <v>0</v>
      </c>
      <c r="P109" s="444">
        <f>SUM(D109:O109)</f>
        <v>0</v>
      </c>
      <c r="Q109" s="1245" t="str">
        <f t="shared" si="112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(D21*'Alış Fiyat'!D309)</f>
        <v>0</v>
      </c>
      <c r="E111" s="365">
        <f>(E21*'Alış Fiyat'!E309)</f>
        <v>0</v>
      </c>
      <c r="F111" s="365">
        <f>(F21*'Alış Fiyat'!F309)</f>
        <v>0</v>
      </c>
      <c r="G111" s="365">
        <f>(G21*'Alış Fiyat'!G309)</f>
        <v>0</v>
      </c>
      <c r="H111" s="365">
        <f>(H21*'Alış Fiyat'!H309)</f>
        <v>0</v>
      </c>
      <c r="I111" s="365">
        <f>(I21*'Alış Fiyat'!I309)</f>
        <v>0</v>
      </c>
      <c r="J111" s="365">
        <f>(J21*'Alış Fiyat'!J309)</f>
        <v>0</v>
      </c>
      <c r="K111" s="365">
        <f>(K21*'Alış Fiyat'!K309)</f>
        <v>0</v>
      </c>
      <c r="L111" s="365">
        <f>(L21*'Alış Fiyat'!L309)</f>
        <v>0</v>
      </c>
      <c r="M111" s="365">
        <f>(M21*'Alış Fiyat'!M309)</f>
        <v>0</v>
      </c>
      <c r="N111" s="365">
        <f>(N21*'Alış Fiyat'!N309)</f>
        <v>0</v>
      </c>
      <c r="O111" s="365">
        <f>(O21*'Alış Fiyat'!O309)</f>
        <v>0</v>
      </c>
      <c r="P111" s="363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452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20">+C94+C104+C107+C111</f>
        <v>0</v>
      </c>
      <c r="D113" s="365">
        <f t="shared" ref="D113:P113" si="121">+D94+D104+D107+D111</f>
        <v>0</v>
      </c>
      <c r="E113" s="366">
        <f t="shared" si="121"/>
        <v>0</v>
      </c>
      <c r="F113" s="366">
        <f t="shared" si="121"/>
        <v>0</v>
      </c>
      <c r="G113" s="366">
        <f t="shared" si="121"/>
        <v>0</v>
      </c>
      <c r="H113" s="366">
        <f t="shared" si="121"/>
        <v>0</v>
      </c>
      <c r="I113" s="366">
        <f t="shared" si="121"/>
        <v>0</v>
      </c>
      <c r="J113" s="366">
        <f t="shared" si="121"/>
        <v>0</v>
      </c>
      <c r="K113" s="366">
        <f t="shared" si="121"/>
        <v>0</v>
      </c>
      <c r="L113" s="366">
        <f t="shared" si="121"/>
        <v>0</v>
      </c>
      <c r="M113" s="366">
        <f t="shared" si="121"/>
        <v>0</v>
      </c>
      <c r="N113" s="366">
        <f t="shared" si="121"/>
        <v>0</v>
      </c>
      <c r="O113" s="448">
        <f t="shared" si="121"/>
        <v>0</v>
      </c>
      <c r="P113" s="363">
        <f t="shared" si="121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649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360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2">C120+C121+C126</f>
        <v>0</v>
      </c>
      <c r="D117" s="365">
        <f t="shared" ref="D117:P117" si="123">D120+D121+D126</f>
        <v>0</v>
      </c>
      <c r="E117" s="366">
        <f t="shared" si="123"/>
        <v>0</v>
      </c>
      <c r="F117" s="366">
        <f t="shared" si="123"/>
        <v>0</v>
      </c>
      <c r="G117" s="366">
        <f t="shared" si="123"/>
        <v>0</v>
      </c>
      <c r="H117" s="366">
        <f t="shared" si="123"/>
        <v>0</v>
      </c>
      <c r="I117" s="366">
        <f t="shared" si="123"/>
        <v>0</v>
      </c>
      <c r="J117" s="366">
        <f t="shared" si="123"/>
        <v>0</v>
      </c>
      <c r="K117" s="366">
        <f t="shared" si="123"/>
        <v>0</v>
      </c>
      <c r="L117" s="366">
        <f t="shared" si="123"/>
        <v>0</v>
      </c>
      <c r="M117" s="366">
        <f t="shared" si="123"/>
        <v>0</v>
      </c>
      <c r="N117" s="366">
        <f t="shared" si="123"/>
        <v>0</v>
      </c>
      <c r="O117" s="364">
        <f t="shared" si="123"/>
        <v>0</v>
      </c>
      <c r="P117" s="363">
        <f t="shared" si="123"/>
        <v>0</v>
      </c>
      <c r="Q117" s="1236" t="str">
        <f t="shared" ref="Q117:Q132" si="124">IF(P117=0,"-",P117/C117-1)</f>
        <v>-</v>
      </c>
    </row>
    <row r="118" spans="1:22" ht="16.5" customHeight="1">
      <c r="A118" s="368" t="s">
        <v>15</v>
      </c>
      <c r="B118" s="369">
        <f t="shared" ref="B118:C119" si="125">+B72-B95</f>
        <v>0</v>
      </c>
      <c r="C118" s="370">
        <f t="shared" si="125"/>
        <v>0</v>
      </c>
      <c r="D118" s="371">
        <f t="shared" ref="D118:O118" si="126">+D72-D95</f>
        <v>0</v>
      </c>
      <c r="E118" s="372">
        <f t="shared" si="126"/>
        <v>0</v>
      </c>
      <c r="F118" s="372">
        <f t="shared" si="126"/>
        <v>0</v>
      </c>
      <c r="G118" s="372">
        <f t="shared" si="126"/>
        <v>0</v>
      </c>
      <c r="H118" s="373">
        <f t="shared" si="126"/>
        <v>0</v>
      </c>
      <c r="I118" s="373">
        <f t="shared" si="126"/>
        <v>0</v>
      </c>
      <c r="J118" s="373">
        <f t="shared" si="126"/>
        <v>0</v>
      </c>
      <c r="K118" s="373">
        <f t="shared" si="126"/>
        <v>0</v>
      </c>
      <c r="L118" s="373">
        <f t="shared" si="126"/>
        <v>0</v>
      </c>
      <c r="M118" s="373">
        <f t="shared" si="126"/>
        <v>0</v>
      </c>
      <c r="N118" s="373">
        <f t="shared" si="126"/>
        <v>0</v>
      </c>
      <c r="O118" s="374">
        <f t="shared" si="126"/>
        <v>0</v>
      </c>
      <c r="P118" s="369">
        <f t="shared" ref="P118:P125" si="127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5"/>
        <v>0</v>
      </c>
      <c r="C119" s="379">
        <f t="shared" si="125"/>
        <v>0</v>
      </c>
      <c r="D119" s="380">
        <f t="shared" ref="D119:O119" si="128">+D73-D96</f>
        <v>0</v>
      </c>
      <c r="E119" s="381">
        <f t="shared" si="128"/>
        <v>0</v>
      </c>
      <c r="F119" s="381">
        <f t="shared" si="128"/>
        <v>0</v>
      </c>
      <c r="G119" s="381">
        <f t="shared" si="128"/>
        <v>0</v>
      </c>
      <c r="H119" s="382">
        <f t="shared" si="128"/>
        <v>0</v>
      </c>
      <c r="I119" s="382">
        <f t="shared" si="128"/>
        <v>0</v>
      </c>
      <c r="J119" s="382">
        <f t="shared" si="128"/>
        <v>0</v>
      </c>
      <c r="K119" s="382">
        <f t="shared" si="128"/>
        <v>0</v>
      </c>
      <c r="L119" s="382">
        <f t="shared" si="128"/>
        <v>0</v>
      </c>
      <c r="M119" s="382">
        <f t="shared" si="128"/>
        <v>0</v>
      </c>
      <c r="N119" s="382">
        <f t="shared" si="128"/>
        <v>0</v>
      </c>
      <c r="O119" s="383">
        <f t="shared" si="128"/>
        <v>0</v>
      </c>
      <c r="P119" s="378">
        <f t="shared" si="127"/>
        <v>0</v>
      </c>
      <c r="Q119" s="1238" t="str">
        <f t="shared" si="124"/>
        <v>-</v>
      </c>
    </row>
    <row r="120" spans="1:22" ht="15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9">SUM(D118:D119)</f>
        <v>0</v>
      </c>
      <c r="E120" s="389">
        <f t="shared" si="129"/>
        <v>0</v>
      </c>
      <c r="F120" s="389">
        <f t="shared" si="129"/>
        <v>0</v>
      </c>
      <c r="G120" s="389">
        <f t="shared" si="129"/>
        <v>0</v>
      </c>
      <c r="H120" s="389">
        <f t="shared" si="129"/>
        <v>0</v>
      </c>
      <c r="I120" s="389">
        <f t="shared" si="129"/>
        <v>0</v>
      </c>
      <c r="J120" s="389">
        <f t="shared" si="129"/>
        <v>0</v>
      </c>
      <c r="K120" s="389">
        <f t="shared" si="129"/>
        <v>0</v>
      </c>
      <c r="L120" s="389">
        <f t="shared" si="129"/>
        <v>0</v>
      </c>
      <c r="M120" s="389">
        <f t="shared" si="129"/>
        <v>0</v>
      </c>
      <c r="N120" s="389">
        <f t="shared" si="129"/>
        <v>0</v>
      </c>
      <c r="O120" s="390">
        <f t="shared" si="129"/>
        <v>0</v>
      </c>
      <c r="P120" s="391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30">+B75-B98</f>
        <v>0</v>
      </c>
      <c r="C121" s="395">
        <f t="shared" si="130"/>
        <v>0</v>
      </c>
      <c r="D121" s="396">
        <f t="shared" ref="D121:O121" si="131">+D75-D98</f>
        <v>0</v>
      </c>
      <c r="E121" s="397">
        <f t="shared" si="131"/>
        <v>0</v>
      </c>
      <c r="F121" s="397">
        <f t="shared" si="131"/>
        <v>0</v>
      </c>
      <c r="G121" s="397">
        <f t="shared" si="131"/>
        <v>0</v>
      </c>
      <c r="H121" s="397">
        <f t="shared" si="131"/>
        <v>0</v>
      </c>
      <c r="I121" s="397">
        <f t="shared" si="131"/>
        <v>0</v>
      </c>
      <c r="J121" s="397">
        <f t="shared" si="131"/>
        <v>0</v>
      </c>
      <c r="K121" s="397">
        <f t="shared" si="131"/>
        <v>0</v>
      </c>
      <c r="L121" s="397">
        <f t="shared" si="131"/>
        <v>0</v>
      </c>
      <c r="M121" s="397">
        <f t="shared" si="131"/>
        <v>0</v>
      </c>
      <c r="N121" s="397">
        <f t="shared" si="131"/>
        <v>0</v>
      </c>
      <c r="O121" s="398">
        <f t="shared" si="131"/>
        <v>0</v>
      </c>
      <c r="P121" s="399">
        <f t="shared" si="127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30"/>
        <v>0</v>
      </c>
      <c r="C122" s="450">
        <f t="shared" si="130"/>
        <v>0</v>
      </c>
      <c r="D122" s="402">
        <f t="shared" ref="D122:O122" si="132">+D76-D99</f>
        <v>0</v>
      </c>
      <c r="E122" s="403">
        <f t="shared" si="132"/>
        <v>0</v>
      </c>
      <c r="F122" s="403">
        <f t="shared" si="132"/>
        <v>0</v>
      </c>
      <c r="G122" s="403">
        <f t="shared" si="132"/>
        <v>0</v>
      </c>
      <c r="H122" s="403">
        <f t="shared" si="132"/>
        <v>0</v>
      </c>
      <c r="I122" s="403">
        <f t="shared" si="132"/>
        <v>0</v>
      </c>
      <c r="J122" s="403">
        <f t="shared" si="132"/>
        <v>0</v>
      </c>
      <c r="K122" s="403">
        <f t="shared" si="132"/>
        <v>0</v>
      </c>
      <c r="L122" s="403">
        <f t="shared" si="132"/>
        <v>0</v>
      </c>
      <c r="M122" s="403">
        <f t="shared" si="132"/>
        <v>0</v>
      </c>
      <c r="N122" s="403">
        <f t="shared" si="132"/>
        <v>0</v>
      </c>
      <c r="O122" s="404">
        <f t="shared" si="132"/>
        <v>0</v>
      </c>
      <c r="P122" s="386">
        <f t="shared" si="127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30"/>
        <v>0</v>
      </c>
      <c r="C123" s="395">
        <f t="shared" si="130"/>
        <v>0</v>
      </c>
      <c r="D123" s="407">
        <f t="shared" ref="D123:O123" si="133">+D77-D100</f>
        <v>0</v>
      </c>
      <c r="E123" s="382">
        <f t="shared" si="133"/>
        <v>0</v>
      </c>
      <c r="F123" s="382">
        <f t="shared" si="133"/>
        <v>0</v>
      </c>
      <c r="G123" s="382">
        <f t="shared" si="133"/>
        <v>0</v>
      </c>
      <c r="H123" s="382">
        <f t="shared" si="133"/>
        <v>0</v>
      </c>
      <c r="I123" s="382">
        <f t="shared" si="133"/>
        <v>0</v>
      </c>
      <c r="J123" s="382">
        <f t="shared" si="133"/>
        <v>0</v>
      </c>
      <c r="K123" s="382">
        <f t="shared" si="133"/>
        <v>0</v>
      </c>
      <c r="L123" s="382">
        <f t="shared" si="133"/>
        <v>0</v>
      </c>
      <c r="M123" s="382">
        <f t="shared" si="133"/>
        <v>0</v>
      </c>
      <c r="N123" s="382">
        <f t="shared" si="133"/>
        <v>0</v>
      </c>
      <c r="O123" s="383">
        <f t="shared" si="133"/>
        <v>0</v>
      </c>
      <c r="P123" s="399">
        <f t="shared" si="127"/>
        <v>0</v>
      </c>
      <c r="Q123" s="1238" t="str">
        <f t="shared" si="124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30"/>
        <v>0</v>
      </c>
      <c r="D124" s="402">
        <f t="shared" ref="D124:O124" si="134">+D78-D101</f>
        <v>0</v>
      </c>
      <c r="E124" s="403">
        <f t="shared" si="134"/>
        <v>0</v>
      </c>
      <c r="F124" s="403">
        <f t="shared" si="134"/>
        <v>0</v>
      </c>
      <c r="G124" s="403">
        <f t="shared" si="134"/>
        <v>0</v>
      </c>
      <c r="H124" s="403">
        <f t="shared" si="134"/>
        <v>0</v>
      </c>
      <c r="I124" s="403">
        <f t="shared" si="134"/>
        <v>0</v>
      </c>
      <c r="J124" s="403">
        <f t="shared" si="134"/>
        <v>0</v>
      </c>
      <c r="K124" s="403">
        <f t="shared" si="134"/>
        <v>0</v>
      </c>
      <c r="L124" s="403">
        <f t="shared" si="134"/>
        <v>0</v>
      </c>
      <c r="M124" s="403">
        <f t="shared" si="134"/>
        <v>0</v>
      </c>
      <c r="N124" s="403">
        <f t="shared" si="134"/>
        <v>0</v>
      </c>
      <c r="O124" s="404">
        <f t="shared" si="134"/>
        <v>0</v>
      </c>
      <c r="P124" s="386">
        <f t="shared" si="127"/>
        <v>0</v>
      </c>
      <c r="Q124" s="1240" t="str">
        <f t="shared" si="124"/>
        <v>-</v>
      </c>
    </row>
    <row r="125" spans="1:22" ht="16.5" hidden="1" customHeight="1">
      <c r="A125" s="406" t="s">
        <v>84</v>
      </c>
      <c r="B125" s="378">
        <f t="shared" si="130"/>
        <v>0</v>
      </c>
      <c r="C125" s="379">
        <f t="shared" si="130"/>
        <v>0</v>
      </c>
      <c r="D125" s="407">
        <f t="shared" ref="D125:O125" si="135">+D79-D102</f>
        <v>0</v>
      </c>
      <c r="E125" s="382">
        <f t="shared" si="135"/>
        <v>0</v>
      </c>
      <c r="F125" s="382">
        <f t="shared" si="135"/>
        <v>0</v>
      </c>
      <c r="G125" s="382">
        <f t="shared" si="135"/>
        <v>0</v>
      </c>
      <c r="H125" s="382">
        <f t="shared" si="135"/>
        <v>0</v>
      </c>
      <c r="I125" s="381">
        <f t="shared" si="135"/>
        <v>0</v>
      </c>
      <c r="J125" s="381">
        <f t="shared" si="135"/>
        <v>0</v>
      </c>
      <c r="K125" s="382">
        <f t="shared" si="135"/>
        <v>0</v>
      </c>
      <c r="L125" s="382">
        <f t="shared" si="135"/>
        <v>0</v>
      </c>
      <c r="M125" s="382">
        <f t="shared" si="135"/>
        <v>0</v>
      </c>
      <c r="N125" s="382">
        <f t="shared" si="135"/>
        <v>0</v>
      </c>
      <c r="O125" s="383">
        <f t="shared" si="135"/>
        <v>0</v>
      </c>
      <c r="P125" s="399">
        <f t="shared" si="127"/>
        <v>0</v>
      </c>
      <c r="Q125" s="1238" t="str">
        <f t="shared" si="124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6">SUM(B122:B125)</f>
        <v>0</v>
      </c>
      <c r="C126" s="412">
        <f t="shared" si="136"/>
        <v>0</v>
      </c>
      <c r="D126" s="413">
        <f t="shared" ref="D126:P126" si="137">SUM(D122:D125)</f>
        <v>0</v>
      </c>
      <c r="E126" s="414">
        <f t="shared" si="137"/>
        <v>0</v>
      </c>
      <c r="F126" s="414">
        <f t="shared" si="137"/>
        <v>0</v>
      </c>
      <c r="G126" s="414">
        <f t="shared" si="137"/>
        <v>0</v>
      </c>
      <c r="H126" s="414">
        <f t="shared" si="137"/>
        <v>0</v>
      </c>
      <c r="I126" s="414">
        <f t="shared" si="137"/>
        <v>0</v>
      </c>
      <c r="J126" s="414">
        <f t="shared" si="137"/>
        <v>0</v>
      </c>
      <c r="K126" s="414">
        <f t="shared" si="137"/>
        <v>0</v>
      </c>
      <c r="L126" s="414">
        <f t="shared" si="137"/>
        <v>0</v>
      </c>
      <c r="M126" s="414">
        <f t="shared" si="137"/>
        <v>0</v>
      </c>
      <c r="N126" s="414">
        <f t="shared" si="137"/>
        <v>0</v>
      </c>
      <c r="O126" s="412">
        <f t="shared" si="137"/>
        <v>0</v>
      </c>
      <c r="P126" s="411">
        <f t="shared" si="137"/>
        <v>0</v>
      </c>
      <c r="Q126" s="1241" t="str">
        <f t="shared" si="124"/>
        <v>-</v>
      </c>
    </row>
    <row r="127" spans="1:22" ht="22.5" customHeight="1" thickBot="1">
      <c r="A127" s="362" t="s">
        <v>29</v>
      </c>
      <c r="B127" s="420">
        <f t="shared" ref="B127:C129" si="138">+B81-B104</f>
        <v>0</v>
      </c>
      <c r="C127" s="416">
        <f t="shared" si="138"/>
        <v>0</v>
      </c>
      <c r="D127" s="417">
        <f t="shared" ref="D127:O127" si="139">+D81-D104</f>
        <v>0</v>
      </c>
      <c r="E127" s="418">
        <f t="shared" si="139"/>
        <v>0</v>
      </c>
      <c r="F127" s="418">
        <f t="shared" si="139"/>
        <v>0</v>
      </c>
      <c r="G127" s="418">
        <f t="shared" si="139"/>
        <v>0</v>
      </c>
      <c r="H127" s="418">
        <f t="shared" si="139"/>
        <v>0</v>
      </c>
      <c r="I127" s="418">
        <f t="shared" si="139"/>
        <v>0</v>
      </c>
      <c r="J127" s="418">
        <f t="shared" si="139"/>
        <v>0</v>
      </c>
      <c r="K127" s="418">
        <f t="shared" si="139"/>
        <v>0</v>
      </c>
      <c r="L127" s="418">
        <f t="shared" si="139"/>
        <v>0</v>
      </c>
      <c r="M127" s="418">
        <f t="shared" si="139"/>
        <v>0</v>
      </c>
      <c r="N127" s="418">
        <f t="shared" si="139"/>
        <v>0</v>
      </c>
      <c r="O127" s="419">
        <f t="shared" si="139"/>
        <v>0</v>
      </c>
      <c r="P127" s="420">
        <f>SUM(P128:P129)</f>
        <v>0</v>
      </c>
      <c r="Q127" s="1242" t="str">
        <f t="shared" si="124"/>
        <v>-</v>
      </c>
    </row>
    <row r="128" spans="1:22" ht="16.5" customHeight="1">
      <c r="A128" s="422" t="s">
        <v>19</v>
      </c>
      <c r="B128" s="423">
        <f t="shared" si="138"/>
        <v>0</v>
      </c>
      <c r="C128" s="424">
        <f t="shared" si="138"/>
        <v>0</v>
      </c>
      <c r="D128" s="425">
        <f t="shared" ref="D128:O128" si="140">+D82-D105</f>
        <v>0</v>
      </c>
      <c r="E128" s="426">
        <f t="shared" si="140"/>
        <v>0</v>
      </c>
      <c r="F128" s="426">
        <f t="shared" si="140"/>
        <v>0</v>
      </c>
      <c r="G128" s="426">
        <f t="shared" si="140"/>
        <v>0</v>
      </c>
      <c r="H128" s="426">
        <f t="shared" si="140"/>
        <v>0</v>
      </c>
      <c r="I128" s="426">
        <f t="shared" si="140"/>
        <v>0</v>
      </c>
      <c r="J128" s="426">
        <f t="shared" si="140"/>
        <v>0</v>
      </c>
      <c r="K128" s="426">
        <f t="shared" si="140"/>
        <v>0</v>
      </c>
      <c r="L128" s="426">
        <f t="shared" si="140"/>
        <v>0</v>
      </c>
      <c r="M128" s="426">
        <f t="shared" si="140"/>
        <v>0</v>
      </c>
      <c r="N128" s="426">
        <f t="shared" si="140"/>
        <v>0</v>
      </c>
      <c r="O128" s="427">
        <f t="shared" si="140"/>
        <v>0</v>
      </c>
      <c r="P128" s="428">
        <f>SUM(D128:O128)</f>
        <v>0</v>
      </c>
      <c r="Q128" s="1243" t="str">
        <f t="shared" si="124"/>
        <v>-</v>
      </c>
    </row>
    <row r="129" spans="1:17" ht="16.5" customHeight="1" thickBot="1">
      <c r="A129" s="430" t="s">
        <v>20</v>
      </c>
      <c r="B129" s="431">
        <f t="shared" si="138"/>
        <v>0</v>
      </c>
      <c r="C129" s="432">
        <f t="shared" si="138"/>
        <v>0</v>
      </c>
      <c r="D129" s="433">
        <f t="shared" ref="D129:O129" si="141">+D83-D106</f>
        <v>0</v>
      </c>
      <c r="E129" s="434">
        <f t="shared" si="141"/>
        <v>0</v>
      </c>
      <c r="F129" s="434">
        <f t="shared" si="141"/>
        <v>0</v>
      </c>
      <c r="G129" s="434">
        <f t="shared" si="141"/>
        <v>0</v>
      </c>
      <c r="H129" s="434">
        <f t="shared" si="141"/>
        <v>0</v>
      </c>
      <c r="I129" s="434">
        <f t="shared" si="141"/>
        <v>0</v>
      </c>
      <c r="J129" s="434">
        <f t="shared" si="141"/>
        <v>0</v>
      </c>
      <c r="K129" s="434">
        <f t="shared" si="141"/>
        <v>0</v>
      </c>
      <c r="L129" s="434">
        <f t="shared" si="141"/>
        <v>0</v>
      </c>
      <c r="M129" s="434">
        <f t="shared" si="141"/>
        <v>0</v>
      </c>
      <c r="N129" s="434">
        <f t="shared" si="141"/>
        <v>0</v>
      </c>
      <c r="O129" s="435">
        <f t="shared" si="141"/>
        <v>0</v>
      </c>
      <c r="P129" s="436">
        <f>SUM(D129:O129)</f>
        <v>0</v>
      </c>
      <c r="Q129" s="1244" t="str">
        <f t="shared" si="124"/>
        <v>-</v>
      </c>
    </row>
    <row r="130" spans="1:17" ht="22.5" customHeight="1" thickBot="1">
      <c r="A130" s="362" t="s">
        <v>30</v>
      </c>
      <c r="B130" s="363">
        <f t="shared" ref="B130:C130" si="142">SUM(B131:B132)</f>
        <v>0</v>
      </c>
      <c r="C130" s="416">
        <f t="shared" si="142"/>
        <v>0</v>
      </c>
      <c r="D130" s="417">
        <f t="shared" ref="D130:P130" si="143">SUM(D131:D132)</f>
        <v>0</v>
      </c>
      <c r="E130" s="418">
        <f t="shared" si="143"/>
        <v>0</v>
      </c>
      <c r="F130" s="418">
        <f t="shared" si="143"/>
        <v>0</v>
      </c>
      <c r="G130" s="418">
        <f t="shared" si="143"/>
        <v>0</v>
      </c>
      <c r="H130" s="418">
        <f t="shared" si="143"/>
        <v>0</v>
      </c>
      <c r="I130" s="418">
        <f t="shared" si="143"/>
        <v>0</v>
      </c>
      <c r="J130" s="418">
        <f t="shared" si="143"/>
        <v>0</v>
      </c>
      <c r="K130" s="418">
        <f t="shared" si="143"/>
        <v>0</v>
      </c>
      <c r="L130" s="418">
        <f t="shared" si="143"/>
        <v>0</v>
      </c>
      <c r="M130" s="418">
        <f t="shared" si="143"/>
        <v>0</v>
      </c>
      <c r="N130" s="418">
        <f t="shared" si="143"/>
        <v>0</v>
      </c>
      <c r="O130" s="419">
        <f t="shared" si="143"/>
        <v>0</v>
      </c>
      <c r="P130" s="420">
        <f t="shared" si="143"/>
        <v>0</v>
      </c>
      <c r="Q130" s="1242" t="str">
        <f t="shared" si="124"/>
        <v>-</v>
      </c>
    </row>
    <row r="131" spans="1:17" ht="16.5" customHeight="1">
      <c r="A131" s="422" t="s">
        <v>106</v>
      </c>
      <c r="B131" s="423">
        <f t="shared" ref="B131:C132" si="144">+B85-B108</f>
        <v>0</v>
      </c>
      <c r="C131" s="424">
        <f t="shared" si="144"/>
        <v>0</v>
      </c>
      <c r="D131" s="425">
        <f t="shared" ref="D131:O131" si="145">+D85-D108</f>
        <v>0</v>
      </c>
      <c r="E131" s="426">
        <f t="shared" si="145"/>
        <v>0</v>
      </c>
      <c r="F131" s="426">
        <f t="shared" si="145"/>
        <v>0</v>
      </c>
      <c r="G131" s="426">
        <f t="shared" si="145"/>
        <v>0</v>
      </c>
      <c r="H131" s="426">
        <f t="shared" si="145"/>
        <v>0</v>
      </c>
      <c r="I131" s="426">
        <f t="shared" si="145"/>
        <v>0</v>
      </c>
      <c r="J131" s="426">
        <f t="shared" si="145"/>
        <v>0</v>
      </c>
      <c r="K131" s="426">
        <f t="shared" si="145"/>
        <v>0</v>
      </c>
      <c r="L131" s="426">
        <f t="shared" si="145"/>
        <v>0</v>
      </c>
      <c r="M131" s="426">
        <f t="shared" si="145"/>
        <v>0</v>
      </c>
      <c r="N131" s="426">
        <f t="shared" si="145"/>
        <v>0</v>
      </c>
      <c r="O131" s="427">
        <f t="shared" si="145"/>
        <v>0</v>
      </c>
      <c r="P131" s="428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4"/>
        <v>0</v>
      </c>
      <c r="C132" s="440">
        <f t="shared" si="144"/>
        <v>0</v>
      </c>
      <c r="D132" s="441">
        <f t="shared" ref="D132:O132" si="146">+D86-D109</f>
        <v>0</v>
      </c>
      <c r="E132" s="442">
        <f t="shared" si="146"/>
        <v>0</v>
      </c>
      <c r="F132" s="442">
        <f t="shared" si="146"/>
        <v>0</v>
      </c>
      <c r="G132" s="442">
        <f t="shared" si="146"/>
        <v>0</v>
      </c>
      <c r="H132" s="442">
        <f t="shared" si="146"/>
        <v>0</v>
      </c>
      <c r="I132" s="442">
        <f t="shared" si="146"/>
        <v>0</v>
      </c>
      <c r="J132" s="442">
        <f t="shared" si="146"/>
        <v>0</v>
      </c>
      <c r="K132" s="442">
        <f t="shared" si="146"/>
        <v>0</v>
      </c>
      <c r="L132" s="442">
        <f t="shared" si="146"/>
        <v>0</v>
      </c>
      <c r="M132" s="442">
        <f t="shared" si="146"/>
        <v>0</v>
      </c>
      <c r="N132" s="442">
        <f t="shared" si="146"/>
        <v>0</v>
      </c>
      <c r="O132" s="443">
        <f t="shared" si="146"/>
        <v>0</v>
      </c>
      <c r="P132" s="444">
        <f>SUM(D132:O132)</f>
        <v>0</v>
      </c>
      <c r="Q132" s="1245" t="str">
        <f t="shared" si="124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7"/>
    </row>
    <row r="134" spans="1:17" ht="22.5" customHeight="1" thickBot="1">
      <c r="A134" s="362" t="s">
        <v>86</v>
      </c>
      <c r="B134" s="363">
        <f t="shared" ref="B134:C134" si="147">+B88-B111</f>
        <v>0</v>
      </c>
      <c r="C134" s="364">
        <f t="shared" si="147"/>
        <v>0</v>
      </c>
      <c r="D134" s="365">
        <f>+D88-D111</f>
        <v>0</v>
      </c>
      <c r="E134" s="365">
        <f t="shared" ref="E134:O134" si="148">+E88-E111</f>
        <v>0</v>
      </c>
      <c r="F134" s="365">
        <f t="shared" si="148"/>
        <v>0</v>
      </c>
      <c r="G134" s="365">
        <f t="shared" si="148"/>
        <v>0</v>
      </c>
      <c r="H134" s="365">
        <f t="shared" si="148"/>
        <v>0</v>
      </c>
      <c r="I134" s="365">
        <f t="shared" si="148"/>
        <v>0</v>
      </c>
      <c r="J134" s="365">
        <f t="shared" si="148"/>
        <v>0</v>
      </c>
      <c r="K134" s="365">
        <f t="shared" si="148"/>
        <v>0</v>
      </c>
      <c r="L134" s="365">
        <f t="shared" si="148"/>
        <v>0</v>
      </c>
      <c r="M134" s="365">
        <f t="shared" si="148"/>
        <v>0</v>
      </c>
      <c r="N134" s="365">
        <f t="shared" si="148"/>
        <v>0</v>
      </c>
      <c r="O134" s="365">
        <f t="shared" si="148"/>
        <v>0</v>
      </c>
      <c r="P134" s="363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9">+C117+C127+C130+C134</f>
        <v>0</v>
      </c>
      <c r="D136" s="365">
        <f t="shared" ref="D136:P136" si="150">+D117+D127+D130+D134</f>
        <v>0</v>
      </c>
      <c r="E136" s="366">
        <f t="shared" si="150"/>
        <v>0</v>
      </c>
      <c r="F136" s="366">
        <f t="shared" si="150"/>
        <v>0</v>
      </c>
      <c r="G136" s="366">
        <f t="shared" si="150"/>
        <v>0</v>
      </c>
      <c r="H136" s="366">
        <f t="shared" si="150"/>
        <v>0</v>
      </c>
      <c r="I136" s="366">
        <f t="shared" si="150"/>
        <v>0</v>
      </c>
      <c r="J136" s="366">
        <f t="shared" si="150"/>
        <v>0</v>
      </c>
      <c r="K136" s="366">
        <f t="shared" si="150"/>
        <v>0</v>
      </c>
      <c r="L136" s="366">
        <f t="shared" si="150"/>
        <v>0</v>
      </c>
      <c r="M136" s="366">
        <f t="shared" si="150"/>
        <v>0</v>
      </c>
      <c r="N136" s="366">
        <f t="shared" si="150"/>
        <v>0</v>
      </c>
      <c r="O136" s="364">
        <f t="shared" si="150"/>
        <v>0</v>
      </c>
      <c r="P136" s="363">
        <f t="shared" si="150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649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360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1">SUM(B141:B173)</f>
        <v>0</v>
      </c>
      <c r="C140" s="364">
        <f t="shared" si="151"/>
        <v>0</v>
      </c>
      <c r="D140" s="417">
        <f t="shared" ref="D140:P140" si="152">SUM(D141:D173)</f>
        <v>0</v>
      </c>
      <c r="E140" s="418">
        <f t="shared" si="152"/>
        <v>0</v>
      </c>
      <c r="F140" s="418">
        <f t="shared" si="152"/>
        <v>0</v>
      </c>
      <c r="G140" s="418">
        <f t="shared" si="152"/>
        <v>0</v>
      </c>
      <c r="H140" s="418">
        <f t="shared" si="152"/>
        <v>0</v>
      </c>
      <c r="I140" s="418">
        <f t="shared" si="152"/>
        <v>0</v>
      </c>
      <c r="J140" s="418">
        <f t="shared" si="152"/>
        <v>0</v>
      </c>
      <c r="K140" s="418">
        <f t="shared" si="152"/>
        <v>0</v>
      </c>
      <c r="L140" s="418">
        <f t="shared" si="152"/>
        <v>0</v>
      </c>
      <c r="M140" s="418">
        <f t="shared" si="152"/>
        <v>0</v>
      </c>
      <c r="N140" s="418">
        <f t="shared" si="152"/>
        <v>0</v>
      </c>
      <c r="O140" s="416">
        <f t="shared" si="152"/>
        <v>0</v>
      </c>
      <c r="P140" s="420">
        <f t="shared" si="152"/>
        <v>0</v>
      </c>
      <c r="Q140" s="1242" t="str">
        <f t="shared" ref="Q140:Q173" si="153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474">
        <f t="shared" ref="P141:P173" si="154">SUM(D141:O141)</f>
        <v>0</v>
      </c>
      <c r="Q141" s="1252" t="str">
        <f t="shared" si="153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394">
        <f t="shared" si="154"/>
        <v>0</v>
      </c>
      <c r="Q142" s="1253" t="str">
        <f t="shared" si="153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391">
        <f t="shared" si="154"/>
        <v>0</v>
      </c>
      <c r="Q143" s="1254" t="str">
        <f t="shared" si="153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394">
        <f t="shared" si="154"/>
        <v>0</v>
      </c>
      <c r="Q144" s="1253" t="str">
        <f t="shared" si="153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391">
        <f t="shared" si="154"/>
        <v>0</v>
      </c>
      <c r="Q145" s="1254" t="str">
        <f t="shared" si="153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394">
        <f t="shared" si="154"/>
        <v>0</v>
      </c>
      <c r="Q146" s="1253" t="str">
        <f t="shared" si="153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391">
        <f t="shared" si="154"/>
        <v>0</v>
      </c>
      <c r="Q147" s="1254" t="str">
        <f t="shared" si="153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394">
        <f t="shared" si="154"/>
        <v>0</v>
      </c>
      <c r="Q148" s="1253" t="str">
        <f t="shared" si="153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391">
        <f t="shared" si="154"/>
        <v>0</v>
      </c>
      <c r="Q149" s="1254" t="str">
        <f t="shared" si="153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394">
        <f t="shared" si="154"/>
        <v>0</v>
      </c>
      <c r="Q150" s="1253" t="str">
        <f t="shared" si="153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391">
        <f t="shared" si="154"/>
        <v>0</v>
      </c>
      <c r="Q151" s="1254" t="str">
        <f t="shared" si="153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394">
        <f t="shared" si="154"/>
        <v>0</v>
      </c>
      <c r="Q152" s="1253" t="str">
        <f t="shared" si="153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391">
        <f t="shared" si="154"/>
        <v>0</v>
      </c>
      <c r="Q153" s="1254" t="str">
        <f t="shared" si="153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394">
        <f t="shared" si="154"/>
        <v>0</v>
      </c>
      <c r="Q154" s="1253" t="str">
        <f t="shared" si="153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391">
        <f t="shared" si="154"/>
        <v>0</v>
      </c>
      <c r="Q155" s="1254" t="str">
        <f t="shared" si="153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394">
        <f t="shared" si="154"/>
        <v>0</v>
      </c>
      <c r="Q156" s="1253" t="str">
        <f t="shared" si="153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391">
        <f t="shared" si="154"/>
        <v>0</v>
      </c>
      <c r="Q157" s="1254" t="str">
        <f t="shared" si="153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394">
        <f t="shared" si="154"/>
        <v>0</v>
      </c>
      <c r="Q158" s="1253" t="str">
        <f t="shared" si="153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391">
        <f t="shared" si="154"/>
        <v>0</v>
      </c>
      <c r="Q159" s="1254" t="str">
        <f t="shared" si="153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394">
        <f t="shared" si="154"/>
        <v>0</v>
      </c>
      <c r="Q160" s="1253" t="str">
        <f t="shared" si="153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391">
        <f t="shared" si="154"/>
        <v>0</v>
      </c>
      <c r="Q161" s="1254" t="str">
        <f t="shared" si="153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394">
        <f t="shared" si="154"/>
        <v>0</v>
      </c>
      <c r="Q162" s="1253" t="str">
        <f t="shared" si="153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391">
        <f t="shared" si="154"/>
        <v>0</v>
      </c>
      <c r="Q163" s="1254" t="str">
        <f t="shared" si="153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394">
        <f t="shared" si="154"/>
        <v>0</v>
      </c>
      <c r="Q164" s="1253" t="str">
        <f t="shared" si="153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391">
        <f t="shared" si="154"/>
        <v>0</v>
      </c>
      <c r="Q165" s="1254" t="str">
        <f t="shared" si="153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394">
        <f t="shared" si="154"/>
        <v>0</v>
      </c>
      <c r="Q166" s="1253" t="str">
        <f t="shared" si="153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391">
        <f t="shared" si="154"/>
        <v>0</v>
      </c>
      <c r="Q167" s="1254" t="str">
        <f t="shared" si="153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394">
        <f t="shared" si="154"/>
        <v>0</v>
      </c>
      <c r="Q168" s="1253" t="str">
        <f t="shared" si="153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391">
        <f t="shared" si="154"/>
        <v>0</v>
      </c>
      <c r="Q169" s="1254" t="str">
        <f t="shared" si="153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394">
        <f t="shared" si="154"/>
        <v>0</v>
      </c>
      <c r="Q170" s="1253" t="str">
        <f t="shared" si="153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391">
        <f t="shared" si="154"/>
        <v>0</v>
      </c>
      <c r="Q171" s="1254" t="str">
        <f t="shared" si="153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394">
        <f>SUM(D172:O172)</f>
        <v>0</v>
      </c>
      <c r="Q172" s="1253" t="str">
        <f t="shared" si="153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496">
        <f t="shared" si="154"/>
        <v>0</v>
      </c>
      <c r="Q173" s="1255" t="str">
        <f t="shared" si="153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649</v>
      </c>
      <c r="C176" s="357" t="s">
        <v>703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501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5">C44</f>
        <v>0</v>
      </c>
      <c r="D177" s="505">
        <f t="shared" ref="D177:P177" si="156">D44</f>
        <v>0</v>
      </c>
      <c r="E177" s="472">
        <f t="shared" si="156"/>
        <v>0</v>
      </c>
      <c r="F177" s="472">
        <f t="shared" si="156"/>
        <v>0</v>
      </c>
      <c r="G177" s="472">
        <f t="shared" si="156"/>
        <v>0</v>
      </c>
      <c r="H177" s="472">
        <f t="shared" si="156"/>
        <v>0</v>
      </c>
      <c r="I177" s="472">
        <f t="shared" si="156"/>
        <v>0</v>
      </c>
      <c r="J177" s="472">
        <f t="shared" si="156"/>
        <v>0</v>
      </c>
      <c r="K177" s="472">
        <f t="shared" si="156"/>
        <v>0</v>
      </c>
      <c r="L177" s="472">
        <f t="shared" si="156"/>
        <v>0</v>
      </c>
      <c r="M177" s="472">
        <f t="shared" si="156"/>
        <v>0</v>
      </c>
      <c r="N177" s="472">
        <f t="shared" si="156"/>
        <v>0</v>
      </c>
      <c r="O177" s="473">
        <f t="shared" si="156"/>
        <v>0</v>
      </c>
      <c r="P177" s="474">
        <f t="shared" si="156"/>
        <v>0</v>
      </c>
      <c r="Q177" s="1257" t="str">
        <f t="shared" ref="Q177:Q187" si="157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8">C67</f>
        <v>0</v>
      </c>
      <c r="D178" s="509">
        <f t="shared" ref="D178:P178" si="159">D67</f>
        <v>0</v>
      </c>
      <c r="E178" s="480">
        <f t="shared" si="159"/>
        <v>0</v>
      </c>
      <c r="F178" s="480">
        <f t="shared" si="159"/>
        <v>0</v>
      </c>
      <c r="G178" s="480">
        <f t="shared" si="159"/>
        <v>0</v>
      </c>
      <c r="H178" s="480">
        <f t="shared" si="159"/>
        <v>0</v>
      </c>
      <c r="I178" s="480">
        <f t="shared" si="159"/>
        <v>0</v>
      </c>
      <c r="J178" s="480">
        <f t="shared" si="159"/>
        <v>0</v>
      </c>
      <c r="K178" s="480">
        <f t="shared" si="159"/>
        <v>0</v>
      </c>
      <c r="L178" s="480">
        <f t="shared" si="159"/>
        <v>0</v>
      </c>
      <c r="M178" s="480">
        <f t="shared" si="159"/>
        <v>0</v>
      </c>
      <c r="N178" s="480">
        <f t="shared" si="159"/>
        <v>0</v>
      </c>
      <c r="O178" s="481">
        <f t="shared" si="159"/>
        <v>0</v>
      </c>
      <c r="P178" s="394">
        <f t="shared" si="159"/>
        <v>0</v>
      </c>
      <c r="Q178" s="1149" t="str">
        <f t="shared" si="157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7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60">C90-C179</f>
        <v>0</v>
      </c>
      <c r="D180" s="513">
        <f>D90-D179</f>
        <v>0</v>
      </c>
      <c r="E180" s="487">
        <f t="shared" ref="E180:P180" si="161">E90-E179</f>
        <v>0</v>
      </c>
      <c r="F180" s="487">
        <f t="shared" si="161"/>
        <v>0</v>
      </c>
      <c r="G180" s="487">
        <f t="shared" si="161"/>
        <v>0</v>
      </c>
      <c r="H180" s="487">
        <f t="shared" si="161"/>
        <v>0</v>
      </c>
      <c r="I180" s="487">
        <f t="shared" si="161"/>
        <v>0</v>
      </c>
      <c r="J180" s="487">
        <f t="shared" si="161"/>
        <v>0</v>
      </c>
      <c r="K180" s="487">
        <f t="shared" si="161"/>
        <v>0</v>
      </c>
      <c r="L180" s="487">
        <f t="shared" si="161"/>
        <v>0</v>
      </c>
      <c r="M180" s="487">
        <f t="shared" si="161"/>
        <v>0</v>
      </c>
      <c r="N180" s="487">
        <f t="shared" si="161"/>
        <v>0</v>
      </c>
      <c r="O180" s="488">
        <f t="shared" si="161"/>
        <v>0</v>
      </c>
      <c r="P180" s="391">
        <f t="shared" si="161"/>
        <v>0</v>
      </c>
      <c r="Q180" s="1148" t="str">
        <f t="shared" si="157"/>
        <v>-</v>
      </c>
    </row>
    <row r="181" spans="1:17" ht="21" customHeight="1">
      <c r="A181" s="476" t="s">
        <v>71</v>
      </c>
      <c r="B181" s="1921">
        <f t="shared" ref="B181:C181" si="162">B113</f>
        <v>0</v>
      </c>
      <c r="C181" s="508">
        <f t="shared" si="162"/>
        <v>0</v>
      </c>
      <c r="D181" s="509">
        <f t="shared" ref="D181:P181" si="163">D113</f>
        <v>0</v>
      </c>
      <c r="E181" s="480">
        <f t="shared" si="163"/>
        <v>0</v>
      </c>
      <c r="F181" s="480">
        <f t="shared" si="163"/>
        <v>0</v>
      </c>
      <c r="G181" s="480">
        <f t="shared" si="163"/>
        <v>0</v>
      </c>
      <c r="H181" s="480">
        <f t="shared" si="163"/>
        <v>0</v>
      </c>
      <c r="I181" s="480">
        <f t="shared" si="163"/>
        <v>0</v>
      </c>
      <c r="J181" s="480">
        <f t="shared" si="163"/>
        <v>0</v>
      </c>
      <c r="K181" s="480">
        <f t="shared" si="163"/>
        <v>0</v>
      </c>
      <c r="L181" s="480">
        <f t="shared" si="163"/>
        <v>0</v>
      </c>
      <c r="M181" s="480">
        <f t="shared" si="163"/>
        <v>0</v>
      </c>
      <c r="N181" s="480">
        <f t="shared" si="163"/>
        <v>0</v>
      </c>
      <c r="O181" s="481">
        <f t="shared" si="163"/>
        <v>0</v>
      </c>
      <c r="P181" s="394">
        <f t="shared" si="163"/>
        <v>0</v>
      </c>
      <c r="Q181" s="1149" t="str">
        <f t="shared" si="157"/>
        <v>-</v>
      </c>
    </row>
    <row r="182" spans="1:17" ht="21" customHeight="1">
      <c r="A182" s="483" t="s">
        <v>36</v>
      </c>
      <c r="B182" s="1922">
        <f t="shared" ref="B182:C182" si="164">B136</f>
        <v>0</v>
      </c>
      <c r="C182" s="512">
        <f t="shared" si="164"/>
        <v>0</v>
      </c>
      <c r="D182" s="513">
        <f t="shared" ref="D182:P182" si="165">D136</f>
        <v>0</v>
      </c>
      <c r="E182" s="487">
        <f t="shared" si="165"/>
        <v>0</v>
      </c>
      <c r="F182" s="487">
        <f t="shared" si="165"/>
        <v>0</v>
      </c>
      <c r="G182" s="487">
        <f t="shared" si="165"/>
        <v>0</v>
      </c>
      <c r="H182" s="487">
        <f t="shared" si="165"/>
        <v>0</v>
      </c>
      <c r="I182" s="487">
        <f t="shared" si="165"/>
        <v>0</v>
      </c>
      <c r="J182" s="487">
        <f t="shared" si="165"/>
        <v>0</v>
      </c>
      <c r="K182" s="487">
        <f t="shared" si="165"/>
        <v>0</v>
      </c>
      <c r="L182" s="487">
        <f t="shared" si="165"/>
        <v>0</v>
      </c>
      <c r="M182" s="487">
        <f t="shared" si="165"/>
        <v>0</v>
      </c>
      <c r="N182" s="487">
        <f t="shared" si="165"/>
        <v>0</v>
      </c>
      <c r="O182" s="488">
        <f t="shared" si="165"/>
        <v>0</v>
      </c>
      <c r="P182" s="391">
        <f t="shared" si="165"/>
        <v>0</v>
      </c>
      <c r="Q182" s="1148" t="str">
        <f t="shared" si="157"/>
        <v>-</v>
      </c>
    </row>
    <row r="183" spans="1:17" ht="21" customHeight="1">
      <c r="A183" s="515" t="s">
        <v>73</v>
      </c>
      <c r="B183" s="634" t="e">
        <f t="shared" ref="B183:C183" si="166">B182/B180</f>
        <v>#DIV/0!</v>
      </c>
      <c r="C183" s="2243" t="e">
        <f t="shared" si="166"/>
        <v>#DIV/0!</v>
      </c>
      <c r="D183" s="634" t="e">
        <f t="shared" ref="D183:P183" si="167">D182/D180</f>
        <v>#DIV/0!</v>
      </c>
      <c r="E183" s="635" t="e">
        <f t="shared" si="167"/>
        <v>#DIV/0!</v>
      </c>
      <c r="F183" s="635" t="e">
        <f t="shared" si="167"/>
        <v>#DIV/0!</v>
      </c>
      <c r="G183" s="635" t="e">
        <f t="shared" si="167"/>
        <v>#DIV/0!</v>
      </c>
      <c r="H183" s="635" t="e">
        <f t="shared" si="167"/>
        <v>#DIV/0!</v>
      </c>
      <c r="I183" s="635" t="e">
        <f t="shared" si="167"/>
        <v>#DIV/0!</v>
      </c>
      <c r="J183" s="635" t="e">
        <f t="shared" si="167"/>
        <v>#DIV/0!</v>
      </c>
      <c r="K183" s="635" t="e">
        <f t="shared" si="167"/>
        <v>#DIV/0!</v>
      </c>
      <c r="L183" s="635" t="e">
        <f t="shared" si="167"/>
        <v>#DIV/0!</v>
      </c>
      <c r="M183" s="635" t="e">
        <f t="shared" si="167"/>
        <v>#DIV/0!</v>
      </c>
      <c r="N183" s="635" t="e">
        <f t="shared" si="167"/>
        <v>#DIV/0!</v>
      </c>
      <c r="O183" s="636" t="e">
        <f t="shared" si="167"/>
        <v>#DIV/0!</v>
      </c>
      <c r="P183" s="521" t="e">
        <f t="shared" si="167"/>
        <v>#DIV/0!</v>
      </c>
      <c r="Q183" s="1258" t="e">
        <f t="shared" si="157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8">F140/1000</f>
        <v>0</v>
      </c>
      <c r="G184" s="487">
        <f t="shared" si="168"/>
        <v>0</v>
      </c>
      <c r="H184" s="487">
        <f t="shared" si="168"/>
        <v>0</v>
      </c>
      <c r="I184" s="487">
        <f t="shared" si="168"/>
        <v>0</v>
      </c>
      <c r="J184" s="487">
        <f t="shared" si="168"/>
        <v>0</v>
      </c>
      <c r="K184" s="487">
        <f t="shared" si="168"/>
        <v>0</v>
      </c>
      <c r="L184" s="487">
        <f t="shared" si="168"/>
        <v>0</v>
      </c>
      <c r="M184" s="487">
        <f t="shared" si="168"/>
        <v>0</v>
      </c>
      <c r="N184" s="487">
        <f t="shared" si="168"/>
        <v>0</v>
      </c>
      <c r="O184" s="487">
        <f>O140/1000</f>
        <v>0</v>
      </c>
      <c r="P184" s="391">
        <f>P140/1000</f>
        <v>0</v>
      </c>
      <c r="Q184" s="1148" t="str">
        <f t="shared" si="157"/>
        <v>-</v>
      </c>
    </row>
    <row r="185" spans="1:17" s="531" customFormat="1" ht="21" customHeight="1">
      <c r="A185" s="523" t="s">
        <v>74</v>
      </c>
      <c r="B185" s="526" t="e">
        <f t="shared" ref="B185:C185" si="169">B184/B180</f>
        <v>#DIV/0!</v>
      </c>
      <c r="C185" s="1425" t="e">
        <f t="shared" si="169"/>
        <v>#DIV/0!</v>
      </c>
      <c r="D185" s="526" t="e">
        <f t="shared" ref="D185:P185" si="170">D184/D180</f>
        <v>#DIV/0!</v>
      </c>
      <c r="E185" s="527" t="e">
        <f t="shared" si="170"/>
        <v>#DIV/0!</v>
      </c>
      <c r="F185" s="527" t="e">
        <f t="shared" si="170"/>
        <v>#DIV/0!</v>
      </c>
      <c r="G185" s="527" t="e">
        <f t="shared" si="170"/>
        <v>#DIV/0!</v>
      </c>
      <c r="H185" s="527" t="e">
        <f t="shared" si="170"/>
        <v>#DIV/0!</v>
      </c>
      <c r="I185" s="527" t="e">
        <f t="shared" si="170"/>
        <v>#DIV/0!</v>
      </c>
      <c r="J185" s="527" t="e">
        <f t="shared" si="170"/>
        <v>#DIV/0!</v>
      </c>
      <c r="K185" s="527" t="e">
        <f t="shared" si="170"/>
        <v>#DIV/0!</v>
      </c>
      <c r="L185" s="527" t="e">
        <f t="shared" si="170"/>
        <v>#DIV/0!</v>
      </c>
      <c r="M185" s="527" t="e">
        <f t="shared" si="170"/>
        <v>#DIV/0!</v>
      </c>
      <c r="N185" s="527" t="e">
        <f t="shared" si="170"/>
        <v>#DIV/0!</v>
      </c>
      <c r="O185" s="528" t="e">
        <f t="shared" si="170"/>
        <v>#DIV/0!</v>
      </c>
      <c r="P185" s="529" t="e">
        <f t="shared" si="170"/>
        <v>#DIV/0!</v>
      </c>
      <c r="Q185" s="1259" t="e">
        <f t="shared" si="157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1">C182-C184</f>
        <v>0</v>
      </c>
      <c r="D186" s="535">
        <f t="shared" ref="D186:P186" si="172">D182-D184</f>
        <v>0</v>
      </c>
      <c r="E186" s="536">
        <f t="shared" si="172"/>
        <v>0</v>
      </c>
      <c r="F186" s="536">
        <f t="shared" si="172"/>
        <v>0</v>
      </c>
      <c r="G186" s="536">
        <f t="shared" si="172"/>
        <v>0</v>
      </c>
      <c r="H186" s="536">
        <f t="shared" si="172"/>
        <v>0</v>
      </c>
      <c r="I186" s="536">
        <f t="shared" si="172"/>
        <v>0</v>
      </c>
      <c r="J186" s="536">
        <f t="shared" si="172"/>
        <v>0</v>
      </c>
      <c r="K186" s="536">
        <f t="shared" si="172"/>
        <v>0</v>
      </c>
      <c r="L186" s="536">
        <f t="shared" si="172"/>
        <v>0</v>
      </c>
      <c r="M186" s="536">
        <f t="shared" si="172"/>
        <v>0</v>
      </c>
      <c r="N186" s="536">
        <f t="shared" si="172"/>
        <v>0</v>
      </c>
      <c r="O186" s="537">
        <f t="shared" si="172"/>
        <v>0</v>
      </c>
      <c r="P186" s="496">
        <f t="shared" si="172"/>
        <v>0</v>
      </c>
      <c r="Q186" s="1260" t="str">
        <f t="shared" si="157"/>
        <v>-</v>
      </c>
    </row>
    <row r="187" spans="1:17" s="281" customFormat="1" ht="21" customHeight="1" thickBot="1">
      <c r="A187" s="539" t="s">
        <v>80</v>
      </c>
      <c r="B187" s="2240" t="e">
        <f t="shared" ref="B187:C187" si="173">B186/B180</f>
        <v>#DIV/0!</v>
      </c>
      <c r="C187" s="2242" t="e">
        <f t="shared" si="173"/>
        <v>#DIV/0!</v>
      </c>
      <c r="D187" s="2240" t="e">
        <f t="shared" ref="D187:P187" si="174">D186/D180</f>
        <v>#DIV/0!</v>
      </c>
      <c r="E187" s="2247" t="e">
        <f t="shared" si="174"/>
        <v>#DIV/0!</v>
      </c>
      <c r="F187" s="2247" t="e">
        <f t="shared" si="174"/>
        <v>#DIV/0!</v>
      </c>
      <c r="G187" s="2247" t="e">
        <f t="shared" si="174"/>
        <v>#DIV/0!</v>
      </c>
      <c r="H187" s="2247" t="e">
        <f t="shared" si="174"/>
        <v>#DIV/0!</v>
      </c>
      <c r="I187" s="2247" t="e">
        <f t="shared" si="174"/>
        <v>#DIV/0!</v>
      </c>
      <c r="J187" s="2247" t="e">
        <f t="shared" si="174"/>
        <v>#DIV/0!</v>
      </c>
      <c r="K187" s="2247" t="e">
        <f t="shared" si="174"/>
        <v>#DIV/0!</v>
      </c>
      <c r="L187" s="2247" t="e">
        <f t="shared" si="174"/>
        <v>#DIV/0!</v>
      </c>
      <c r="M187" s="2247" t="e">
        <f t="shared" si="174"/>
        <v>#DIV/0!</v>
      </c>
      <c r="N187" s="2247" t="e">
        <f t="shared" si="174"/>
        <v>#DIV/0!</v>
      </c>
      <c r="O187" s="2248" t="e">
        <f t="shared" si="174"/>
        <v>#DIV/0!</v>
      </c>
      <c r="P187" s="545" t="e">
        <f t="shared" si="174"/>
        <v>#DIV/0!</v>
      </c>
      <c r="Q187" s="1261" t="e">
        <f t="shared" si="157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4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V187"/>
  <sheetViews>
    <sheetView zoomScale="85" zoomScaleNormal="85" workbookViewId="0">
      <selection activeCell="B111" sqref="B111"/>
    </sheetView>
  </sheetViews>
  <sheetFormatPr defaultColWidth="9.109375" defaultRowHeight="14.4"/>
  <cols>
    <col min="1" max="1" width="32.44140625" style="352" customWidth="1"/>
    <col min="2" max="2" width="11.33203125" style="352" customWidth="1"/>
    <col min="3" max="3" width="11.88671875" style="352" customWidth="1"/>
    <col min="4" max="4" width="11.5546875" style="352" bestFit="1" customWidth="1"/>
    <col min="5" max="5" width="10.33203125" style="352" customWidth="1"/>
    <col min="6" max="6" width="10.44140625" style="352" customWidth="1"/>
    <col min="7" max="7" width="10.33203125" style="352" customWidth="1"/>
    <col min="8" max="8" width="10.44140625" style="352" customWidth="1"/>
    <col min="9" max="9" width="10" style="352" customWidth="1"/>
    <col min="10" max="13" width="9.6640625" style="352" customWidth="1"/>
    <col min="14" max="14" width="9.6640625" style="353" customWidth="1"/>
    <col min="15" max="15" width="9.6640625" style="352" customWidth="1"/>
    <col min="16" max="16" width="12.5546875" style="867" customWidth="1"/>
    <col min="17" max="16384" width="9.109375" style="352"/>
  </cols>
  <sheetData>
    <row r="1" spans="1:22" ht="15" thickBot="1">
      <c r="L1" s="353"/>
      <c r="N1" s="352"/>
    </row>
    <row r="2" spans="1:22" ht="33" customHeight="1" thickBot="1">
      <c r="A2" s="354"/>
      <c r="B2" s="2372" t="s">
        <v>656</v>
      </c>
      <c r="C2" s="2373"/>
      <c r="D2" s="2374" t="s">
        <v>637</v>
      </c>
      <c r="E2" s="2375"/>
      <c r="F2" s="2375"/>
      <c r="G2" s="2375"/>
      <c r="H2" s="2375"/>
      <c r="I2" s="2375"/>
      <c r="J2" s="2375"/>
      <c r="K2" s="2375"/>
      <c r="L2" s="2375"/>
      <c r="M2" s="2375"/>
      <c r="N2" s="2375"/>
      <c r="O2" s="2375"/>
      <c r="P2" s="2376"/>
      <c r="Q2" s="355" t="s">
        <v>638</v>
      </c>
    </row>
    <row r="3" spans="1:22" ht="30.75" customHeight="1" thickBot="1">
      <c r="A3" s="356"/>
      <c r="B3" s="357" t="s">
        <v>657</v>
      </c>
      <c r="C3" s="357" t="s">
        <v>703</v>
      </c>
      <c r="D3" s="358" t="s">
        <v>1</v>
      </c>
      <c r="E3" s="359" t="s">
        <v>2</v>
      </c>
      <c r="F3" s="359" t="s">
        <v>3</v>
      </c>
      <c r="G3" s="359" t="s">
        <v>4</v>
      </c>
      <c r="H3" s="359" t="s">
        <v>5</v>
      </c>
      <c r="I3" s="359" t="s">
        <v>6</v>
      </c>
      <c r="J3" s="359" t="s">
        <v>7</v>
      </c>
      <c r="K3" s="359" t="s">
        <v>8</v>
      </c>
      <c r="L3" s="359" t="s">
        <v>9</v>
      </c>
      <c r="M3" s="359" t="s">
        <v>10</v>
      </c>
      <c r="N3" s="359" t="s">
        <v>11</v>
      </c>
      <c r="O3" s="359" t="s">
        <v>12</v>
      </c>
      <c r="P3" s="868" t="s">
        <v>13</v>
      </c>
      <c r="Q3" s="361" t="s">
        <v>619</v>
      </c>
    </row>
    <row r="4" spans="1:22" ht="22.5" customHeight="1" thickBot="1">
      <c r="A4" s="362" t="s">
        <v>24</v>
      </c>
      <c r="B4" s="363">
        <f>B7+B8+B13</f>
        <v>0</v>
      </c>
      <c r="C4" s="364">
        <f t="shared" ref="C4" si="0">C7+C8+C13</f>
        <v>0</v>
      </c>
      <c r="D4" s="365">
        <f>D7+D8+D13</f>
        <v>0</v>
      </c>
      <c r="E4" s="366">
        <f t="shared" ref="E4:O4" si="1">E7+E8+E13</f>
        <v>0</v>
      </c>
      <c r="F4" s="366">
        <f t="shared" si="1"/>
        <v>0</v>
      </c>
      <c r="G4" s="366">
        <f t="shared" si="1"/>
        <v>0</v>
      </c>
      <c r="H4" s="366">
        <f t="shared" si="1"/>
        <v>0</v>
      </c>
      <c r="I4" s="366">
        <f t="shared" si="1"/>
        <v>0</v>
      </c>
      <c r="J4" s="366">
        <f t="shared" si="1"/>
        <v>0</v>
      </c>
      <c r="K4" s="366">
        <f t="shared" si="1"/>
        <v>0</v>
      </c>
      <c r="L4" s="366">
        <f t="shared" si="1"/>
        <v>0</v>
      </c>
      <c r="M4" s="366">
        <f t="shared" si="1"/>
        <v>0</v>
      </c>
      <c r="N4" s="366">
        <f t="shared" si="1"/>
        <v>0</v>
      </c>
      <c r="O4" s="364">
        <f t="shared" si="1"/>
        <v>0</v>
      </c>
      <c r="P4" s="869">
        <f>SUM(D4:O4)</f>
        <v>0</v>
      </c>
      <c r="Q4" s="421" t="str">
        <f t="shared" ref="Q4:Q21" si="2">IF(P4=0,"-",P4/C4-1)</f>
        <v>-</v>
      </c>
    </row>
    <row r="5" spans="1:22" ht="16.5" customHeight="1">
      <c r="A5" s="368" t="s">
        <v>15</v>
      </c>
      <c r="B5" s="2173"/>
      <c r="C5" s="1445">
        <f>B5/9*12</f>
        <v>0</v>
      </c>
      <c r="D5" s="371">
        <f>+'SAHA AYLIK ÜRÜN M3'!C71/1000</f>
        <v>0</v>
      </c>
      <c r="E5" s="372">
        <f>+'SAHA AYLIK ÜRÜN M3'!D71/1000</f>
        <v>0</v>
      </c>
      <c r="F5" s="372">
        <f>+'SAHA AYLIK ÜRÜN M3'!E71/1000</f>
        <v>0</v>
      </c>
      <c r="G5" s="372">
        <f>+'SAHA AYLIK ÜRÜN M3'!F71/1000</f>
        <v>0</v>
      </c>
      <c r="H5" s="373">
        <f>+'SAHA AYLIK ÜRÜN M3'!G71/1000</f>
        <v>0</v>
      </c>
      <c r="I5" s="373">
        <f>+'SAHA AYLIK ÜRÜN M3'!H71/1000</f>
        <v>0</v>
      </c>
      <c r="J5" s="373">
        <f>+'SAHA AYLIK ÜRÜN M3'!I71/1000</f>
        <v>0</v>
      </c>
      <c r="K5" s="373">
        <f>+'SAHA AYLIK ÜRÜN M3'!J71/1000</f>
        <v>0</v>
      </c>
      <c r="L5" s="373">
        <f>+'SAHA AYLIK ÜRÜN M3'!K71/1000</f>
        <v>0</v>
      </c>
      <c r="M5" s="373">
        <f>+'SAHA AYLIK ÜRÜN M3'!L71/1000</f>
        <v>0</v>
      </c>
      <c r="N5" s="373">
        <f>+'SAHA AYLIK ÜRÜN M3'!M71/1000</f>
        <v>0</v>
      </c>
      <c r="O5" s="374">
        <f>+'SAHA AYLIK ÜRÜN M3'!N71/1000</f>
        <v>0</v>
      </c>
      <c r="P5" s="870">
        <f t="shared" ref="P5:P21" si="3">SUM(D5:O5)</f>
        <v>0</v>
      </c>
      <c r="Q5" s="375" t="str">
        <f t="shared" si="2"/>
        <v>-</v>
      </c>
      <c r="R5" s="376"/>
      <c r="S5" s="376"/>
      <c r="T5" s="376"/>
      <c r="U5" s="376"/>
      <c r="V5" s="376"/>
    </row>
    <row r="6" spans="1:22" ht="16.5" hidden="1" customHeight="1">
      <c r="A6" s="377" t="s">
        <v>16</v>
      </c>
      <c r="B6" s="1433"/>
      <c r="C6" s="1437">
        <f t="shared" ref="C6:C12" si="4">+B6/10*12</f>
        <v>0</v>
      </c>
      <c r="D6" s="380"/>
      <c r="E6" s="381"/>
      <c r="F6" s="381"/>
      <c r="G6" s="381"/>
      <c r="H6" s="382"/>
      <c r="I6" s="382"/>
      <c r="J6" s="382"/>
      <c r="K6" s="382"/>
      <c r="L6" s="382"/>
      <c r="M6" s="382"/>
      <c r="N6" s="382"/>
      <c r="O6" s="383"/>
      <c r="P6" s="871">
        <f t="shared" si="3"/>
        <v>0</v>
      </c>
      <c r="Q6" s="1438" t="str">
        <f t="shared" si="2"/>
        <v>-</v>
      </c>
    </row>
    <row r="7" spans="1:22" s="281" customFormat="1" ht="15" customHeight="1">
      <c r="A7" s="385" t="s">
        <v>27</v>
      </c>
      <c r="B7" s="386">
        <f>+B5+B6</f>
        <v>0</v>
      </c>
      <c r="C7" s="387">
        <f>SUM(C5)</f>
        <v>0</v>
      </c>
      <c r="D7" s="388">
        <f>SUM(D5:D6)</f>
        <v>0</v>
      </c>
      <c r="E7" s="389">
        <f t="shared" ref="E7:O7" si="5">SUM(E5:E6)</f>
        <v>0</v>
      </c>
      <c r="F7" s="389">
        <f t="shared" si="5"/>
        <v>0</v>
      </c>
      <c r="G7" s="389">
        <f t="shared" si="5"/>
        <v>0</v>
      </c>
      <c r="H7" s="389">
        <f t="shared" si="5"/>
        <v>0</v>
      </c>
      <c r="I7" s="389">
        <f t="shared" si="5"/>
        <v>0</v>
      </c>
      <c r="J7" s="389">
        <f t="shared" si="5"/>
        <v>0</v>
      </c>
      <c r="K7" s="389">
        <f t="shared" si="5"/>
        <v>0</v>
      </c>
      <c r="L7" s="389">
        <f t="shared" si="5"/>
        <v>0</v>
      </c>
      <c r="M7" s="389">
        <f t="shared" si="5"/>
        <v>0</v>
      </c>
      <c r="N7" s="389">
        <f t="shared" si="5"/>
        <v>0</v>
      </c>
      <c r="O7" s="390">
        <f t="shared" si="5"/>
        <v>0</v>
      </c>
      <c r="P7" s="872">
        <f t="shared" si="3"/>
        <v>0</v>
      </c>
      <c r="Q7" s="392" t="str">
        <f t="shared" si="2"/>
        <v>-</v>
      </c>
    </row>
    <row r="8" spans="1:22" ht="16.5" customHeight="1">
      <c r="A8" s="393" t="s">
        <v>17</v>
      </c>
      <c r="B8" s="1448">
        <v>0</v>
      </c>
      <c r="C8" s="1459">
        <v>0</v>
      </c>
      <c r="D8" s="396">
        <f>+'SAHA AYLIK ÜRÜN M3'!C72/1000</f>
        <v>0</v>
      </c>
      <c r="E8" s="397">
        <f>+'SAHA AYLIK ÜRÜN M3'!D72/1000</f>
        <v>0</v>
      </c>
      <c r="F8" s="397">
        <f>+'SAHA AYLIK ÜRÜN M3'!E72/1000</f>
        <v>0</v>
      </c>
      <c r="G8" s="397">
        <f>+'SAHA AYLIK ÜRÜN M3'!F72/1000</f>
        <v>0</v>
      </c>
      <c r="H8" s="397">
        <f>+'SAHA AYLIK ÜRÜN M3'!G72/1000</f>
        <v>0</v>
      </c>
      <c r="I8" s="397">
        <f>+'SAHA AYLIK ÜRÜN M3'!H72/1000</f>
        <v>0</v>
      </c>
      <c r="J8" s="397">
        <f>+'SAHA AYLIK ÜRÜN M3'!I72/1000</f>
        <v>0</v>
      </c>
      <c r="K8" s="397">
        <f>+'SAHA AYLIK ÜRÜN M3'!J72/1000</f>
        <v>0</v>
      </c>
      <c r="L8" s="397">
        <f>+'SAHA AYLIK ÜRÜN M3'!K72/1000</f>
        <v>0</v>
      </c>
      <c r="M8" s="397">
        <f>+'SAHA AYLIK ÜRÜN M3'!L72/1000</f>
        <v>0</v>
      </c>
      <c r="N8" s="397">
        <f>+'SAHA AYLIK ÜRÜN M3'!M72/1000</f>
        <v>0</v>
      </c>
      <c r="O8" s="398">
        <f>+'SAHA AYLIK ÜRÜN M3'!N72/1000</f>
        <v>0</v>
      </c>
      <c r="P8" s="873">
        <f>SUM(D8:O8)</f>
        <v>0</v>
      </c>
      <c r="Q8" s="384" t="str">
        <f t="shared" si="2"/>
        <v>-</v>
      </c>
    </row>
    <row r="9" spans="1:22" ht="16.5" customHeight="1">
      <c r="A9" s="400" t="s">
        <v>81</v>
      </c>
      <c r="B9" s="386"/>
      <c r="C9" s="404">
        <f>B9/9*12</f>
        <v>0</v>
      </c>
      <c r="D9" s="402">
        <f>+'SAHA AYLIK ÜRÜN M3'!C69/1000</f>
        <v>0</v>
      </c>
      <c r="E9" s="403">
        <f>+'SAHA AYLIK ÜRÜN M3'!D69/1000</f>
        <v>0</v>
      </c>
      <c r="F9" s="403">
        <f>+'SAHA AYLIK ÜRÜN M3'!E69/1000</f>
        <v>0</v>
      </c>
      <c r="G9" s="403">
        <f>+'SAHA AYLIK ÜRÜN M3'!F69/1000</f>
        <v>0</v>
      </c>
      <c r="H9" s="403">
        <f>+'SAHA AYLIK ÜRÜN M3'!G69/1000</f>
        <v>0</v>
      </c>
      <c r="I9" s="403">
        <f>+'SAHA AYLIK ÜRÜN M3'!H69/1000</f>
        <v>0</v>
      </c>
      <c r="J9" s="403">
        <f>+'SAHA AYLIK ÜRÜN M3'!I69/1000</f>
        <v>0</v>
      </c>
      <c r="K9" s="403">
        <f>+'SAHA AYLIK ÜRÜN M3'!J69/1000</f>
        <v>0</v>
      </c>
      <c r="L9" s="403">
        <f>+'SAHA AYLIK ÜRÜN M3'!K69/1000</f>
        <v>0</v>
      </c>
      <c r="M9" s="403">
        <f>+'SAHA AYLIK ÜRÜN M3'!L69/1000</f>
        <v>0</v>
      </c>
      <c r="N9" s="403">
        <f>+'SAHA AYLIK ÜRÜN M3'!M69/1000</f>
        <v>0</v>
      </c>
      <c r="O9" s="404">
        <f>+'SAHA AYLIK ÜRÜN M3'!N69/1000</f>
        <v>0</v>
      </c>
      <c r="P9" s="874">
        <f t="shared" si="3"/>
        <v>0</v>
      </c>
      <c r="Q9" s="405" t="str">
        <f t="shared" si="2"/>
        <v>-</v>
      </c>
    </row>
    <row r="10" spans="1:22" ht="16.5" hidden="1" customHeight="1">
      <c r="A10" s="406" t="s">
        <v>82</v>
      </c>
      <c r="B10" s="1441"/>
      <c r="C10" s="1451"/>
      <c r="D10" s="407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3"/>
      <c r="P10" s="873">
        <f t="shared" si="3"/>
        <v>0</v>
      </c>
      <c r="Q10" s="1438" t="str">
        <f t="shared" si="2"/>
        <v>-</v>
      </c>
    </row>
    <row r="11" spans="1:22" ht="16.5" customHeight="1">
      <c r="A11" s="400" t="s">
        <v>83</v>
      </c>
      <c r="B11" s="408"/>
      <c r="C11" s="404"/>
      <c r="D11" s="402">
        <f>+'SAHA AYLIK ÜRÜN M3'!C70/1000</f>
        <v>0</v>
      </c>
      <c r="E11" s="403">
        <f>+'SAHA AYLIK ÜRÜN M3'!D70/1000</f>
        <v>0</v>
      </c>
      <c r="F11" s="403">
        <f>+'SAHA AYLIK ÜRÜN M3'!E70/1000</f>
        <v>0</v>
      </c>
      <c r="G11" s="403">
        <f>+'SAHA AYLIK ÜRÜN M3'!F70/1000</f>
        <v>0</v>
      </c>
      <c r="H11" s="403">
        <f>+'SAHA AYLIK ÜRÜN M3'!G70/1000</f>
        <v>0</v>
      </c>
      <c r="I11" s="403">
        <f>+'SAHA AYLIK ÜRÜN M3'!H70/1000</f>
        <v>0</v>
      </c>
      <c r="J11" s="403">
        <f>+'SAHA AYLIK ÜRÜN M3'!I70/1000</f>
        <v>0</v>
      </c>
      <c r="K11" s="403">
        <f>+'SAHA AYLIK ÜRÜN M3'!J70/1000</f>
        <v>0</v>
      </c>
      <c r="L11" s="403">
        <f>+'SAHA AYLIK ÜRÜN M3'!K70/1000</f>
        <v>0</v>
      </c>
      <c r="M11" s="403">
        <f>+'SAHA AYLIK ÜRÜN M3'!L70/1000</f>
        <v>0</v>
      </c>
      <c r="N11" s="403">
        <f>+'SAHA AYLIK ÜRÜN M3'!M70/1000</f>
        <v>0</v>
      </c>
      <c r="O11" s="404">
        <f>+'SAHA AYLIK ÜRÜN M3'!N70/1000</f>
        <v>0</v>
      </c>
      <c r="P11" s="874">
        <f t="shared" si="3"/>
        <v>0</v>
      </c>
      <c r="Q11" s="405" t="str">
        <f t="shared" si="2"/>
        <v>-</v>
      </c>
    </row>
    <row r="12" spans="1:22" ht="16.5" hidden="1" customHeight="1">
      <c r="A12" s="406" t="s">
        <v>84</v>
      </c>
      <c r="B12" s="1433"/>
      <c r="C12" s="1437">
        <f t="shared" si="4"/>
        <v>0</v>
      </c>
      <c r="D12" s="407"/>
      <c r="E12" s="382"/>
      <c r="F12" s="382"/>
      <c r="G12" s="382"/>
      <c r="H12" s="382"/>
      <c r="I12" s="381"/>
      <c r="J12" s="381"/>
      <c r="K12" s="382"/>
      <c r="L12" s="382"/>
      <c r="M12" s="382"/>
      <c r="N12" s="382"/>
      <c r="O12" s="383"/>
      <c r="P12" s="873">
        <f t="shared" si="3"/>
        <v>0</v>
      </c>
      <c r="Q12" s="1438" t="str">
        <f t="shared" si="2"/>
        <v>-</v>
      </c>
      <c r="S12" s="353"/>
      <c r="T12" s="353"/>
      <c r="U12" s="353"/>
      <c r="V12" s="353"/>
    </row>
    <row r="13" spans="1:22" ht="15" customHeight="1" thickBot="1">
      <c r="A13" s="410" t="s">
        <v>18</v>
      </c>
      <c r="B13" s="496">
        <f>SUM(B9:B12)</f>
        <v>0</v>
      </c>
      <c r="C13" s="1446">
        <f>SUM(C9:C12)</f>
        <v>0</v>
      </c>
      <c r="D13" s="413">
        <f>SUM(D9:D12)</f>
        <v>0</v>
      </c>
      <c r="E13" s="414">
        <f t="shared" ref="E13:O13" si="6">SUM(E9:E12)</f>
        <v>0</v>
      </c>
      <c r="F13" s="414">
        <f t="shared" si="6"/>
        <v>0</v>
      </c>
      <c r="G13" s="414">
        <f t="shared" si="6"/>
        <v>0</v>
      </c>
      <c r="H13" s="414">
        <f t="shared" si="6"/>
        <v>0</v>
      </c>
      <c r="I13" s="414">
        <f t="shared" si="6"/>
        <v>0</v>
      </c>
      <c r="J13" s="414">
        <f t="shared" si="6"/>
        <v>0</v>
      </c>
      <c r="K13" s="414">
        <f t="shared" si="6"/>
        <v>0</v>
      </c>
      <c r="L13" s="414">
        <f t="shared" si="6"/>
        <v>0</v>
      </c>
      <c r="M13" s="414">
        <f t="shared" si="6"/>
        <v>0</v>
      </c>
      <c r="N13" s="414">
        <f t="shared" si="6"/>
        <v>0</v>
      </c>
      <c r="O13" s="412">
        <f t="shared" si="6"/>
        <v>0</v>
      </c>
      <c r="P13" s="875">
        <f t="shared" si="3"/>
        <v>0</v>
      </c>
      <c r="Q13" s="415" t="str">
        <f t="shared" si="2"/>
        <v>-</v>
      </c>
    </row>
    <row r="14" spans="1:22" ht="22.5" customHeight="1" thickBot="1">
      <c r="A14" s="362" t="s">
        <v>25</v>
      </c>
      <c r="B14" s="363">
        <f t="shared" ref="B14:C14" si="7">SUM(B15:B16)</f>
        <v>0</v>
      </c>
      <c r="C14" s="416">
        <f t="shared" si="7"/>
        <v>0</v>
      </c>
      <c r="D14" s="417">
        <f>SUM(D15:D16)</f>
        <v>0</v>
      </c>
      <c r="E14" s="418">
        <f t="shared" ref="E14:O14" si="8">SUM(E15:E16)</f>
        <v>0</v>
      </c>
      <c r="F14" s="418">
        <f t="shared" si="8"/>
        <v>0</v>
      </c>
      <c r="G14" s="418">
        <f t="shared" si="8"/>
        <v>0</v>
      </c>
      <c r="H14" s="418">
        <f t="shared" si="8"/>
        <v>0</v>
      </c>
      <c r="I14" s="418">
        <f t="shared" si="8"/>
        <v>0</v>
      </c>
      <c r="J14" s="418">
        <f t="shared" si="8"/>
        <v>0</v>
      </c>
      <c r="K14" s="418">
        <f t="shared" si="8"/>
        <v>0</v>
      </c>
      <c r="L14" s="418">
        <f t="shared" si="8"/>
        <v>0</v>
      </c>
      <c r="M14" s="418">
        <f t="shared" si="8"/>
        <v>0</v>
      </c>
      <c r="N14" s="418">
        <f t="shared" si="8"/>
        <v>0</v>
      </c>
      <c r="O14" s="419">
        <f t="shared" si="8"/>
        <v>0</v>
      </c>
      <c r="P14" s="876">
        <f t="shared" si="3"/>
        <v>0</v>
      </c>
      <c r="Q14" s="421" t="str">
        <f t="shared" si="2"/>
        <v>-</v>
      </c>
    </row>
    <row r="15" spans="1:22" ht="16.5" customHeight="1">
      <c r="A15" s="422" t="s">
        <v>19</v>
      </c>
      <c r="B15" s="423"/>
      <c r="C15" s="1449"/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7"/>
      <c r="P15" s="877">
        <f t="shared" si="3"/>
        <v>0</v>
      </c>
      <c r="Q15" s="429" t="str">
        <f t="shared" si="2"/>
        <v>-</v>
      </c>
    </row>
    <row r="16" spans="1:22" ht="16.5" customHeight="1" thickBot="1">
      <c r="A16" s="430" t="s">
        <v>20</v>
      </c>
      <c r="B16" s="431"/>
      <c r="C16" s="1450"/>
      <c r="D16" s="433">
        <f>+'SAHA AYLIK ÜRÜN M3'!C73/1000</f>
        <v>0</v>
      </c>
      <c r="E16" s="434">
        <f>+'SAHA AYLIK ÜRÜN M3'!D73/1000</f>
        <v>0</v>
      </c>
      <c r="F16" s="434">
        <f>+'SAHA AYLIK ÜRÜN M3'!E73/1000</f>
        <v>0</v>
      </c>
      <c r="G16" s="434">
        <f>+'SAHA AYLIK ÜRÜN M3'!F73/1000</f>
        <v>0</v>
      </c>
      <c r="H16" s="434">
        <f>+'SAHA AYLIK ÜRÜN M3'!G73/1000</f>
        <v>0</v>
      </c>
      <c r="I16" s="434">
        <f>+'SAHA AYLIK ÜRÜN M3'!H73/1000</f>
        <v>0</v>
      </c>
      <c r="J16" s="434">
        <f>+'SAHA AYLIK ÜRÜN M3'!I73/1000</f>
        <v>0</v>
      </c>
      <c r="K16" s="434">
        <f>+'SAHA AYLIK ÜRÜN M3'!J73/1000</f>
        <v>0</v>
      </c>
      <c r="L16" s="434">
        <f>+'SAHA AYLIK ÜRÜN M3'!K73/1000</f>
        <v>0</v>
      </c>
      <c r="M16" s="434">
        <f>+'SAHA AYLIK ÜRÜN M3'!L73/1000</f>
        <v>0</v>
      </c>
      <c r="N16" s="434">
        <f>+'SAHA AYLIK ÜRÜN M3'!M73/1000</f>
        <v>0</v>
      </c>
      <c r="O16" s="435">
        <f>+'SAHA AYLIK ÜRÜN M3'!N73/1000</f>
        <v>0</v>
      </c>
      <c r="P16" s="878">
        <f t="shared" si="3"/>
        <v>0</v>
      </c>
      <c r="Q16" s="437" t="str">
        <f t="shared" si="2"/>
        <v>-</v>
      </c>
    </row>
    <row r="17" spans="1:22" ht="22.5" customHeight="1" thickBot="1">
      <c r="A17" s="362" t="s">
        <v>26</v>
      </c>
      <c r="B17" s="363">
        <f>B18+B19</f>
        <v>0</v>
      </c>
      <c r="C17" s="416">
        <f>(B17/9)*12</f>
        <v>0</v>
      </c>
      <c r="D17" s="417">
        <f>SUM(D18:D19)</f>
        <v>0</v>
      </c>
      <c r="E17" s="418">
        <f t="shared" ref="E17:O17" si="9">SUM(E18:E19)</f>
        <v>0</v>
      </c>
      <c r="F17" s="418">
        <f t="shared" si="9"/>
        <v>0</v>
      </c>
      <c r="G17" s="418">
        <f t="shared" si="9"/>
        <v>0</v>
      </c>
      <c r="H17" s="418">
        <f t="shared" si="9"/>
        <v>0</v>
      </c>
      <c r="I17" s="418">
        <f t="shared" si="9"/>
        <v>0</v>
      </c>
      <c r="J17" s="418">
        <f t="shared" si="9"/>
        <v>0</v>
      </c>
      <c r="K17" s="418">
        <f t="shared" si="9"/>
        <v>0</v>
      </c>
      <c r="L17" s="418">
        <f t="shared" si="9"/>
        <v>0</v>
      </c>
      <c r="M17" s="418">
        <f t="shared" si="9"/>
        <v>0</v>
      </c>
      <c r="N17" s="418">
        <f t="shared" si="9"/>
        <v>0</v>
      </c>
      <c r="O17" s="419">
        <f t="shared" si="9"/>
        <v>0</v>
      </c>
      <c r="P17" s="876">
        <f t="shared" si="3"/>
        <v>0</v>
      </c>
      <c r="Q17" s="421" t="str">
        <f t="shared" si="2"/>
        <v>-</v>
      </c>
    </row>
    <row r="18" spans="1:22" ht="16.5" customHeight="1" thickBot="1">
      <c r="A18" s="422" t="s">
        <v>106</v>
      </c>
      <c r="B18" s="423"/>
      <c r="C18" s="1449">
        <f>(B18/9)*12</f>
        <v>0</v>
      </c>
      <c r="D18" s="425">
        <f>+M.Yağ_Adbulue!E14/1000</f>
        <v>0</v>
      </c>
      <c r="E18" s="426">
        <f>+M.Yağ_Adbulue!F14/1000</f>
        <v>0</v>
      </c>
      <c r="F18" s="426">
        <f>+M.Yağ_Adbulue!G14/1000</f>
        <v>0</v>
      </c>
      <c r="G18" s="426">
        <f>+M.Yağ_Adbulue!H14/1000</f>
        <v>0</v>
      </c>
      <c r="H18" s="426">
        <f>+M.Yağ_Adbulue!I14/1000</f>
        <v>0</v>
      </c>
      <c r="I18" s="426">
        <f>+M.Yağ_Adbulue!J14/1000</f>
        <v>0</v>
      </c>
      <c r="J18" s="426">
        <f>+M.Yağ_Adbulue!K14/1000</f>
        <v>0</v>
      </c>
      <c r="K18" s="426">
        <f>+M.Yağ_Adbulue!L14/1000</f>
        <v>0</v>
      </c>
      <c r="L18" s="426">
        <f>+M.Yağ_Adbulue!M14/1000</f>
        <v>0</v>
      </c>
      <c r="M18" s="426">
        <f>+M.Yağ_Adbulue!N14/1000</f>
        <v>0</v>
      </c>
      <c r="N18" s="426">
        <f>+M.Yağ_Adbulue!O14/1000</f>
        <v>0</v>
      </c>
      <c r="O18" s="427">
        <f>+M.Yağ_Adbulue!P14/1000</f>
        <v>0</v>
      </c>
      <c r="P18" s="877">
        <f t="shared" si="3"/>
        <v>0</v>
      </c>
      <c r="Q18" s="429" t="str">
        <f t="shared" si="2"/>
        <v>-</v>
      </c>
    </row>
    <row r="19" spans="1:22" ht="16.5" customHeight="1" thickBot="1">
      <c r="A19" s="438" t="s">
        <v>105</v>
      </c>
      <c r="B19" s="423"/>
      <c r="C19" s="1450">
        <f>(B19/9)*12</f>
        <v>0</v>
      </c>
      <c r="D19" s="441">
        <f>+M.Yağ_Adbulue!E32/1000</f>
        <v>0</v>
      </c>
      <c r="E19" s="442">
        <f>+M.Yağ_Adbulue!F32/1000</f>
        <v>0</v>
      </c>
      <c r="F19" s="442">
        <f>+M.Yağ_Adbulue!G32/1000</f>
        <v>0</v>
      </c>
      <c r="G19" s="442">
        <f>+M.Yağ_Adbulue!H32/1000</f>
        <v>0</v>
      </c>
      <c r="H19" s="442">
        <f>+M.Yağ_Adbulue!I32/1000</f>
        <v>0</v>
      </c>
      <c r="I19" s="442">
        <f>+M.Yağ_Adbulue!J32/1000</f>
        <v>0</v>
      </c>
      <c r="J19" s="442">
        <f>+M.Yağ_Adbulue!K32/1000</f>
        <v>0</v>
      </c>
      <c r="K19" s="442">
        <f>+M.Yağ_Adbulue!L32/1000</f>
        <v>0</v>
      </c>
      <c r="L19" s="442">
        <f>+M.Yağ_Adbulue!M32/1000</f>
        <v>0</v>
      </c>
      <c r="M19" s="442">
        <f>+M.Yağ_Adbulue!N32/1000</f>
        <v>0</v>
      </c>
      <c r="N19" s="442">
        <f>+M.Yağ_Adbulue!O32/1000</f>
        <v>0</v>
      </c>
      <c r="O19" s="443">
        <f>+M.Yağ_Adbulue!P32/1000</f>
        <v>0</v>
      </c>
      <c r="P19" s="879">
        <f t="shared" si="3"/>
        <v>0</v>
      </c>
      <c r="Q19" s="445" t="str">
        <f t="shared" si="2"/>
        <v>-</v>
      </c>
    </row>
    <row r="20" spans="1:22" ht="16.5" customHeight="1" thickBot="1">
      <c r="C20" s="353"/>
      <c r="D20" s="446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880">
        <f t="shared" si="3"/>
        <v>0</v>
      </c>
      <c r="Q20" s="447" t="str">
        <f t="shared" si="2"/>
        <v>-</v>
      </c>
    </row>
    <row r="21" spans="1:22" ht="22.5" customHeight="1" thickBot="1">
      <c r="A21" s="362" t="s">
        <v>85</v>
      </c>
      <c r="B21" s="363"/>
      <c r="C21" s="364">
        <f>B21/9*12</f>
        <v>0</v>
      </c>
      <c r="D21" s="365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448"/>
      <c r="P21" s="869">
        <f t="shared" si="3"/>
        <v>0</v>
      </c>
      <c r="Q21" s="367" t="str">
        <f t="shared" si="2"/>
        <v>-</v>
      </c>
    </row>
    <row r="22" spans="1:22" ht="16.5" customHeight="1" thickBot="1">
      <c r="C22" s="353"/>
      <c r="D22" s="446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880"/>
      <c r="Q22" s="447"/>
    </row>
    <row r="23" spans="1:22" ht="33" customHeight="1" thickBot="1">
      <c r="A23" s="354"/>
      <c r="B23" s="2372" t="s">
        <v>669</v>
      </c>
      <c r="C23" s="2373"/>
      <c r="D23" s="2374" t="s">
        <v>640</v>
      </c>
      <c r="E23" s="2375"/>
      <c r="F23" s="2375"/>
      <c r="G23" s="2375"/>
      <c r="H23" s="2375"/>
      <c r="I23" s="2375"/>
      <c r="J23" s="2375"/>
      <c r="K23" s="2375"/>
      <c r="L23" s="2375"/>
      <c r="M23" s="2375"/>
      <c r="N23" s="2375"/>
      <c r="O23" s="2375"/>
      <c r="P23" s="2376"/>
      <c r="Q23" s="355" t="s">
        <v>638</v>
      </c>
    </row>
    <row r="24" spans="1:22" ht="30.75" customHeight="1" thickBot="1">
      <c r="A24" s="356"/>
      <c r="B24" s="357" t="s">
        <v>657</v>
      </c>
      <c r="C24" s="357" t="s">
        <v>703</v>
      </c>
      <c r="D24" s="358" t="s">
        <v>1</v>
      </c>
      <c r="E24" s="359" t="s">
        <v>2</v>
      </c>
      <c r="F24" s="359" t="s">
        <v>3</v>
      </c>
      <c r="G24" s="359" t="s">
        <v>4</v>
      </c>
      <c r="H24" s="359" t="s">
        <v>5</v>
      </c>
      <c r="I24" s="359" t="s">
        <v>6</v>
      </c>
      <c r="J24" s="359" t="s">
        <v>7</v>
      </c>
      <c r="K24" s="359" t="s">
        <v>8</v>
      </c>
      <c r="L24" s="359" t="s">
        <v>9</v>
      </c>
      <c r="M24" s="359" t="s">
        <v>10</v>
      </c>
      <c r="N24" s="359" t="s">
        <v>11</v>
      </c>
      <c r="O24" s="359" t="s">
        <v>12</v>
      </c>
      <c r="P24" s="868" t="s">
        <v>13</v>
      </c>
      <c r="Q24" s="361" t="s">
        <v>619</v>
      </c>
    </row>
    <row r="25" spans="1:22" ht="22.5" customHeight="1" thickBot="1">
      <c r="A25" s="362" t="s">
        <v>28</v>
      </c>
      <c r="B25" s="363">
        <f>B28+B29+B34</f>
        <v>0</v>
      </c>
      <c r="C25" s="364">
        <f>C28+C29+C34</f>
        <v>0</v>
      </c>
      <c r="D25" s="365">
        <f t="shared" ref="D25:O25" si="10">D28+D29+D34</f>
        <v>0</v>
      </c>
      <c r="E25" s="366">
        <f t="shared" si="10"/>
        <v>0</v>
      </c>
      <c r="F25" s="366">
        <f t="shared" si="10"/>
        <v>0</v>
      </c>
      <c r="G25" s="366">
        <f t="shared" si="10"/>
        <v>0</v>
      </c>
      <c r="H25" s="366">
        <f t="shared" si="10"/>
        <v>0</v>
      </c>
      <c r="I25" s="366">
        <f t="shared" si="10"/>
        <v>0</v>
      </c>
      <c r="J25" s="366">
        <f t="shared" si="10"/>
        <v>0</v>
      </c>
      <c r="K25" s="366">
        <f t="shared" si="10"/>
        <v>0</v>
      </c>
      <c r="L25" s="366">
        <f t="shared" si="10"/>
        <v>0</v>
      </c>
      <c r="M25" s="366">
        <f t="shared" si="10"/>
        <v>0</v>
      </c>
      <c r="N25" s="366">
        <f t="shared" si="10"/>
        <v>0</v>
      </c>
      <c r="O25" s="364">
        <f t="shared" si="10"/>
        <v>0</v>
      </c>
      <c r="P25" s="869">
        <f t="shared" ref="P25:P44" si="11">SUM(D25:O25)</f>
        <v>0</v>
      </c>
      <c r="Q25" s="1236" t="str">
        <f>IF(P25=0,"-",P25/#REF!-1)</f>
        <v>-</v>
      </c>
    </row>
    <row r="26" spans="1:22" ht="16.5" customHeight="1">
      <c r="A26" s="368" t="s">
        <v>15</v>
      </c>
      <c r="B26" s="369"/>
      <c r="C26" s="1445">
        <f>B26/9*12</f>
        <v>0</v>
      </c>
      <c r="D26" s="371">
        <f>D5*'Satış Fiyat'!D245</f>
        <v>0</v>
      </c>
      <c r="E26" s="372">
        <f>E5*'Satış Fiyat'!E245</f>
        <v>0</v>
      </c>
      <c r="F26" s="372">
        <f>F5*'Satış Fiyat'!F245</f>
        <v>0</v>
      </c>
      <c r="G26" s="372">
        <f>G5*'Satış Fiyat'!G245</f>
        <v>0</v>
      </c>
      <c r="H26" s="373">
        <f>H5*'Satış Fiyat'!H245</f>
        <v>0</v>
      </c>
      <c r="I26" s="373">
        <f>I5*'Satış Fiyat'!I245</f>
        <v>0</v>
      </c>
      <c r="J26" s="373">
        <f>J5*'Satış Fiyat'!J245</f>
        <v>0</v>
      </c>
      <c r="K26" s="373">
        <f>K5*'Satış Fiyat'!K245</f>
        <v>0</v>
      </c>
      <c r="L26" s="373">
        <f>L5*'Satış Fiyat'!L245</f>
        <v>0</v>
      </c>
      <c r="M26" s="373">
        <f>M5*'Satış Fiyat'!M245</f>
        <v>0</v>
      </c>
      <c r="N26" s="373">
        <f>N5*'Satış Fiyat'!N245</f>
        <v>0</v>
      </c>
      <c r="O26" s="374">
        <f>O5*'Satış Fiyat'!O245</f>
        <v>0</v>
      </c>
      <c r="P26" s="870">
        <f t="shared" si="11"/>
        <v>0</v>
      </c>
      <c r="Q26" s="1237" t="str">
        <f t="shared" ref="Q26:Q40" si="12">IF(P26=0,"-",P26/C26-1)</f>
        <v>-</v>
      </c>
      <c r="R26" s="376"/>
      <c r="S26" s="376"/>
      <c r="T26" s="376"/>
      <c r="U26" s="376"/>
      <c r="V26" s="376"/>
    </row>
    <row r="27" spans="1:22" ht="16.5" hidden="1" customHeight="1">
      <c r="A27" s="377" t="s">
        <v>16</v>
      </c>
      <c r="B27" s="378">
        <f>B6*'Satış Fiyat'!B294</f>
        <v>0</v>
      </c>
      <c r="C27" s="379">
        <f>C6*'Satış Fiyat'!C294</f>
        <v>0</v>
      </c>
      <c r="D27" s="380">
        <f>D6*'Satış Fiyat'!D246</f>
        <v>0</v>
      </c>
      <c r="E27" s="381">
        <f>E6*'Satış Fiyat'!E246</f>
        <v>0</v>
      </c>
      <c r="F27" s="381">
        <f>F6*'Satış Fiyat'!F246</f>
        <v>0</v>
      </c>
      <c r="G27" s="381">
        <f>G6*'Satış Fiyat'!G246</f>
        <v>0</v>
      </c>
      <c r="H27" s="382">
        <f>H6*'Satış Fiyat'!H246</f>
        <v>0</v>
      </c>
      <c r="I27" s="382">
        <f>I6*'Satış Fiyat'!I246</f>
        <v>0</v>
      </c>
      <c r="J27" s="382">
        <f>J6*'Satış Fiyat'!J246</f>
        <v>0</v>
      </c>
      <c r="K27" s="382">
        <f>K6*'Satış Fiyat'!K246</f>
        <v>0</v>
      </c>
      <c r="L27" s="382">
        <f>L6*'Satış Fiyat'!L246</f>
        <v>0</v>
      </c>
      <c r="M27" s="382">
        <f>M6*'Satış Fiyat'!M246</f>
        <v>0</v>
      </c>
      <c r="N27" s="382">
        <f>N6*'Satış Fiyat'!N246</f>
        <v>0</v>
      </c>
      <c r="O27" s="383">
        <f>O6*'Satış Fiyat'!O246</f>
        <v>0</v>
      </c>
      <c r="P27" s="871">
        <f t="shared" si="11"/>
        <v>0</v>
      </c>
      <c r="Q27" s="1238" t="str">
        <f t="shared" si="12"/>
        <v>-</v>
      </c>
    </row>
    <row r="28" spans="1:22" ht="15" customHeight="1">
      <c r="A28" s="385" t="s">
        <v>27</v>
      </c>
      <c r="B28" s="391">
        <f>+B26+B27</f>
        <v>0</v>
      </c>
      <c r="C28" s="390">
        <f>+C27+C26</f>
        <v>0</v>
      </c>
      <c r="D28" s="388">
        <f t="shared" ref="D28:O28" si="13">SUM(D26:D27)</f>
        <v>0</v>
      </c>
      <c r="E28" s="389">
        <f t="shared" si="13"/>
        <v>0</v>
      </c>
      <c r="F28" s="389">
        <f t="shared" si="13"/>
        <v>0</v>
      </c>
      <c r="G28" s="389">
        <f t="shared" si="13"/>
        <v>0</v>
      </c>
      <c r="H28" s="389">
        <f t="shared" si="13"/>
        <v>0</v>
      </c>
      <c r="I28" s="389">
        <f t="shared" si="13"/>
        <v>0</v>
      </c>
      <c r="J28" s="389">
        <f t="shared" si="13"/>
        <v>0</v>
      </c>
      <c r="K28" s="389">
        <f t="shared" si="13"/>
        <v>0</v>
      </c>
      <c r="L28" s="389">
        <f t="shared" si="13"/>
        <v>0</v>
      </c>
      <c r="M28" s="389">
        <f t="shared" si="13"/>
        <v>0</v>
      </c>
      <c r="N28" s="389">
        <f t="shared" si="13"/>
        <v>0</v>
      </c>
      <c r="O28" s="390">
        <f t="shared" si="13"/>
        <v>0</v>
      </c>
      <c r="P28" s="872">
        <f t="shared" si="11"/>
        <v>0</v>
      </c>
      <c r="Q28" s="1239" t="str">
        <f t="shared" si="12"/>
        <v>-</v>
      </c>
    </row>
    <row r="29" spans="1:22" ht="16.5" customHeight="1">
      <c r="A29" s="393" t="s">
        <v>17</v>
      </c>
      <c r="B29" s="394"/>
      <c r="C29" s="395"/>
      <c r="D29" s="396">
        <f>D8*'Satış Fiyat'!D248</f>
        <v>0</v>
      </c>
      <c r="E29" s="397">
        <f>E8*'Satış Fiyat'!E248</f>
        <v>0</v>
      </c>
      <c r="F29" s="397">
        <f>F8*'Satış Fiyat'!F248</f>
        <v>0</v>
      </c>
      <c r="G29" s="397">
        <f>G8*'Satış Fiyat'!G248</f>
        <v>0</v>
      </c>
      <c r="H29" s="397">
        <f>H8*'Satış Fiyat'!H248</f>
        <v>0</v>
      </c>
      <c r="I29" s="397">
        <f>I8*'Satış Fiyat'!I248</f>
        <v>0</v>
      </c>
      <c r="J29" s="397">
        <f>J8*'Satış Fiyat'!J248</f>
        <v>0</v>
      </c>
      <c r="K29" s="397">
        <f>K8*'Satış Fiyat'!K248</f>
        <v>0</v>
      </c>
      <c r="L29" s="397">
        <f>L8*'Satış Fiyat'!L248</f>
        <v>0</v>
      </c>
      <c r="M29" s="397">
        <f>M8*'Satış Fiyat'!M248</f>
        <v>0</v>
      </c>
      <c r="N29" s="397">
        <f>N8*'Satış Fiyat'!N248</f>
        <v>0</v>
      </c>
      <c r="O29" s="398">
        <f>O8*'Satış Fiyat'!O248</f>
        <v>0</v>
      </c>
      <c r="P29" s="873">
        <f t="shared" si="11"/>
        <v>0</v>
      </c>
      <c r="Q29" s="1238" t="str">
        <f t="shared" si="12"/>
        <v>-</v>
      </c>
    </row>
    <row r="30" spans="1:22" ht="16.5" customHeight="1">
      <c r="A30" s="400" t="s">
        <v>81</v>
      </c>
      <c r="B30" s="386"/>
      <c r="C30" s="404">
        <f>B30/9*12</f>
        <v>0</v>
      </c>
      <c r="D30" s="388">
        <f>D9*'Satış Fiyat'!D249</f>
        <v>0</v>
      </c>
      <c r="E30" s="389">
        <f>E9*'Satış Fiyat'!E249</f>
        <v>0</v>
      </c>
      <c r="F30" s="389">
        <f>F9*'Satış Fiyat'!F249</f>
        <v>0</v>
      </c>
      <c r="G30" s="389">
        <f>G9*'Satış Fiyat'!G249</f>
        <v>0</v>
      </c>
      <c r="H30" s="389">
        <f>H9*'Satış Fiyat'!H249</f>
        <v>0</v>
      </c>
      <c r="I30" s="389">
        <f>I9*'Satış Fiyat'!I249</f>
        <v>0</v>
      </c>
      <c r="J30" s="389">
        <f>J9*'Satış Fiyat'!J249</f>
        <v>0</v>
      </c>
      <c r="K30" s="389">
        <f>K9*'Satış Fiyat'!K249</f>
        <v>0</v>
      </c>
      <c r="L30" s="389">
        <f>L9*'Satış Fiyat'!L249</f>
        <v>0</v>
      </c>
      <c r="M30" s="389">
        <f>M9*'Satış Fiyat'!M249</f>
        <v>0</v>
      </c>
      <c r="N30" s="389">
        <f>N9*'Satış Fiyat'!N249</f>
        <v>0</v>
      </c>
      <c r="O30" s="390">
        <f>O9*'Satış Fiyat'!O249</f>
        <v>0</v>
      </c>
      <c r="P30" s="874">
        <f t="shared" si="11"/>
        <v>0</v>
      </c>
      <c r="Q30" s="1240" t="str">
        <f t="shared" si="12"/>
        <v>-</v>
      </c>
    </row>
    <row r="31" spans="1:22" ht="16.5" hidden="1" customHeight="1">
      <c r="A31" s="406" t="s">
        <v>82</v>
      </c>
      <c r="B31" s="394"/>
      <c r="C31" s="395"/>
      <c r="D31" s="396">
        <f>D10*'Satış Fiyat'!D250</f>
        <v>0</v>
      </c>
      <c r="E31" s="397">
        <f>E10*'Satış Fiyat'!E250</f>
        <v>0</v>
      </c>
      <c r="F31" s="397">
        <f>F10*'Satış Fiyat'!F250</f>
        <v>0</v>
      </c>
      <c r="G31" s="397">
        <f>G10*'Satış Fiyat'!G250</f>
        <v>0</v>
      </c>
      <c r="H31" s="397">
        <f>H10*'Satış Fiyat'!H250</f>
        <v>0</v>
      </c>
      <c r="I31" s="397">
        <f>I10*'Satış Fiyat'!I250</f>
        <v>0</v>
      </c>
      <c r="J31" s="397">
        <f>J10*'Satış Fiyat'!J250</f>
        <v>0</v>
      </c>
      <c r="K31" s="397">
        <f>K10*'Satış Fiyat'!K250</f>
        <v>0</v>
      </c>
      <c r="L31" s="397">
        <f>L10*'Satış Fiyat'!L250</f>
        <v>0</v>
      </c>
      <c r="M31" s="397">
        <f>M10*'Satış Fiyat'!M250</f>
        <v>0</v>
      </c>
      <c r="N31" s="397">
        <f>N10*'Satış Fiyat'!N250</f>
        <v>0</v>
      </c>
      <c r="O31" s="398">
        <f>O10*'Satış Fiyat'!O250</f>
        <v>0</v>
      </c>
      <c r="P31" s="873">
        <f t="shared" si="11"/>
        <v>0</v>
      </c>
      <c r="Q31" s="1238" t="str">
        <f t="shared" si="12"/>
        <v>-</v>
      </c>
    </row>
    <row r="32" spans="1:22" ht="16.5" customHeight="1">
      <c r="A32" s="400" t="s">
        <v>83</v>
      </c>
      <c r="B32" s="408"/>
      <c r="C32" s="404"/>
      <c r="D32" s="402">
        <f>D11*'Satış Fiyat'!D251</f>
        <v>0</v>
      </c>
      <c r="E32" s="403">
        <f>E11*'Satış Fiyat'!E251</f>
        <v>0</v>
      </c>
      <c r="F32" s="389">
        <f>F11*'Satış Fiyat'!F251</f>
        <v>0</v>
      </c>
      <c r="G32" s="403">
        <f>G11*'Satış Fiyat'!G251</f>
        <v>0</v>
      </c>
      <c r="H32" s="403">
        <f>H11*'Satış Fiyat'!H251</f>
        <v>0</v>
      </c>
      <c r="I32" s="403">
        <f>I11*'Satış Fiyat'!I251</f>
        <v>0</v>
      </c>
      <c r="J32" s="403">
        <f>J11*'Satış Fiyat'!J251</f>
        <v>0</v>
      </c>
      <c r="K32" s="403">
        <f>K11*'Satış Fiyat'!K251</f>
        <v>0</v>
      </c>
      <c r="L32" s="403">
        <f>L11*'Satış Fiyat'!L251</f>
        <v>0</v>
      </c>
      <c r="M32" s="403">
        <f>M11*'Satış Fiyat'!M251</f>
        <v>0</v>
      </c>
      <c r="N32" s="403">
        <f>N11*'Satış Fiyat'!N251</f>
        <v>0</v>
      </c>
      <c r="O32" s="404">
        <f>O11*'Satış Fiyat'!O251</f>
        <v>0</v>
      </c>
      <c r="P32" s="874">
        <f t="shared" si="11"/>
        <v>0</v>
      </c>
      <c r="Q32" s="1240" t="str">
        <f t="shared" si="12"/>
        <v>-</v>
      </c>
    </row>
    <row r="33" spans="1:22" ht="16.5" hidden="1" customHeight="1">
      <c r="A33" s="406" t="s">
        <v>84</v>
      </c>
      <c r="B33" s="378">
        <f>B12*'Satış Fiyat'!B300</f>
        <v>0</v>
      </c>
      <c r="C33" s="379">
        <f>C12*'Satış Fiyat'!C300</f>
        <v>0</v>
      </c>
      <c r="D33" s="407">
        <f>D12*'Satış Fiyat'!D252</f>
        <v>0</v>
      </c>
      <c r="E33" s="382">
        <f>E12*'Satış Fiyat'!E252</f>
        <v>0</v>
      </c>
      <c r="F33" s="382">
        <f>F12*'Satış Fiyat'!F252</f>
        <v>0</v>
      </c>
      <c r="G33" s="382">
        <f>G12*'Satış Fiyat'!G252</f>
        <v>0</v>
      </c>
      <c r="H33" s="382">
        <f>H12*'Satış Fiyat'!H252</f>
        <v>0</v>
      </c>
      <c r="I33" s="381">
        <f>I12*'Satış Fiyat'!I252</f>
        <v>0</v>
      </c>
      <c r="J33" s="381">
        <f>J12*'Satış Fiyat'!J252</f>
        <v>0</v>
      </c>
      <c r="K33" s="382">
        <f>K12*'Satış Fiyat'!K252</f>
        <v>0</v>
      </c>
      <c r="L33" s="382">
        <f>L12*'Satış Fiyat'!L252</f>
        <v>0</v>
      </c>
      <c r="M33" s="382">
        <f>M12*'Satış Fiyat'!M252</f>
        <v>0</v>
      </c>
      <c r="N33" s="382">
        <f>N12*'Satış Fiyat'!N252</f>
        <v>0</v>
      </c>
      <c r="O33" s="383">
        <f>O12*'Satış Fiyat'!O252</f>
        <v>0</v>
      </c>
      <c r="P33" s="873">
        <f t="shared" si="11"/>
        <v>0</v>
      </c>
      <c r="Q33" s="1238" t="str">
        <f t="shared" si="12"/>
        <v>-</v>
      </c>
      <c r="S33" s="901"/>
      <c r="T33" s="901"/>
      <c r="U33" s="901"/>
      <c r="V33" s="901"/>
    </row>
    <row r="34" spans="1:22" ht="15" customHeight="1" thickBot="1">
      <c r="A34" s="410" t="s">
        <v>18</v>
      </c>
      <c r="B34" s="411">
        <f>SUM(B30:B33)</f>
        <v>0</v>
      </c>
      <c r="C34" s="412">
        <f>SUM(C30:C33)</f>
        <v>0</v>
      </c>
      <c r="D34" s="413">
        <f>SUM(D30:D33)</f>
        <v>0</v>
      </c>
      <c r="E34" s="414">
        <f t="shared" ref="E34:O34" si="14">SUM(E30:E33)</f>
        <v>0</v>
      </c>
      <c r="F34" s="414">
        <f t="shared" si="14"/>
        <v>0</v>
      </c>
      <c r="G34" s="414">
        <f t="shared" si="14"/>
        <v>0</v>
      </c>
      <c r="H34" s="414">
        <f t="shared" si="14"/>
        <v>0</v>
      </c>
      <c r="I34" s="414">
        <f t="shared" si="14"/>
        <v>0</v>
      </c>
      <c r="J34" s="414">
        <f t="shared" si="14"/>
        <v>0</v>
      </c>
      <c r="K34" s="414">
        <f t="shared" si="14"/>
        <v>0</v>
      </c>
      <c r="L34" s="414">
        <f t="shared" si="14"/>
        <v>0</v>
      </c>
      <c r="M34" s="414">
        <f t="shared" si="14"/>
        <v>0</v>
      </c>
      <c r="N34" s="414">
        <f t="shared" si="14"/>
        <v>0</v>
      </c>
      <c r="O34" s="412">
        <f t="shared" si="14"/>
        <v>0</v>
      </c>
      <c r="P34" s="875">
        <f t="shared" si="11"/>
        <v>0</v>
      </c>
      <c r="Q34" s="1241" t="str">
        <f t="shared" si="12"/>
        <v>-</v>
      </c>
    </row>
    <row r="35" spans="1:22" ht="22.5" customHeight="1" thickBot="1">
      <c r="A35" s="362" t="s">
        <v>29</v>
      </c>
      <c r="B35" s="420">
        <f>+B36+B37</f>
        <v>0</v>
      </c>
      <c r="C35" s="416">
        <f t="shared" ref="C35" si="15">SUM(C36:C37)</f>
        <v>0</v>
      </c>
      <c r="D35" s="417">
        <f t="shared" ref="D35:O35" si="16">SUM(D36:D37)</f>
        <v>0</v>
      </c>
      <c r="E35" s="418">
        <f t="shared" si="16"/>
        <v>0</v>
      </c>
      <c r="F35" s="418">
        <f t="shared" si="16"/>
        <v>0</v>
      </c>
      <c r="G35" s="418">
        <f t="shared" si="16"/>
        <v>0</v>
      </c>
      <c r="H35" s="418">
        <f t="shared" si="16"/>
        <v>0</v>
      </c>
      <c r="I35" s="418">
        <f t="shared" si="16"/>
        <v>0</v>
      </c>
      <c r="J35" s="418">
        <f t="shared" si="16"/>
        <v>0</v>
      </c>
      <c r="K35" s="418">
        <f t="shared" si="16"/>
        <v>0</v>
      </c>
      <c r="L35" s="418">
        <f t="shared" si="16"/>
        <v>0</v>
      </c>
      <c r="M35" s="418">
        <f t="shared" si="16"/>
        <v>0</v>
      </c>
      <c r="N35" s="418">
        <f t="shared" si="16"/>
        <v>0</v>
      </c>
      <c r="O35" s="419">
        <f t="shared" si="16"/>
        <v>0</v>
      </c>
      <c r="P35" s="876">
        <f t="shared" si="11"/>
        <v>0</v>
      </c>
      <c r="Q35" s="1242" t="str">
        <f t="shared" si="12"/>
        <v>-</v>
      </c>
    </row>
    <row r="36" spans="1:22" ht="16.5" customHeight="1">
      <c r="A36" s="422" t="s">
        <v>19</v>
      </c>
      <c r="B36" s="423">
        <f>B15*'Satış Fiyat'!B303</f>
        <v>0</v>
      </c>
      <c r="C36" s="424"/>
      <c r="D36" s="425">
        <f>D15*'Satış Fiyat'!D255</f>
        <v>0</v>
      </c>
      <c r="E36" s="426">
        <f>E15*'Satış Fiyat'!E255</f>
        <v>0</v>
      </c>
      <c r="F36" s="426">
        <f>F15*'Satış Fiyat'!F255</f>
        <v>0</v>
      </c>
      <c r="G36" s="426">
        <f>G15*'Satış Fiyat'!G255</f>
        <v>0</v>
      </c>
      <c r="H36" s="426">
        <f>H15*'Satış Fiyat'!H255</f>
        <v>0</v>
      </c>
      <c r="I36" s="426">
        <f>I15*'Satış Fiyat'!I255</f>
        <v>0</v>
      </c>
      <c r="J36" s="426">
        <f>J15*'Satış Fiyat'!J255</f>
        <v>0</v>
      </c>
      <c r="K36" s="426">
        <f>K15*'Satış Fiyat'!K255</f>
        <v>0</v>
      </c>
      <c r="L36" s="426">
        <f>L15*'Satış Fiyat'!L255</f>
        <v>0</v>
      </c>
      <c r="M36" s="426">
        <f>M15*'Satış Fiyat'!M255</f>
        <v>0</v>
      </c>
      <c r="N36" s="426">
        <f>N15*'Satış Fiyat'!N255</f>
        <v>0</v>
      </c>
      <c r="O36" s="427">
        <f>O15*'Satış Fiyat'!O255</f>
        <v>0</v>
      </c>
      <c r="P36" s="877">
        <f t="shared" si="11"/>
        <v>0</v>
      </c>
      <c r="Q36" s="1243" t="str">
        <f t="shared" si="12"/>
        <v>-</v>
      </c>
    </row>
    <row r="37" spans="1:22" ht="16.5" customHeight="1" thickBot="1">
      <c r="A37" s="430" t="s">
        <v>20</v>
      </c>
      <c r="B37" s="431">
        <f>B16*'Satış Fiyat'!B304</f>
        <v>0</v>
      </c>
      <c r="C37" s="432"/>
      <c r="D37" s="433">
        <f>D16*'Satış Fiyat'!D256</f>
        <v>0</v>
      </c>
      <c r="E37" s="434">
        <f>E16*'Satış Fiyat'!E256</f>
        <v>0</v>
      </c>
      <c r="F37" s="434">
        <f>F16*'Satış Fiyat'!F256</f>
        <v>0</v>
      </c>
      <c r="G37" s="434">
        <f>G16*'Satış Fiyat'!G256</f>
        <v>0</v>
      </c>
      <c r="H37" s="434">
        <f>H16*'Satış Fiyat'!H256</f>
        <v>0</v>
      </c>
      <c r="I37" s="434">
        <f>I16*'Satış Fiyat'!I256</f>
        <v>0</v>
      </c>
      <c r="J37" s="434">
        <f>J16*'Satış Fiyat'!J256</f>
        <v>0</v>
      </c>
      <c r="K37" s="434">
        <f>K16*'Satış Fiyat'!K256</f>
        <v>0</v>
      </c>
      <c r="L37" s="434">
        <f>L16*'Satış Fiyat'!L256</f>
        <v>0</v>
      </c>
      <c r="M37" s="434">
        <f>M16*'Satış Fiyat'!M256</f>
        <v>0</v>
      </c>
      <c r="N37" s="434">
        <f>N16*'Satış Fiyat'!N256</f>
        <v>0</v>
      </c>
      <c r="O37" s="435">
        <f>O16*'Satış Fiyat'!O256</f>
        <v>0</v>
      </c>
      <c r="P37" s="878">
        <f t="shared" si="11"/>
        <v>0</v>
      </c>
      <c r="Q37" s="1244" t="str">
        <f t="shared" si="12"/>
        <v>-</v>
      </c>
    </row>
    <row r="38" spans="1:22" ht="22.5" customHeight="1" thickBot="1">
      <c r="A38" s="362" t="s">
        <v>30</v>
      </c>
      <c r="B38" s="363">
        <f t="shared" ref="B38:C38" si="17">SUM(B39:B40)</f>
        <v>0</v>
      </c>
      <c r="C38" s="416">
        <f t="shared" si="17"/>
        <v>0</v>
      </c>
      <c r="D38" s="417">
        <f t="shared" ref="D38:O38" si="18">SUM(D39:D40)</f>
        <v>0</v>
      </c>
      <c r="E38" s="418">
        <f t="shared" si="18"/>
        <v>0</v>
      </c>
      <c r="F38" s="418">
        <f t="shared" si="18"/>
        <v>0</v>
      </c>
      <c r="G38" s="418">
        <f t="shared" si="18"/>
        <v>0</v>
      </c>
      <c r="H38" s="418">
        <f t="shared" si="18"/>
        <v>0</v>
      </c>
      <c r="I38" s="418">
        <f t="shared" si="18"/>
        <v>0</v>
      </c>
      <c r="J38" s="418">
        <f t="shared" si="18"/>
        <v>0</v>
      </c>
      <c r="K38" s="418">
        <f t="shared" si="18"/>
        <v>0</v>
      </c>
      <c r="L38" s="418">
        <f t="shared" si="18"/>
        <v>0</v>
      </c>
      <c r="M38" s="418">
        <f t="shared" si="18"/>
        <v>0</v>
      </c>
      <c r="N38" s="418">
        <f t="shared" si="18"/>
        <v>0</v>
      </c>
      <c r="O38" s="419">
        <f t="shared" si="18"/>
        <v>0</v>
      </c>
      <c r="P38" s="876">
        <f t="shared" si="11"/>
        <v>0</v>
      </c>
      <c r="Q38" s="1242" t="str">
        <f t="shared" si="12"/>
        <v>-</v>
      </c>
    </row>
    <row r="39" spans="1:22" ht="16.5" customHeight="1" thickBot="1">
      <c r="A39" s="422" t="s">
        <v>106</v>
      </c>
      <c r="B39" s="423"/>
      <c r="C39" s="424">
        <f>B39/9*12</f>
        <v>0</v>
      </c>
      <c r="D39" s="425">
        <f>D18*'Satış Fiyat'!D258</f>
        <v>0</v>
      </c>
      <c r="E39" s="426">
        <f>E18*'Satış Fiyat'!E258</f>
        <v>0</v>
      </c>
      <c r="F39" s="426">
        <f>F18*'Satış Fiyat'!F258</f>
        <v>0</v>
      </c>
      <c r="G39" s="426">
        <f>G18*'Satış Fiyat'!G258</f>
        <v>0</v>
      </c>
      <c r="H39" s="426">
        <f>H18*'Satış Fiyat'!H258</f>
        <v>0</v>
      </c>
      <c r="I39" s="426">
        <f>I18*'Satış Fiyat'!I258</f>
        <v>0</v>
      </c>
      <c r="J39" s="426">
        <f>J18*'Satış Fiyat'!J258</f>
        <v>0</v>
      </c>
      <c r="K39" s="426">
        <f>K18*'Satış Fiyat'!K258</f>
        <v>0</v>
      </c>
      <c r="L39" s="426">
        <f>L18*'Satış Fiyat'!L258</f>
        <v>0</v>
      </c>
      <c r="M39" s="426">
        <f>M18*'Satış Fiyat'!M258</f>
        <v>0</v>
      </c>
      <c r="N39" s="426">
        <f>N18*'Satış Fiyat'!N258</f>
        <v>0</v>
      </c>
      <c r="O39" s="427">
        <f>O18*'Satış Fiyat'!O258</f>
        <v>0</v>
      </c>
      <c r="P39" s="877">
        <f t="shared" si="11"/>
        <v>0</v>
      </c>
      <c r="Q39" s="1243" t="str">
        <f t="shared" si="12"/>
        <v>-</v>
      </c>
    </row>
    <row r="40" spans="1:22" ht="16.5" customHeight="1" thickBot="1">
      <c r="A40" s="438" t="s">
        <v>105</v>
      </c>
      <c r="B40" s="439"/>
      <c r="C40" s="424">
        <f>B40/9*12</f>
        <v>0</v>
      </c>
      <c r="D40" s="441">
        <f>D19*'Satış Fiyat'!D259</f>
        <v>0</v>
      </c>
      <c r="E40" s="442">
        <f>E19*'Satış Fiyat'!E259</f>
        <v>0</v>
      </c>
      <c r="F40" s="442">
        <f>F19*'Satış Fiyat'!F259</f>
        <v>0</v>
      </c>
      <c r="G40" s="442">
        <f>G19*'Satış Fiyat'!G259</f>
        <v>0</v>
      </c>
      <c r="H40" s="442">
        <f>H19*'Satış Fiyat'!H259</f>
        <v>0</v>
      </c>
      <c r="I40" s="442">
        <f>I19*'Satış Fiyat'!I259</f>
        <v>0</v>
      </c>
      <c r="J40" s="442">
        <f>J19*'Satış Fiyat'!J259</f>
        <v>0</v>
      </c>
      <c r="K40" s="442">
        <f>K19*'Satış Fiyat'!K259</f>
        <v>0</v>
      </c>
      <c r="L40" s="442">
        <f>L19*'Satış Fiyat'!L259</f>
        <v>0</v>
      </c>
      <c r="M40" s="442">
        <f>M19*'Satış Fiyat'!M259</f>
        <v>0</v>
      </c>
      <c r="N40" s="442">
        <f>N19*'Satış Fiyat'!N259</f>
        <v>0</v>
      </c>
      <c r="O40" s="443">
        <f>O19*'Satış Fiyat'!O259</f>
        <v>0</v>
      </c>
      <c r="P40" s="879">
        <f t="shared" si="11"/>
        <v>0</v>
      </c>
      <c r="Q40" s="1245" t="str">
        <f t="shared" si="12"/>
        <v>-</v>
      </c>
    </row>
    <row r="41" spans="1:22" ht="16.5" customHeight="1" thickBot="1">
      <c r="C41" s="353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880"/>
      <c r="Q41" s="447"/>
    </row>
    <row r="42" spans="1:22" ht="22.5" customHeight="1" thickBot="1">
      <c r="A42" s="362" t="s">
        <v>86</v>
      </c>
      <c r="B42" s="363"/>
      <c r="C42" s="364">
        <f>B42/9*12</f>
        <v>0</v>
      </c>
      <c r="D42" s="365">
        <f>(D21*'Satış Fiyat'!D261)</f>
        <v>0</v>
      </c>
      <c r="E42" s="365">
        <f>(E21*'Satış Fiyat'!E261)</f>
        <v>0</v>
      </c>
      <c r="F42" s="365">
        <f>(F21*'Satış Fiyat'!F261)</f>
        <v>0</v>
      </c>
      <c r="G42" s="365">
        <f>(G21*'Satış Fiyat'!G261)</f>
        <v>0</v>
      </c>
      <c r="H42" s="365">
        <f>(H21*'Satış Fiyat'!H261)</f>
        <v>0</v>
      </c>
      <c r="I42" s="365">
        <f>(I21*'Satış Fiyat'!I261)</f>
        <v>0</v>
      </c>
      <c r="J42" s="365">
        <f>(J21*'Satış Fiyat'!J261)</f>
        <v>0</v>
      </c>
      <c r="K42" s="365">
        <f>(K21*'Satış Fiyat'!K261)</f>
        <v>0</v>
      </c>
      <c r="L42" s="365">
        <f>(L21*'Satış Fiyat'!L261)</f>
        <v>0</v>
      </c>
      <c r="M42" s="365">
        <f>(M21*'Satış Fiyat'!M261)</f>
        <v>0</v>
      </c>
      <c r="N42" s="365">
        <f>(N21*'Satış Fiyat'!N261)</f>
        <v>0</v>
      </c>
      <c r="O42" s="365">
        <f>(O21*'Satış Fiyat'!O261)</f>
        <v>0</v>
      </c>
      <c r="P42" s="876">
        <f>(P21*'Satış Fiyat'!P261)/1000</f>
        <v>0</v>
      </c>
      <c r="Q42" s="1242" t="str">
        <f>IF(P42=0,"-",P42/C42-1)</f>
        <v>-</v>
      </c>
    </row>
    <row r="43" spans="1:22" s="454" customFormat="1" ht="14.25" customHeight="1" thickBot="1">
      <c r="A43" s="451"/>
      <c r="B43" s="452"/>
      <c r="C43" s="452"/>
      <c r="D43" s="452"/>
      <c r="E43" s="452"/>
      <c r="F43" s="452"/>
      <c r="G43" s="452"/>
      <c r="H43" s="452"/>
      <c r="I43" s="452"/>
      <c r="J43" s="452"/>
      <c r="K43" s="452"/>
      <c r="L43" s="452"/>
      <c r="M43" s="452"/>
      <c r="N43" s="452"/>
      <c r="O43" s="452"/>
      <c r="P43" s="881">
        <f t="shared" si="11"/>
        <v>0</v>
      </c>
      <c r="Q43" s="453"/>
    </row>
    <row r="44" spans="1:22" s="454" customFormat="1" ht="23.25" customHeight="1" thickBot="1">
      <c r="A44" s="362" t="s">
        <v>31</v>
      </c>
      <c r="B44" s="363">
        <f>+B25+B35+B38+B42</f>
        <v>0</v>
      </c>
      <c r="C44" s="364">
        <f t="shared" ref="C44" si="19">+C25+C35+C38+C42</f>
        <v>0</v>
      </c>
      <c r="D44" s="365">
        <f t="shared" ref="D44:O44" si="20">+D25+D35+D38+D42</f>
        <v>0</v>
      </c>
      <c r="E44" s="366">
        <f t="shared" si="20"/>
        <v>0</v>
      </c>
      <c r="F44" s="366">
        <f t="shared" si="20"/>
        <v>0</v>
      </c>
      <c r="G44" s="366">
        <f>+G25+G35+G38+G42</f>
        <v>0</v>
      </c>
      <c r="H44" s="366">
        <f t="shared" si="20"/>
        <v>0</v>
      </c>
      <c r="I44" s="366">
        <f t="shared" si="20"/>
        <v>0</v>
      </c>
      <c r="J44" s="366">
        <f t="shared" si="20"/>
        <v>0</v>
      </c>
      <c r="K44" s="366">
        <f t="shared" si="20"/>
        <v>0</v>
      </c>
      <c r="L44" s="366">
        <f t="shared" si="20"/>
        <v>0</v>
      </c>
      <c r="M44" s="366">
        <f t="shared" si="20"/>
        <v>0</v>
      </c>
      <c r="N44" s="366">
        <f t="shared" si="20"/>
        <v>0</v>
      </c>
      <c r="O44" s="364">
        <f t="shared" si="20"/>
        <v>0</v>
      </c>
      <c r="P44" s="869">
        <f t="shared" si="11"/>
        <v>0</v>
      </c>
      <c r="Q44" s="1236" t="str">
        <f>IF(P44=0,"-",P44/C44-1)</f>
        <v>-</v>
      </c>
    </row>
    <row r="45" spans="1:22" s="454" customFormat="1" ht="23.25" customHeight="1" thickBot="1">
      <c r="A45" s="451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881"/>
      <c r="Q45" s="453"/>
    </row>
    <row r="46" spans="1:22" ht="33" customHeight="1" thickBot="1">
      <c r="A46" s="354"/>
      <c r="B46" s="2372" t="s">
        <v>668</v>
      </c>
      <c r="C46" s="2373"/>
      <c r="D46" s="2374" t="s">
        <v>641</v>
      </c>
      <c r="E46" s="2375"/>
      <c r="F46" s="2375"/>
      <c r="G46" s="2375"/>
      <c r="H46" s="2375"/>
      <c r="I46" s="2375"/>
      <c r="J46" s="2375"/>
      <c r="K46" s="2375"/>
      <c r="L46" s="2375"/>
      <c r="M46" s="2375"/>
      <c r="N46" s="2375"/>
      <c r="O46" s="2375"/>
      <c r="P46" s="2376"/>
      <c r="Q46" s="355" t="s">
        <v>638</v>
      </c>
    </row>
    <row r="47" spans="1:22" ht="30.75" customHeight="1" thickBot="1">
      <c r="A47" s="356"/>
      <c r="B47" s="357" t="s">
        <v>657</v>
      </c>
      <c r="C47" s="357" t="s">
        <v>703</v>
      </c>
      <c r="D47" s="358" t="s">
        <v>1</v>
      </c>
      <c r="E47" s="359" t="s">
        <v>2</v>
      </c>
      <c r="F47" s="359" t="s">
        <v>3</v>
      </c>
      <c r="G47" s="359" t="s">
        <v>4</v>
      </c>
      <c r="H47" s="359" t="s">
        <v>5</v>
      </c>
      <c r="I47" s="359" t="s">
        <v>6</v>
      </c>
      <c r="J47" s="359" t="s">
        <v>7</v>
      </c>
      <c r="K47" s="359" t="s">
        <v>8</v>
      </c>
      <c r="L47" s="359" t="s">
        <v>9</v>
      </c>
      <c r="M47" s="359" t="s">
        <v>10</v>
      </c>
      <c r="N47" s="359" t="s">
        <v>11</v>
      </c>
      <c r="O47" s="359" t="s">
        <v>12</v>
      </c>
      <c r="P47" s="868" t="s">
        <v>13</v>
      </c>
      <c r="Q47" s="361" t="s">
        <v>619</v>
      </c>
      <c r="S47" s="455" t="s">
        <v>33</v>
      </c>
      <c r="T47" s="455" t="s">
        <v>33</v>
      </c>
      <c r="U47" s="455" t="s">
        <v>33</v>
      </c>
      <c r="V47" s="455" t="s">
        <v>33</v>
      </c>
    </row>
    <row r="48" spans="1:22" ht="22.5" customHeight="1" thickBot="1">
      <c r="A48" s="362" t="s">
        <v>28</v>
      </c>
      <c r="B48" s="363">
        <f>B51+B52+B57</f>
        <v>0</v>
      </c>
      <c r="C48" s="364">
        <f t="shared" ref="C48" si="21">C51+C52+C57</f>
        <v>0</v>
      </c>
      <c r="D48" s="365">
        <f t="shared" ref="D48:O48" si="22">D51+D52+D57</f>
        <v>0</v>
      </c>
      <c r="E48" s="366">
        <f t="shared" si="22"/>
        <v>0</v>
      </c>
      <c r="F48" s="366">
        <f t="shared" si="22"/>
        <v>0</v>
      </c>
      <c r="G48" s="366">
        <f t="shared" si="22"/>
        <v>0</v>
      </c>
      <c r="H48" s="366">
        <f t="shared" si="22"/>
        <v>0</v>
      </c>
      <c r="I48" s="366">
        <f t="shared" si="22"/>
        <v>0</v>
      </c>
      <c r="J48" s="366">
        <f t="shared" si="22"/>
        <v>0</v>
      </c>
      <c r="K48" s="366">
        <f t="shared" si="22"/>
        <v>0</v>
      </c>
      <c r="L48" s="366">
        <f t="shared" si="22"/>
        <v>0</v>
      </c>
      <c r="M48" s="366">
        <f t="shared" si="22"/>
        <v>0</v>
      </c>
      <c r="N48" s="366">
        <f t="shared" si="22"/>
        <v>0</v>
      </c>
      <c r="O48" s="364">
        <f t="shared" si="22"/>
        <v>0</v>
      </c>
      <c r="P48" s="869">
        <f t="shared" ref="P48:P67" si="23">SUM(D48:O48)</f>
        <v>0</v>
      </c>
      <c r="Q48" s="1236" t="str">
        <f>IF(P48=0,"-",P48/C48-1)</f>
        <v>-</v>
      </c>
      <c r="S48" s="456">
        <v>1</v>
      </c>
      <c r="T48" s="456">
        <v>2</v>
      </c>
      <c r="U48" s="456">
        <v>3</v>
      </c>
      <c r="V48" s="456">
        <v>4</v>
      </c>
    </row>
    <row r="49" spans="1:22" ht="16.5" customHeight="1">
      <c r="A49" s="368" t="s">
        <v>15</v>
      </c>
      <c r="B49" s="369"/>
      <c r="C49" s="1445">
        <f>B49/9*12</f>
        <v>0</v>
      </c>
      <c r="D49" s="371">
        <f>+$S$49*D26</f>
        <v>0</v>
      </c>
      <c r="E49" s="373">
        <f t="shared" ref="E49" si="24">+$S$49*E26</f>
        <v>0</v>
      </c>
      <c r="F49" s="373">
        <f>+$S$49*F26</f>
        <v>0</v>
      </c>
      <c r="G49" s="373">
        <f>+$T$49*G26</f>
        <v>0</v>
      </c>
      <c r="H49" s="373">
        <f t="shared" ref="H49" si="25">+$T$49*H26</f>
        <v>0</v>
      </c>
      <c r="I49" s="373">
        <f>+$T$49*I26</f>
        <v>0</v>
      </c>
      <c r="J49" s="373">
        <f>+$U$49*J26</f>
        <v>0</v>
      </c>
      <c r="K49" s="373">
        <f t="shared" ref="K49" si="26">+$U$49*K26</f>
        <v>0</v>
      </c>
      <c r="L49" s="373">
        <f>+$U$49*L26</f>
        <v>0</v>
      </c>
      <c r="M49" s="373">
        <f>+$V$49*M26</f>
        <v>0</v>
      </c>
      <c r="N49" s="373">
        <f>+$V$49*N26</f>
        <v>0</v>
      </c>
      <c r="O49" s="374">
        <f>+$V$49*O26</f>
        <v>0</v>
      </c>
      <c r="P49" s="870">
        <f t="shared" si="23"/>
        <v>0</v>
      </c>
      <c r="Q49" s="1237" t="str">
        <f t="shared" ref="Q49:Q63" si="27">IF(P49=0,"-",P49/C49-1)</f>
        <v>-</v>
      </c>
      <c r="R49" s="376"/>
      <c r="S49" s="457">
        <v>0.01</v>
      </c>
      <c r="T49" s="457">
        <v>0.01</v>
      </c>
      <c r="U49" s="457">
        <v>0.01</v>
      </c>
      <c r="V49" s="457">
        <v>0.01</v>
      </c>
    </row>
    <row r="50" spans="1:22" ht="16.5" hidden="1" customHeight="1">
      <c r="A50" s="377" t="s">
        <v>16</v>
      </c>
      <c r="B50" s="378"/>
      <c r="C50" s="379"/>
      <c r="D50" s="380">
        <f>+$S$50*D27</f>
        <v>0</v>
      </c>
      <c r="E50" s="382">
        <f t="shared" ref="E50:O50" si="28">+$S$50*E27</f>
        <v>0</v>
      </c>
      <c r="F50" s="382">
        <f t="shared" si="28"/>
        <v>0</v>
      </c>
      <c r="G50" s="382">
        <f t="shared" si="28"/>
        <v>0</v>
      </c>
      <c r="H50" s="382">
        <f t="shared" si="28"/>
        <v>0</v>
      </c>
      <c r="I50" s="382">
        <f t="shared" si="28"/>
        <v>0</v>
      </c>
      <c r="J50" s="382">
        <f t="shared" si="28"/>
        <v>0</v>
      </c>
      <c r="K50" s="382">
        <f t="shared" si="28"/>
        <v>0</v>
      </c>
      <c r="L50" s="382">
        <f t="shared" si="28"/>
        <v>0</v>
      </c>
      <c r="M50" s="382">
        <f t="shared" si="28"/>
        <v>0</v>
      </c>
      <c r="N50" s="382">
        <f t="shared" si="28"/>
        <v>0</v>
      </c>
      <c r="O50" s="383">
        <f t="shared" si="28"/>
        <v>0</v>
      </c>
      <c r="P50" s="871">
        <f t="shared" si="23"/>
        <v>0</v>
      </c>
      <c r="Q50" s="1238" t="str">
        <f t="shared" si="27"/>
        <v>-</v>
      </c>
      <c r="S50" s="458"/>
      <c r="T50" s="458"/>
      <c r="U50" s="458"/>
      <c r="V50" s="458"/>
    </row>
    <row r="51" spans="1:22" ht="15" customHeight="1">
      <c r="A51" s="385" t="s">
        <v>27</v>
      </c>
      <c r="B51" s="391">
        <f>+B49+B50</f>
        <v>0</v>
      </c>
      <c r="C51" s="390">
        <f>+C50+C49</f>
        <v>0</v>
      </c>
      <c r="D51" s="388">
        <f>SUM(D49:D50)</f>
        <v>0</v>
      </c>
      <c r="E51" s="389">
        <f t="shared" ref="E51:F51" si="29">SUM(E49:E50)</f>
        <v>0</v>
      </c>
      <c r="F51" s="389">
        <f t="shared" si="29"/>
        <v>0</v>
      </c>
      <c r="G51" s="389">
        <f>SUM(G49:G50)</f>
        <v>0</v>
      </c>
      <c r="H51" s="389">
        <f t="shared" ref="H51" si="30">SUM(H49:H50)</f>
        <v>0</v>
      </c>
      <c r="I51" s="389">
        <f>SUM(I49:I50)</f>
        <v>0</v>
      </c>
      <c r="J51" s="389">
        <f>SUM(J49:J50)</f>
        <v>0</v>
      </c>
      <c r="K51" s="389">
        <f t="shared" ref="K51" si="31">SUM(K49:K50)</f>
        <v>0</v>
      </c>
      <c r="L51" s="389">
        <f>SUM(L49:L50)</f>
        <v>0</v>
      </c>
      <c r="M51" s="389">
        <f>SUM(M49:M50)</f>
        <v>0</v>
      </c>
      <c r="N51" s="389">
        <f>SUM(N49:N50)</f>
        <v>0</v>
      </c>
      <c r="O51" s="390">
        <f>SUM(O49:O50)</f>
        <v>0</v>
      </c>
      <c r="P51" s="872">
        <f t="shared" si="23"/>
        <v>0</v>
      </c>
      <c r="Q51" s="1239" t="str">
        <f t="shared" si="27"/>
        <v>-</v>
      </c>
      <c r="S51" s="459"/>
      <c r="T51" s="459"/>
      <c r="U51" s="459"/>
      <c r="V51" s="459"/>
    </row>
    <row r="52" spans="1:22" ht="16.5" customHeight="1">
      <c r="A52" s="393" t="s">
        <v>17</v>
      </c>
      <c r="B52" s="394"/>
      <c r="C52" s="395"/>
      <c r="D52" s="396">
        <f>+$S$52*D29</f>
        <v>0</v>
      </c>
      <c r="E52" s="397">
        <f t="shared" ref="E52" si="32">+$S$52*E29</f>
        <v>0</v>
      </c>
      <c r="F52" s="397">
        <f>+$S$52*F29</f>
        <v>0</v>
      </c>
      <c r="G52" s="397">
        <f>+$T$52*G29</f>
        <v>0</v>
      </c>
      <c r="H52" s="397">
        <f t="shared" ref="H52" si="33">+$T$52*H29</f>
        <v>0</v>
      </c>
      <c r="I52" s="397">
        <f>+$T$52*I29</f>
        <v>0</v>
      </c>
      <c r="J52" s="397">
        <f>+$U$52*J29</f>
        <v>0</v>
      </c>
      <c r="K52" s="397">
        <f t="shared" ref="K52" si="34">+$U$52*K29</f>
        <v>0</v>
      </c>
      <c r="L52" s="397">
        <f>+$U$52*L29</f>
        <v>0</v>
      </c>
      <c r="M52" s="397">
        <f>+$V$52*M29</f>
        <v>0</v>
      </c>
      <c r="N52" s="397">
        <f>+$V$52*N29</f>
        <v>0</v>
      </c>
      <c r="O52" s="398">
        <f>+$V$52*O29</f>
        <v>0</v>
      </c>
      <c r="P52" s="873">
        <f t="shared" si="23"/>
        <v>0</v>
      </c>
      <c r="Q52" s="1238" t="str">
        <f t="shared" si="27"/>
        <v>-</v>
      </c>
      <c r="S52" s="460">
        <v>0.01</v>
      </c>
      <c r="T52" s="460">
        <v>0.01</v>
      </c>
      <c r="U52" s="460">
        <v>0.01</v>
      </c>
      <c r="V52" s="460">
        <v>0.01</v>
      </c>
    </row>
    <row r="53" spans="1:22" ht="16.5" customHeight="1">
      <c r="A53" s="400" t="s">
        <v>81</v>
      </c>
      <c r="B53" s="386"/>
      <c r="C53" s="404">
        <f>B53/9*12</f>
        <v>0</v>
      </c>
      <c r="D53" s="402">
        <f t="shared" ref="D53:F53" si="35">+$S$53*D30</f>
        <v>0</v>
      </c>
      <c r="E53" s="403">
        <f t="shared" si="35"/>
        <v>0</v>
      </c>
      <c r="F53" s="403">
        <f t="shared" si="35"/>
        <v>0</v>
      </c>
      <c r="G53" s="403">
        <f>+$T$53*G30</f>
        <v>0</v>
      </c>
      <c r="H53" s="403">
        <f t="shared" ref="H53" si="36">+$T$53*H30</f>
        <v>0</v>
      </c>
      <c r="I53" s="403">
        <f>+$T$53*I30</f>
        <v>0</v>
      </c>
      <c r="J53" s="403">
        <f>+$U$53*J30</f>
        <v>0</v>
      </c>
      <c r="K53" s="403">
        <f t="shared" ref="K53" si="37">+$U$53*K30</f>
        <v>0</v>
      </c>
      <c r="L53" s="403">
        <f>+$U$53*L30</f>
        <v>0</v>
      </c>
      <c r="M53" s="403">
        <f>+$V$53*M30</f>
        <v>0</v>
      </c>
      <c r="N53" s="403">
        <f t="shared" ref="N53" si="38">+$V$53*N30</f>
        <v>0</v>
      </c>
      <c r="O53" s="404">
        <f>+$V$53*O30</f>
        <v>0</v>
      </c>
      <c r="P53" s="874">
        <f t="shared" si="23"/>
        <v>0</v>
      </c>
      <c r="Q53" s="1240" t="str">
        <f t="shared" si="27"/>
        <v>-</v>
      </c>
      <c r="S53" s="461">
        <v>9.4999999999999998E-3</v>
      </c>
      <c r="T53" s="461">
        <v>9.4999999999999998E-3</v>
      </c>
      <c r="U53" s="461">
        <v>9.4999999999999998E-3</v>
      </c>
      <c r="V53" s="461">
        <v>9.4999999999999998E-3</v>
      </c>
    </row>
    <row r="54" spans="1:22" ht="16.5" hidden="1" customHeight="1">
      <c r="A54" s="406" t="s">
        <v>82</v>
      </c>
      <c r="B54" s="394"/>
      <c r="C54" s="395"/>
      <c r="D54" s="407">
        <f t="shared" ref="D54:O54" si="39">+$S$54*D31</f>
        <v>0</v>
      </c>
      <c r="E54" s="382">
        <f t="shared" si="39"/>
        <v>0</v>
      </c>
      <c r="F54" s="382">
        <f t="shared" si="39"/>
        <v>0</v>
      </c>
      <c r="G54" s="382">
        <f t="shared" si="39"/>
        <v>0</v>
      </c>
      <c r="H54" s="382">
        <f t="shared" si="39"/>
        <v>0</v>
      </c>
      <c r="I54" s="382">
        <f t="shared" si="39"/>
        <v>0</v>
      </c>
      <c r="J54" s="382">
        <f t="shared" si="39"/>
        <v>0</v>
      </c>
      <c r="K54" s="382">
        <f t="shared" si="39"/>
        <v>0</v>
      </c>
      <c r="L54" s="382">
        <f t="shared" si="39"/>
        <v>0</v>
      </c>
      <c r="M54" s="382">
        <f t="shared" si="39"/>
        <v>0</v>
      </c>
      <c r="N54" s="382">
        <f t="shared" si="39"/>
        <v>0</v>
      </c>
      <c r="O54" s="383">
        <f t="shared" si="39"/>
        <v>0</v>
      </c>
      <c r="P54" s="873">
        <f t="shared" si="23"/>
        <v>0</v>
      </c>
      <c r="Q54" s="1238" t="str">
        <f t="shared" si="27"/>
        <v>-</v>
      </c>
      <c r="S54" s="461">
        <v>1.4800000000000001E-2</v>
      </c>
      <c r="T54" s="461">
        <v>1.4800000000000001E-2</v>
      </c>
      <c r="U54" s="461">
        <v>1.4800000000000001E-2</v>
      </c>
      <c r="V54" s="461">
        <v>1.4800000000000001E-2</v>
      </c>
    </row>
    <row r="55" spans="1:22" ht="16.5" customHeight="1">
      <c r="A55" s="400" t="s">
        <v>83</v>
      </c>
      <c r="B55" s="408"/>
      <c r="C55" s="404">
        <f>B55/10*12</f>
        <v>0</v>
      </c>
      <c r="D55" s="402">
        <f t="shared" ref="D55:F55" si="40">+$S$55*D32</f>
        <v>0</v>
      </c>
      <c r="E55" s="403">
        <f t="shared" si="40"/>
        <v>0</v>
      </c>
      <c r="F55" s="403">
        <f t="shared" si="40"/>
        <v>0</v>
      </c>
      <c r="G55" s="403">
        <f>+$T$55*G32</f>
        <v>0</v>
      </c>
      <c r="H55" s="403">
        <f t="shared" ref="H55" si="41">+$T$55*H32</f>
        <v>0</v>
      </c>
      <c r="I55" s="403">
        <f>+$T$55*I32</f>
        <v>0</v>
      </c>
      <c r="J55" s="403">
        <f>+$U$55*J32</f>
        <v>0</v>
      </c>
      <c r="K55" s="403">
        <f t="shared" ref="K55" si="42">+$U$55*K32</f>
        <v>0</v>
      </c>
      <c r="L55" s="403">
        <f>+$U$55*L32</f>
        <v>0</v>
      </c>
      <c r="M55" s="403">
        <f>+$V$55*M32</f>
        <v>0</v>
      </c>
      <c r="N55" s="403">
        <f t="shared" ref="N55" si="43">+$V$55*N32</f>
        <v>0</v>
      </c>
      <c r="O55" s="404">
        <f>+$V$55*O32</f>
        <v>0</v>
      </c>
      <c r="P55" s="874">
        <f t="shared" si="23"/>
        <v>0</v>
      </c>
      <c r="Q55" s="1240" t="str">
        <f t="shared" si="27"/>
        <v>-</v>
      </c>
      <c r="S55" s="461">
        <v>0.01</v>
      </c>
      <c r="T55" s="461">
        <v>0.01</v>
      </c>
      <c r="U55" s="461">
        <v>0.01</v>
      </c>
      <c r="V55" s="461">
        <v>0.01</v>
      </c>
    </row>
    <row r="56" spans="1:22" ht="16.5" hidden="1" customHeight="1">
      <c r="A56" s="406" t="s">
        <v>84</v>
      </c>
      <c r="B56" s="378"/>
      <c r="C56" s="379"/>
      <c r="D56" s="407">
        <f t="shared" ref="D56:O56" si="44">+$S$56*D33</f>
        <v>0</v>
      </c>
      <c r="E56" s="382">
        <f t="shared" si="44"/>
        <v>0</v>
      </c>
      <c r="F56" s="382">
        <f t="shared" si="44"/>
        <v>0</v>
      </c>
      <c r="G56" s="382">
        <f t="shared" si="44"/>
        <v>0</v>
      </c>
      <c r="H56" s="382">
        <f t="shared" si="44"/>
        <v>0</v>
      </c>
      <c r="I56" s="382">
        <f t="shared" si="44"/>
        <v>0</v>
      </c>
      <c r="J56" s="382">
        <f t="shared" si="44"/>
        <v>0</v>
      </c>
      <c r="K56" s="382">
        <f t="shared" si="44"/>
        <v>0</v>
      </c>
      <c r="L56" s="382">
        <f t="shared" si="44"/>
        <v>0</v>
      </c>
      <c r="M56" s="382">
        <f t="shared" si="44"/>
        <v>0</v>
      </c>
      <c r="N56" s="382">
        <f t="shared" si="44"/>
        <v>0</v>
      </c>
      <c r="O56" s="383">
        <f t="shared" si="44"/>
        <v>0</v>
      </c>
      <c r="P56" s="873">
        <f t="shared" si="23"/>
        <v>0</v>
      </c>
      <c r="Q56" s="1238" t="str">
        <f t="shared" si="27"/>
        <v>-</v>
      </c>
      <c r="S56" s="460"/>
      <c r="T56" s="460"/>
      <c r="U56" s="460"/>
      <c r="V56" s="460"/>
    </row>
    <row r="57" spans="1:22" ht="15" customHeight="1" thickBot="1">
      <c r="A57" s="410" t="s">
        <v>18</v>
      </c>
      <c r="B57" s="411">
        <f t="shared" ref="B57:C57" si="45">SUM(B53:B56)</f>
        <v>0</v>
      </c>
      <c r="C57" s="412">
        <f t="shared" si="45"/>
        <v>0</v>
      </c>
      <c r="D57" s="413">
        <f t="shared" ref="D57:F57" si="46">SUM(D53:D56)</f>
        <v>0</v>
      </c>
      <c r="E57" s="414">
        <f t="shared" si="46"/>
        <v>0</v>
      </c>
      <c r="F57" s="414">
        <f t="shared" si="46"/>
        <v>0</v>
      </c>
      <c r="G57" s="414">
        <f>SUM(G53:G56)</f>
        <v>0</v>
      </c>
      <c r="H57" s="414">
        <f t="shared" ref="H57" si="47">SUM(H53:H56)</f>
        <v>0</v>
      </c>
      <c r="I57" s="414">
        <f>SUM(I53:I56)</f>
        <v>0</v>
      </c>
      <c r="J57" s="414">
        <f>SUM(J53:J56)</f>
        <v>0</v>
      </c>
      <c r="K57" s="414">
        <f t="shared" ref="K57" si="48">SUM(K53:K56)</f>
        <v>0</v>
      </c>
      <c r="L57" s="414">
        <f>SUM(L53:L56)</f>
        <v>0</v>
      </c>
      <c r="M57" s="414">
        <f>SUM(M53:M56)</f>
        <v>0</v>
      </c>
      <c r="N57" s="414">
        <f t="shared" ref="N57" si="49">SUM(N53:N56)</f>
        <v>0</v>
      </c>
      <c r="O57" s="412">
        <f>SUM(O53:O56)</f>
        <v>0</v>
      </c>
      <c r="P57" s="875">
        <f t="shared" si="23"/>
        <v>0</v>
      </c>
      <c r="Q57" s="1241" t="str">
        <f t="shared" si="27"/>
        <v>-</v>
      </c>
      <c r="S57" s="462"/>
      <c r="T57" s="462"/>
      <c r="U57" s="462"/>
      <c r="V57" s="462"/>
    </row>
    <row r="58" spans="1:22" ht="22.5" customHeight="1" thickBot="1">
      <c r="A58" s="362" t="s">
        <v>29</v>
      </c>
      <c r="B58" s="420">
        <f>+B59+B60</f>
        <v>0</v>
      </c>
      <c r="C58" s="416">
        <f t="shared" ref="C58" si="50">SUM(C59:C60)</f>
        <v>0</v>
      </c>
      <c r="D58" s="417">
        <f t="shared" ref="D58:F58" si="51">SUM(D59:D60)</f>
        <v>0</v>
      </c>
      <c r="E58" s="418">
        <f t="shared" si="51"/>
        <v>0</v>
      </c>
      <c r="F58" s="418">
        <f t="shared" si="51"/>
        <v>0</v>
      </c>
      <c r="G58" s="418">
        <f>SUM(G59:G60)</f>
        <v>0</v>
      </c>
      <c r="H58" s="418">
        <f t="shared" ref="H58" si="52">SUM(H59:H60)</f>
        <v>0</v>
      </c>
      <c r="I58" s="418">
        <f>SUM(I59:I60)</f>
        <v>0</v>
      </c>
      <c r="J58" s="418">
        <f>SUM(J59:J60)</f>
        <v>0</v>
      </c>
      <c r="K58" s="418">
        <f t="shared" ref="K58" si="53">SUM(K59:K60)</f>
        <v>0</v>
      </c>
      <c r="L58" s="418">
        <f>SUM(L59:L60)</f>
        <v>0</v>
      </c>
      <c r="M58" s="418">
        <f>SUM(M59:M60)</f>
        <v>0</v>
      </c>
      <c r="N58" s="418">
        <f t="shared" ref="N58" si="54">SUM(N59:N60)</f>
        <v>0</v>
      </c>
      <c r="O58" s="419">
        <f>SUM(O59:O60)</f>
        <v>0</v>
      </c>
      <c r="P58" s="876">
        <f t="shared" si="23"/>
        <v>0</v>
      </c>
      <c r="Q58" s="1242" t="str">
        <f t="shared" si="27"/>
        <v>-</v>
      </c>
      <c r="S58" s="463"/>
      <c r="T58" s="463"/>
      <c r="U58" s="463"/>
      <c r="V58" s="463"/>
    </row>
    <row r="59" spans="1:22" ht="16.5" customHeight="1">
      <c r="A59" s="422" t="s">
        <v>19</v>
      </c>
      <c r="B59" s="423"/>
      <c r="C59" s="424"/>
      <c r="D59" s="425">
        <f>+$S$59*D36</f>
        <v>0</v>
      </c>
      <c r="E59" s="426">
        <f t="shared" ref="E59:F59" si="55">+$S$59*E36</f>
        <v>0</v>
      </c>
      <c r="F59" s="426">
        <f t="shared" si="55"/>
        <v>0</v>
      </c>
      <c r="G59" s="426">
        <f>+$T$59*G36</f>
        <v>0</v>
      </c>
      <c r="H59" s="426">
        <f t="shared" ref="H59" si="56">+$T$59*H36</f>
        <v>0</v>
      </c>
      <c r="I59" s="426">
        <f>+$T$59*I36</f>
        <v>0</v>
      </c>
      <c r="J59" s="426">
        <f>+$U$59*J36</f>
        <v>0</v>
      </c>
      <c r="K59" s="426">
        <f t="shared" ref="K59" si="57">+$U$59*K36</f>
        <v>0</v>
      </c>
      <c r="L59" s="426">
        <f>+$U$59*L36</f>
        <v>0</v>
      </c>
      <c r="M59" s="426">
        <f>+$V$59*M36</f>
        <v>0</v>
      </c>
      <c r="N59" s="426">
        <f t="shared" ref="N59" si="58">+$V$59*N36</f>
        <v>0</v>
      </c>
      <c r="O59" s="427">
        <f>+$V$59*O36</f>
        <v>0</v>
      </c>
      <c r="P59" s="877">
        <f t="shared" si="23"/>
        <v>0</v>
      </c>
      <c r="Q59" s="1243" t="str">
        <f t="shared" si="27"/>
        <v>-</v>
      </c>
      <c r="S59" s="464"/>
      <c r="T59" s="464"/>
      <c r="U59" s="464"/>
      <c r="V59" s="464"/>
    </row>
    <row r="60" spans="1:22" ht="16.5" customHeight="1" thickBot="1">
      <c r="A60" s="430" t="s">
        <v>20</v>
      </c>
      <c r="B60" s="431"/>
      <c r="C60" s="432"/>
      <c r="D60" s="433">
        <f>+$S$60*D37</f>
        <v>0</v>
      </c>
      <c r="E60" s="434">
        <f t="shared" ref="E60:F60" si="59">+$S$60*E37</f>
        <v>0</v>
      </c>
      <c r="F60" s="434">
        <f t="shared" si="59"/>
        <v>0</v>
      </c>
      <c r="G60" s="434">
        <f>+$T$60*G37</f>
        <v>0</v>
      </c>
      <c r="H60" s="434">
        <f t="shared" ref="H60" si="60">+$T$60*H37</f>
        <v>0</v>
      </c>
      <c r="I60" s="434">
        <f>+$T$60*I37</f>
        <v>0</v>
      </c>
      <c r="J60" s="434">
        <f>+$U$60*J37</f>
        <v>0</v>
      </c>
      <c r="K60" s="434">
        <f t="shared" ref="K60" si="61">+$U$60*K37</f>
        <v>0</v>
      </c>
      <c r="L60" s="434">
        <f>+$U$60*L37</f>
        <v>0</v>
      </c>
      <c r="M60" s="434">
        <f>+$V$60*M37</f>
        <v>0</v>
      </c>
      <c r="N60" s="434">
        <f t="shared" ref="N60" si="62">+$V$60*N37</f>
        <v>0</v>
      </c>
      <c r="O60" s="435">
        <f>+$V$60*O37</f>
        <v>0</v>
      </c>
      <c r="P60" s="878">
        <f t="shared" si="23"/>
        <v>0</v>
      </c>
      <c r="Q60" s="1244" t="str">
        <f t="shared" si="27"/>
        <v>-</v>
      </c>
      <c r="S60" s="465"/>
      <c r="T60" s="465"/>
      <c r="U60" s="465"/>
      <c r="V60" s="465"/>
    </row>
    <row r="61" spans="1:22" ht="22.5" customHeight="1" thickBot="1">
      <c r="A61" s="362" t="s">
        <v>30</v>
      </c>
      <c r="B61" s="363">
        <f t="shared" ref="B61:C61" si="63">SUM(B62:B63)</f>
        <v>0</v>
      </c>
      <c r="C61" s="416">
        <f t="shared" si="63"/>
        <v>0</v>
      </c>
      <c r="D61" s="417">
        <f t="shared" ref="D61:F61" si="64">SUM(D62:D63)</f>
        <v>0</v>
      </c>
      <c r="E61" s="418">
        <f t="shared" si="64"/>
        <v>0</v>
      </c>
      <c r="F61" s="418">
        <f t="shared" si="64"/>
        <v>0</v>
      </c>
      <c r="G61" s="418">
        <f>SUM(G62:G63)</f>
        <v>0</v>
      </c>
      <c r="H61" s="418">
        <f t="shared" ref="H61" si="65">SUM(H62:H63)</f>
        <v>0</v>
      </c>
      <c r="I61" s="418">
        <f>SUM(I62:I63)</f>
        <v>0</v>
      </c>
      <c r="J61" s="418">
        <f>SUM(J62:J63)</f>
        <v>0</v>
      </c>
      <c r="K61" s="418">
        <f t="shared" ref="K61" si="66">SUM(K62:K63)</f>
        <v>0</v>
      </c>
      <c r="L61" s="418">
        <f>SUM(L62:L63)</f>
        <v>0</v>
      </c>
      <c r="M61" s="418">
        <f>SUM(M62:M63)</f>
        <v>0</v>
      </c>
      <c r="N61" s="418">
        <f t="shared" ref="N61" si="67">SUM(N62:N63)</f>
        <v>0</v>
      </c>
      <c r="O61" s="419">
        <f>SUM(O62:O63)</f>
        <v>0</v>
      </c>
      <c r="P61" s="876">
        <f t="shared" si="23"/>
        <v>0</v>
      </c>
      <c r="Q61" s="1242" t="str">
        <f t="shared" si="27"/>
        <v>-</v>
      </c>
    </row>
    <row r="62" spans="1:22" ht="16.5" customHeight="1">
      <c r="A62" s="422" t="s">
        <v>106</v>
      </c>
      <c r="B62" s="423"/>
      <c r="C62" s="424"/>
      <c r="D62" s="425">
        <f>+$S$62*D39</f>
        <v>0</v>
      </c>
      <c r="E62" s="426">
        <f t="shared" ref="E62:F62" si="68">+$S$62*E39</f>
        <v>0</v>
      </c>
      <c r="F62" s="426">
        <f t="shared" si="68"/>
        <v>0</v>
      </c>
      <c r="G62" s="426">
        <f>+$T$62*G39</f>
        <v>0</v>
      </c>
      <c r="H62" s="426">
        <f t="shared" ref="H62" si="69">+$T$62*H39</f>
        <v>0</v>
      </c>
      <c r="I62" s="426">
        <f>+$T$62*I39</f>
        <v>0</v>
      </c>
      <c r="J62" s="426">
        <f>+$U$62*J39</f>
        <v>0</v>
      </c>
      <c r="K62" s="426">
        <f t="shared" ref="K62" si="70">+$U$62*K39</f>
        <v>0</v>
      </c>
      <c r="L62" s="426">
        <f>+$U$62*L39</f>
        <v>0</v>
      </c>
      <c r="M62" s="426">
        <f>+$V$62*M39</f>
        <v>0</v>
      </c>
      <c r="N62" s="426">
        <f t="shared" ref="N62" si="71">+$V$62*N39</f>
        <v>0</v>
      </c>
      <c r="O62" s="427">
        <f>+$V$62*O39</f>
        <v>0</v>
      </c>
      <c r="P62" s="877">
        <f t="shared" si="23"/>
        <v>0</v>
      </c>
      <c r="Q62" s="1243" t="str">
        <f t="shared" si="27"/>
        <v>-</v>
      </c>
    </row>
    <row r="63" spans="1:22" ht="16.5" customHeight="1" thickBot="1">
      <c r="A63" s="438" t="s">
        <v>105</v>
      </c>
      <c r="B63" s="439"/>
      <c r="C63" s="440"/>
      <c r="D63" s="441">
        <f>+$S$63*D40</f>
        <v>0</v>
      </c>
      <c r="E63" s="442">
        <f t="shared" ref="E63:F63" si="72">+$S$63*E40</f>
        <v>0</v>
      </c>
      <c r="F63" s="442">
        <f t="shared" si="72"/>
        <v>0</v>
      </c>
      <c r="G63" s="442">
        <f>+$T$63*G40</f>
        <v>0</v>
      </c>
      <c r="H63" s="442">
        <f t="shared" ref="H63" si="73">+$T$63*H40</f>
        <v>0</v>
      </c>
      <c r="I63" s="442">
        <f>+$T$63*I40</f>
        <v>0</v>
      </c>
      <c r="J63" s="442">
        <f>+$U$63*J40</f>
        <v>0</v>
      </c>
      <c r="K63" s="442">
        <f t="shared" ref="K63" si="74">+$U$63*K40</f>
        <v>0</v>
      </c>
      <c r="L63" s="442">
        <f>+$U$63*L40</f>
        <v>0</v>
      </c>
      <c r="M63" s="442">
        <f>+$V$63*M40</f>
        <v>0</v>
      </c>
      <c r="N63" s="442">
        <f t="shared" ref="N63" si="75">+$V$63*N40</f>
        <v>0</v>
      </c>
      <c r="O63" s="443">
        <f>+$V$63*O40</f>
        <v>0</v>
      </c>
      <c r="P63" s="879">
        <f t="shared" si="23"/>
        <v>0</v>
      </c>
      <c r="Q63" s="1245" t="str">
        <f t="shared" si="27"/>
        <v>-</v>
      </c>
    </row>
    <row r="64" spans="1:22" ht="16.5" customHeight="1" thickBot="1">
      <c r="C64" s="353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880"/>
      <c r="Q64" s="447"/>
    </row>
    <row r="65" spans="1:22" ht="22.5" customHeight="1" thickBot="1">
      <c r="A65" s="362" t="s">
        <v>86</v>
      </c>
      <c r="B65" s="363">
        <v>0</v>
      </c>
      <c r="C65" s="364">
        <f>B65/9*12</f>
        <v>0</v>
      </c>
      <c r="D65" s="365">
        <f>+$S$65*D42</f>
        <v>0</v>
      </c>
      <c r="E65" s="366">
        <f t="shared" ref="E65:F65" si="76">+$S$65*E42</f>
        <v>0</v>
      </c>
      <c r="F65" s="366">
        <f t="shared" si="76"/>
        <v>0</v>
      </c>
      <c r="G65" s="366">
        <f>+$T$65*G42</f>
        <v>0</v>
      </c>
      <c r="H65" s="366">
        <f t="shared" ref="H65" si="77">+$T$65*H42</f>
        <v>0</v>
      </c>
      <c r="I65" s="366">
        <f>+$T$65*I42</f>
        <v>0</v>
      </c>
      <c r="J65" s="366">
        <f>+$T$65*J42</f>
        <v>0</v>
      </c>
      <c r="K65" s="366">
        <f t="shared" ref="K65" si="78">+$T$65*K42</f>
        <v>0</v>
      </c>
      <c r="L65" s="366">
        <f>+$U$65*L42</f>
        <v>0</v>
      </c>
      <c r="M65" s="366">
        <f>+$V$65*M42</f>
        <v>0</v>
      </c>
      <c r="N65" s="366">
        <f t="shared" ref="N65" si="79">+$V$65*N42</f>
        <v>0</v>
      </c>
      <c r="O65" s="448">
        <f>+$V$65*O42</f>
        <v>0</v>
      </c>
      <c r="P65" s="869">
        <f t="shared" si="23"/>
        <v>0</v>
      </c>
      <c r="Q65" s="1236" t="str">
        <f>IF(P65=0,"-",P65/C65-1)</f>
        <v>-</v>
      </c>
    </row>
    <row r="66" spans="1:22" ht="16.5" customHeight="1" thickBot="1">
      <c r="A66" s="451"/>
      <c r="B66" s="452"/>
      <c r="C66" s="452"/>
      <c r="D66" s="452"/>
      <c r="E66" s="452"/>
      <c r="F66" s="452"/>
      <c r="G66" s="452"/>
      <c r="H66" s="452"/>
      <c r="I66" s="452"/>
      <c r="J66" s="452"/>
      <c r="K66" s="452"/>
      <c r="L66" s="452"/>
      <c r="M66" s="452"/>
      <c r="N66" s="452"/>
      <c r="O66" s="452"/>
      <c r="P66" s="881">
        <f t="shared" si="23"/>
        <v>0</v>
      </c>
      <c r="Q66" s="453"/>
      <c r="S66" s="466"/>
      <c r="T66" s="466"/>
      <c r="U66" s="466"/>
      <c r="V66" s="466"/>
    </row>
    <row r="67" spans="1:22" s="454" customFormat="1" ht="23.25" customHeight="1" thickBot="1">
      <c r="A67" s="362" t="s">
        <v>32</v>
      </c>
      <c r="B67" s="363">
        <f>+B48+B58+B61+B65</f>
        <v>0</v>
      </c>
      <c r="C67" s="364">
        <f t="shared" ref="C67" si="80">+C48+C58+C61+C65</f>
        <v>0</v>
      </c>
      <c r="D67" s="365">
        <f t="shared" ref="D67:O67" si="81">+D48+D58+D61+D65</f>
        <v>0</v>
      </c>
      <c r="E67" s="366">
        <f t="shared" si="81"/>
        <v>0</v>
      </c>
      <c r="F67" s="366">
        <f t="shared" si="81"/>
        <v>0</v>
      </c>
      <c r="G67" s="366">
        <f t="shared" si="81"/>
        <v>0</v>
      </c>
      <c r="H67" s="366">
        <f t="shared" si="81"/>
        <v>0</v>
      </c>
      <c r="I67" s="366">
        <f t="shared" si="81"/>
        <v>0</v>
      </c>
      <c r="J67" s="366">
        <f t="shared" si="81"/>
        <v>0</v>
      </c>
      <c r="K67" s="366">
        <f t="shared" si="81"/>
        <v>0</v>
      </c>
      <c r="L67" s="366">
        <f t="shared" si="81"/>
        <v>0</v>
      </c>
      <c r="M67" s="366">
        <f t="shared" si="81"/>
        <v>0</v>
      </c>
      <c r="N67" s="366">
        <f t="shared" si="81"/>
        <v>0</v>
      </c>
      <c r="O67" s="364">
        <f t="shared" si="81"/>
        <v>0</v>
      </c>
      <c r="P67" s="869">
        <f t="shared" si="23"/>
        <v>0</v>
      </c>
      <c r="Q67" s="1236" t="str">
        <f>IF(P67=0,"-",P67/C67-1)</f>
        <v>-</v>
      </c>
      <c r="S67" s="467">
        <v>0</v>
      </c>
      <c r="T67" s="467">
        <v>0</v>
      </c>
      <c r="U67" s="467">
        <v>0</v>
      </c>
      <c r="V67" s="467">
        <v>0</v>
      </c>
    </row>
    <row r="68" spans="1:22" ht="15" thickBot="1"/>
    <row r="69" spans="1:22" ht="33" customHeight="1" thickBot="1">
      <c r="A69" s="354"/>
      <c r="B69" s="2372" t="s">
        <v>667</v>
      </c>
      <c r="C69" s="2373"/>
      <c r="D69" s="2374" t="s">
        <v>642</v>
      </c>
      <c r="E69" s="2375"/>
      <c r="F69" s="2375"/>
      <c r="G69" s="2375"/>
      <c r="H69" s="2375"/>
      <c r="I69" s="2375"/>
      <c r="J69" s="2375"/>
      <c r="K69" s="2375"/>
      <c r="L69" s="2375"/>
      <c r="M69" s="2375"/>
      <c r="N69" s="2375"/>
      <c r="O69" s="2375"/>
      <c r="P69" s="2376"/>
      <c r="Q69" s="355" t="s">
        <v>638</v>
      </c>
    </row>
    <row r="70" spans="1:22" ht="30.75" customHeight="1" thickBot="1">
      <c r="A70" s="356"/>
      <c r="B70" s="357" t="s">
        <v>657</v>
      </c>
      <c r="C70" s="357" t="s">
        <v>703</v>
      </c>
      <c r="D70" s="358" t="s">
        <v>1</v>
      </c>
      <c r="E70" s="359" t="s">
        <v>2</v>
      </c>
      <c r="F70" s="359" t="s">
        <v>3</v>
      </c>
      <c r="G70" s="359" t="s">
        <v>4</v>
      </c>
      <c r="H70" s="359" t="s">
        <v>5</v>
      </c>
      <c r="I70" s="359" t="s">
        <v>6</v>
      </c>
      <c r="J70" s="359" t="s">
        <v>7</v>
      </c>
      <c r="K70" s="359" t="s">
        <v>8</v>
      </c>
      <c r="L70" s="359" t="s">
        <v>9</v>
      </c>
      <c r="M70" s="359" t="s">
        <v>10</v>
      </c>
      <c r="N70" s="359" t="s">
        <v>11</v>
      </c>
      <c r="O70" s="359" t="s">
        <v>12</v>
      </c>
      <c r="P70" s="868" t="s">
        <v>13</v>
      </c>
      <c r="Q70" s="361" t="s">
        <v>619</v>
      </c>
    </row>
    <row r="71" spans="1:22" ht="22.5" customHeight="1" thickBot="1">
      <c r="A71" s="362" t="s">
        <v>28</v>
      </c>
      <c r="B71" s="363">
        <f>B74+B75+B80</f>
        <v>0</v>
      </c>
      <c r="C71" s="364">
        <f t="shared" ref="C71" si="82">C74+C75+C80</f>
        <v>0</v>
      </c>
      <c r="D71" s="365">
        <f t="shared" ref="D71:O71" si="83">D74+D75+D80</f>
        <v>0</v>
      </c>
      <c r="E71" s="366">
        <f t="shared" si="83"/>
        <v>0</v>
      </c>
      <c r="F71" s="366">
        <f t="shared" si="83"/>
        <v>0</v>
      </c>
      <c r="G71" s="366">
        <f t="shared" si="83"/>
        <v>0</v>
      </c>
      <c r="H71" s="366">
        <f t="shared" si="83"/>
        <v>0</v>
      </c>
      <c r="I71" s="366">
        <f t="shared" si="83"/>
        <v>0</v>
      </c>
      <c r="J71" s="366">
        <f t="shared" si="83"/>
        <v>0</v>
      </c>
      <c r="K71" s="366">
        <f t="shared" si="83"/>
        <v>0</v>
      </c>
      <c r="L71" s="366">
        <f t="shared" si="83"/>
        <v>0</v>
      </c>
      <c r="M71" s="366">
        <f t="shared" si="83"/>
        <v>0</v>
      </c>
      <c r="N71" s="366">
        <f t="shared" si="83"/>
        <v>0</v>
      </c>
      <c r="O71" s="364">
        <f t="shared" si="83"/>
        <v>0</v>
      </c>
      <c r="P71" s="869">
        <f>SUM(D71:O71)</f>
        <v>0</v>
      </c>
      <c r="Q71" s="1236" t="str">
        <f t="shared" ref="Q71:Q86" si="84">IF(P71=0,"-",P71/C71-1)</f>
        <v>-</v>
      </c>
    </row>
    <row r="72" spans="1:22" ht="16.5" customHeight="1">
      <c r="A72" s="368" t="s">
        <v>15</v>
      </c>
      <c r="B72" s="369">
        <f t="shared" ref="B72:C73" si="85">+B26-B49</f>
        <v>0</v>
      </c>
      <c r="C72" s="370">
        <f t="shared" si="85"/>
        <v>0</v>
      </c>
      <c r="D72" s="371">
        <f t="shared" ref="D72:O72" si="86">+D26-D49</f>
        <v>0</v>
      </c>
      <c r="E72" s="372">
        <f t="shared" si="86"/>
        <v>0</v>
      </c>
      <c r="F72" s="372">
        <f t="shared" si="86"/>
        <v>0</v>
      </c>
      <c r="G72" s="372">
        <f t="shared" si="86"/>
        <v>0</v>
      </c>
      <c r="H72" s="373">
        <f t="shared" si="86"/>
        <v>0</v>
      </c>
      <c r="I72" s="373">
        <f t="shared" si="86"/>
        <v>0</v>
      </c>
      <c r="J72" s="373">
        <f t="shared" si="86"/>
        <v>0</v>
      </c>
      <c r="K72" s="373">
        <f t="shared" si="86"/>
        <v>0</v>
      </c>
      <c r="L72" s="373">
        <f t="shared" si="86"/>
        <v>0</v>
      </c>
      <c r="M72" s="373">
        <f t="shared" si="86"/>
        <v>0</v>
      </c>
      <c r="N72" s="373">
        <f t="shared" si="86"/>
        <v>0</v>
      </c>
      <c r="O72" s="374">
        <f t="shared" si="86"/>
        <v>0</v>
      </c>
      <c r="P72" s="870">
        <f t="shared" ref="P72:P90" si="87">SUM(D72:O72)</f>
        <v>0</v>
      </c>
      <c r="Q72" s="1237" t="str">
        <f t="shared" si="84"/>
        <v>-</v>
      </c>
      <c r="R72" s="376"/>
      <c r="S72" s="376"/>
      <c r="T72" s="376"/>
      <c r="U72" s="376"/>
      <c r="V72" s="376"/>
    </row>
    <row r="73" spans="1:22" ht="16.5" hidden="1" customHeight="1">
      <c r="A73" s="377" t="s">
        <v>16</v>
      </c>
      <c r="B73" s="378">
        <f t="shared" si="85"/>
        <v>0</v>
      </c>
      <c r="C73" s="379">
        <f t="shared" si="85"/>
        <v>0</v>
      </c>
      <c r="D73" s="380">
        <f t="shared" ref="D73:O73" si="88">+D27-D50</f>
        <v>0</v>
      </c>
      <c r="E73" s="381">
        <f t="shared" si="88"/>
        <v>0</v>
      </c>
      <c r="F73" s="381">
        <f t="shared" si="88"/>
        <v>0</v>
      </c>
      <c r="G73" s="381">
        <f t="shared" si="88"/>
        <v>0</v>
      </c>
      <c r="H73" s="382">
        <f t="shared" si="88"/>
        <v>0</v>
      </c>
      <c r="I73" s="382">
        <f t="shared" si="88"/>
        <v>0</v>
      </c>
      <c r="J73" s="382">
        <f t="shared" si="88"/>
        <v>0</v>
      </c>
      <c r="K73" s="382">
        <f t="shared" si="88"/>
        <v>0</v>
      </c>
      <c r="L73" s="382">
        <f t="shared" si="88"/>
        <v>0</v>
      </c>
      <c r="M73" s="382">
        <f t="shared" si="88"/>
        <v>0</v>
      </c>
      <c r="N73" s="382">
        <f t="shared" si="88"/>
        <v>0</v>
      </c>
      <c r="O73" s="383">
        <f t="shared" si="88"/>
        <v>0</v>
      </c>
      <c r="P73" s="871">
        <f t="shared" si="87"/>
        <v>0</v>
      </c>
      <c r="Q73" s="1238" t="str">
        <f t="shared" si="84"/>
        <v>-</v>
      </c>
    </row>
    <row r="74" spans="1:22" ht="15" customHeight="1">
      <c r="A74" s="385" t="s">
        <v>27</v>
      </c>
      <c r="B74" s="391">
        <f>+B72+B73</f>
        <v>0</v>
      </c>
      <c r="C74" s="390">
        <f>+C73+C72</f>
        <v>0</v>
      </c>
      <c r="D74" s="388">
        <f t="shared" ref="D74:O74" si="89">SUM(D72:D73)</f>
        <v>0</v>
      </c>
      <c r="E74" s="389">
        <f t="shared" si="89"/>
        <v>0</v>
      </c>
      <c r="F74" s="389">
        <f t="shared" si="89"/>
        <v>0</v>
      </c>
      <c r="G74" s="389">
        <f t="shared" si="89"/>
        <v>0</v>
      </c>
      <c r="H74" s="389">
        <f t="shared" si="89"/>
        <v>0</v>
      </c>
      <c r="I74" s="389">
        <f t="shared" si="89"/>
        <v>0</v>
      </c>
      <c r="J74" s="389">
        <f t="shared" si="89"/>
        <v>0</v>
      </c>
      <c r="K74" s="389">
        <f t="shared" si="89"/>
        <v>0</v>
      </c>
      <c r="L74" s="389">
        <f t="shared" si="89"/>
        <v>0</v>
      </c>
      <c r="M74" s="389">
        <f t="shared" si="89"/>
        <v>0</v>
      </c>
      <c r="N74" s="389">
        <f t="shared" si="89"/>
        <v>0</v>
      </c>
      <c r="O74" s="390">
        <f t="shared" si="89"/>
        <v>0</v>
      </c>
      <c r="P74" s="872">
        <f t="shared" si="87"/>
        <v>0</v>
      </c>
      <c r="Q74" s="1239" t="str">
        <f t="shared" si="84"/>
        <v>-</v>
      </c>
    </row>
    <row r="75" spans="1:22" ht="16.5" customHeight="1">
      <c r="A75" s="393" t="s">
        <v>17</v>
      </c>
      <c r="B75" s="394">
        <f t="shared" ref="B75:C79" si="90">+B29-B52</f>
        <v>0</v>
      </c>
      <c r="C75" s="395">
        <f t="shared" si="90"/>
        <v>0</v>
      </c>
      <c r="D75" s="396">
        <f t="shared" ref="D75:O75" si="91">+D29-D52</f>
        <v>0</v>
      </c>
      <c r="E75" s="397">
        <f t="shared" si="91"/>
        <v>0</v>
      </c>
      <c r="F75" s="397">
        <f t="shared" si="91"/>
        <v>0</v>
      </c>
      <c r="G75" s="397">
        <f t="shared" si="91"/>
        <v>0</v>
      </c>
      <c r="H75" s="397">
        <f t="shared" si="91"/>
        <v>0</v>
      </c>
      <c r="I75" s="397">
        <f t="shared" si="91"/>
        <v>0</v>
      </c>
      <c r="J75" s="397">
        <f t="shared" si="91"/>
        <v>0</v>
      </c>
      <c r="K75" s="397">
        <f t="shared" si="91"/>
        <v>0</v>
      </c>
      <c r="L75" s="397">
        <f t="shared" si="91"/>
        <v>0</v>
      </c>
      <c r="M75" s="397">
        <f t="shared" si="91"/>
        <v>0</v>
      </c>
      <c r="N75" s="397">
        <f t="shared" si="91"/>
        <v>0</v>
      </c>
      <c r="O75" s="398">
        <f t="shared" si="91"/>
        <v>0</v>
      </c>
      <c r="P75" s="873">
        <f t="shared" si="87"/>
        <v>0</v>
      </c>
      <c r="Q75" s="1238" t="str">
        <f t="shared" si="84"/>
        <v>-</v>
      </c>
    </row>
    <row r="76" spans="1:22" ht="16.5" customHeight="1">
      <c r="A76" s="400" t="s">
        <v>81</v>
      </c>
      <c r="B76" s="386">
        <f t="shared" si="90"/>
        <v>0</v>
      </c>
      <c r="C76" s="401">
        <f t="shared" si="90"/>
        <v>0</v>
      </c>
      <c r="D76" s="388">
        <f>+D30-D53</f>
        <v>0</v>
      </c>
      <c r="E76" s="389">
        <f t="shared" ref="E76:O76" si="92">+E30-E53</f>
        <v>0</v>
      </c>
      <c r="F76" s="389">
        <f t="shared" si="92"/>
        <v>0</v>
      </c>
      <c r="G76" s="389">
        <f t="shared" si="92"/>
        <v>0</v>
      </c>
      <c r="H76" s="389">
        <f t="shared" si="92"/>
        <v>0</v>
      </c>
      <c r="I76" s="389">
        <f t="shared" si="92"/>
        <v>0</v>
      </c>
      <c r="J76" s="389">
        <f t="shared" si="92"/>
        <v>0</v>
      </c>
      <c r="K76" s="389">
        <f t="shared" si="92"/>
        <v>0</v>
      </c>
      <c r="L76" s="389">
        <f t="shared" si="92"/>
        <v>0</v>
      </c>
      <c r="M76" s="389">
        <f t="shared" si="92"/>
        <v>0</v>
      </c>
      <c r="N76" s="389">
        <f t="shared" si="92"/>
        <v>0</v>
      </c>
      <c r="O76" s="390">
        <f t="shared" si="92"/>
        <v>0</v>
      </c>
      <c r="P76" s="874">
        <f t="shared" si="87"/>
        <v>0</v>
      </c>
      <c r="Q76" s="1240" t="str">
        <f t="shared" si="84"/>
        <v>-</v>
      </c>
    </row>
    <row r="77" spans="1:22" ht="16.5" hidden="1" customHeight="1">
      <c r="A77" s="406" t="s">
        <v>82</v>
      </c>
      <c r="B77" s="394">
        <f t="shared" si="90"/>
        <v>0</v>
      </c>
      <c r="C77" s="395">
        <f t="shared" si="90"/>
        <v>0</v>
      </c>
      <c r="D77" s="396">
        <f t="shared" ref="D77:O77" si="93">+D31-D54</f>
        <v>0</v>
      </c>
      <c r="E77" s="397">
        <f t="shared" si="93"/>
        <v>0</v>
      </c>
      <c r="F77" s="397">
        <f t="shared" si="93"/>
        <v>0</v>
      </c>
      <c r="G77" s="397">
        <f t="shared" si="93"/>
        <v>0</v>
      </c>
      <c r="H77" s="397">
        <f t="shared" si="93"/>
        <v>0</v>
      </c>
      <c r="I77" s="397">
        <f t="shared" si="93"/>
        <v>0</v>
      </c>
      <c r="J77" s="397">
        <f t="shared" si="93"/>
        <v>0</v>
      </c>
      <c r="K77" s="397">
        <f t="shared" si="93"/>
        <v>0</v>
      </c>
      <c r="L77" s="397">
        <f t="shared" si="93"/>
        <v>0</v>
      </c>
      <c r="M77" s="397">
        <f t="shared" si="93"/>
        <v>0</v>
      </c>
      <c r="N77" s="397">
        <f t="shared" si="93"/>
        <v>0</v>
      </c>
      <c r="O77" s="398">
        <f t="shared" si="93"/>
        <v>0</v>
      </c>
      <c r="P77" s="873">
        <f>SUM(D77:O77)</f>
        <v>0</v>
      </c>
      <c r="Q77" s="1238" t="str">
        <f t="shared" si="84"/>
        <v>-</v>
      </c>
    </row>
    <row r="78" spans="1:22" ht="16.5" customHeight="1">
      <c r="A78" s="400" t="s">
        <v>83</v>
      </c>
      <c r="B78" s="408">
        <f t="shared" si="90"/>
        <v>0</v>
      </c>
      <c r="C78" s="409">
        <f t="shared" si="90"/>
        <v>0</v>
      </c>
      <c r="D78" s="402">
        <f t="shared" ref="D78:O78" si="94">+D32-D55</f>
        <v>0</v>
      </c>
      <c r="E78" s="403">
        <f t="shared" si="94"/>
        <v>0</v>
      </c>
      <c r="F78" s="403">
        <f t="shared" si="94"/>
        <v>0</v>
      </c>
      <c r="G78" s="403">
        <f t="shared" si="94"/>
        <v>0</v>
      </c>
      <c r="H78" s="403">
        <f t="shared" si="94"/>
        <v>0</v>
      </c>
      <c r="I78" s="403">
        <f t="shared" si="94"/>
        <v>0</v>
      </c>
      <c r="J78" s="403">
        <f t="shared" si="94"/>
        <v>0</v>
      </c>
      <c r="K78" s="403">
        <f t="shared" si="94"/>
        <v>0</v>
      </c>
      <c r="L78" s="403">
        <f t="shared" si="94"/>
        <v>0</v>
      </c>
      <c r="M78" s="403">
        <f t="shared" si="94"/>
        <v>0</v>
      </c>
      <c r="N78" s="403">
        <f t="shared" si="94"/>
        <v>0</v>
      </c>
      <c r="O78" s="404">
        <f t="shared" si="94"/>
        <v>0</v>
      </c>
      <c r="P78" s="874">
        <f t="shared" si="87"/>
        <v>0</v>
      </c>
      <c r="Q78" s="1240" t="str">
        <f t="shared" si="84"/>
        <v>-</v>
      </c>
    </row>
    <row r="79" spans="1:22" ht="16.5" hidden="1" customHeight="1">
      <c r="A79" s="406" t="s">
        <v>84</v>
      </c>
      <c r="B79" s="378">
        <f t="shared" si="90"/>
        <v>0</v>
      </c>
      <c r="C79" s="379">
        <f t="shared" si="90"/>
        <v>0</v>
      </c>
      <c r="D79" s="407">
        <f t="shared" ref="D79:O79" si="95">+D33-D56</f>
        <v>0</v>
      </c>
      <c r="E79" s="382">
        <f t="shared" si="95"/>
        <v>0</v>
      </c>
      <c r="F79" s="382">
        <f t="shared" si="95"/>
        <v>0</v>
      </c>
      <c r="G79" s="382">
        <f t="shared" si="95"/>
        <v>0</v>
      </c>
      <c r="H79" s="382">
        <f t="shared" si="95"/>
        <v>0</v>
      </c>
      <c r="I79" s="381">
        <f t="shared" si="95"/>
        <v>0</v>
      </c>
      <c r="J79" s="381">
        <f t="shared" si="95"/>
        <v>0</v>
      </c>
      <c r="K79" s="382">
        <f t="shared" si="95"/>
        <v>0</v>
      </c>
      <c r="L79" s="382">
        <f t="shared" si="95"/>
        <v>0</v>
      </c>
      <c r="M79" s="382">
        <f t="shared" si="95"/>
        <v>0</v>
      </c>
      <c r="N79" s="382">
        <f t="shared" si="95"/>
        <v>0</v>
      </c>
      <c r="O79" s="383">
        <f t="shared" si="95"/>
        <v>0</v>
      </c>
      <c r="P79" s="873">
        <f t="shared" si="87"/>
        <v>0</v>
      </c>
      <c r="Q79" s="1238" t="str">
        <f t="shared" si="84"/>
        <v>-</v>
      </c>
      <c r="S79" s="353"/>
      <c r="T79" s="353"/>
      <c r="U79" s="353"/>
      <c r="V79" s="353"/>
    </row>
    <row r="80" spans="1:22" ht="15" customHeight="1" thickBot="1">
      <c r="A80" s="410" t="s">
        <v>18</v>
      </c>
      <c r="B80" s="411">
        <f t="shared" ref="B80:C80" si="96">SUM(B76:B79)</f>
        <v>0</v>
      </c>
      <c r="C80" s="412">
        <f t="shared" si="96"/>
        <v>0</v>
      </c>
      <c r="D80" s="413">
        <f t="shared" ref="D80:O80" si="97">SUM(D76:D79)</f>
        <v>0</v>
      </c>
      <c r="E80" s="414">
        <f t="shared" si="97"/>
        <v>0</v>
      </c>
      <c r="F80" s="414">
        <f t="shared" si="97"/>
        <v>0</v>
      </c>
      <c r="G80" s="414">
        <f t="shared" si="97"/>
        <v>0</v>
      </c>
      <c r="H80" s="414">
        <f t="shared" si="97"/>
        <v>0</v>
      </c>
      <c r="I80" s="414">
        <f t="shared" si="97"/>
        <v>0</v>
      </c>
      <c r="J80" s="414">
        <f t="shared" si="97"/>
        <v>0</v>
      </c>
      <c r="K80" s="414">
        <f t="shared" si="97"/>
        <v>0</v>
      </c>
      <c r="L80" s="414">
        <f t="shared" si="97"/>
        <v>0</v>
      </c>
      <c r="M80" s="414">
        <f t="shared" si="97"/>
        <v>0</v>
      </c>
      <c r="N80" s="414">
        <f t="shared" si="97"/>
        <v>0</v>
      </c>
      <c r="O80" s="412">
        <f t="shared" si="97"/>
        <v>0</v>
      </c>
      <c r="P80" s="875">
        <f t="shared" si="87"/>
        <v>0</v>
      </c>
      <c r="Q80" s="1241" t="str">
        <f t="shared" si="84"/>
        <v>-</v>
      </c>
    </row>
    <row r="81" spans="1:22" ht="22.5" customHeight="1" thickBot="1">
      <c r="A81" s="362" t="s">
        <v>29</v>
      </c>
      <c r="B81" s="420">
        <f t="shared" ref="B81:C86" si="98">+B35-B58</f>
        <v>0</v>
      </c>
      <c r="C81" s="416">
        <f t="shared" si="98"/>
        <v>0</v>
      </c>
      <c r="D81" s="417">
        <f t="shared" ref="D81:O81" si="99">+D35-D58</f>
        <v>0</v>
      </c>
      <c r="E81" s="418">
        <f t="shared" si="99"/>
        <v>0</v>
      </c>
      <c r="F81" s="418">
        <f t="shared" si="99"/>
        <v>0</v>
      </c>
      <c r="G81" s="418">
        <f t="shared" si="99"/>
        <v>0</v>
      </c>
      <c r="H81" s="418">
        <f t="shared" si="99"/>
        <v>0</v>
      </c>
      <c r="I81" s="418">
        <f t="shared" si="99"/>
        <v>0</v>
      </c>
      <c r="J81" s="418">
        <f t="shared" si="99"/>
        <v>0</v>
      </c>
      <c r="K81" s="418">
        <f t="shared" si="99"/>
        <v>0</v>
      </c>
      <c r="L81" s="418">
        <f t="shared" si="99"/>
        <v>0</v>
      </c>
      <c r="M81" s="418">
        <f t="shared" si="99"/>
        <v>0</v>
      </c>
      <c r="N81" s="418">
        <f t="shared" si="99"/>
        <v>0</v>
      </c>
      <c r="O81" s="419">
        <f t="shared" si="99"/>
        <v>0</v>
      </c>
      <c r="P81" s="876">
        <f t="shared" si="87"/>
        <v>0</v>
      </c>
      <c r="Q81" s="1242" t="str">
        <f t="shared" si="84"/>
        <v>-</v>
      </c>
    </row>
    <row r="82" spans="1:22" ht="16.5" customHeight="1">
      <c r="A82" s="422" t="s">
        <v>19</v>
      </c>
      <c r="B82" s="423">
        <f t="shared" si="98"/>
        <v>0</v>
      </c>
      <c r="C82" s="424">
        <f t="shared" si="98"/>
        <v>0</v>
      </c>
      <c r="D82" s="425">
        <f t="shared" ref="D82:O82" si="100">+D36-D59</f>
        <v>0</v>
      </c>
      <c r="E82" s="426">
        <f t="shared" si="100"/>
        <v>0</v>
      </c>
      <c r="F82" s="426">
        <f t="shared" si="100"/>
        <v>0</v>
      </c>
      <c r="G82" s="426">
        <f t="shared" si="100"/>
        <v>0</v>
      </c>
      <c r="H82" s="426">
        <f t="shared" si="100"/>
        <v>0</v>
      </c>
      <c r="I82" s="426">
        <f t="shared" si="100"/>
        <v>0</v>
      </c>
      <c r="J82" s="426">
        <f t="shared" si="100"/>
        <v>0</v>
      </c>
      <c r="K82" s="426">
        <f t="shared" si="100"/>
        <v>0</v>
      </c>
      <c r="L82" s="426">
        <f t="shared" si="100"/>
        <v>0</v>
      </c>
      <c r="M82" s="426">
        <f t="shared" si="100"/>
        <v>0</v>
      </c>
      <c r="N82" s="426">
        <f t="shared" si="100"/>
        <v>0</v>
      </c>
      <c r="O82" s="427">
        <f t="shared" si="100"/>
        <v>0</v>
      </c>
      <c r="P82" s="877">
        <f t="shared" si="87"/>
        <v>0</v>
      </c>
      <c r="Q82" s="1243" t="str">
        <f t="shared" si="84"/>
        <v>-</v>
      </c>
    </row>
    <row r="83" spans="1:22" ht="16.5" customHeight="1" thickBot="1">
      <c r="A83" s="430" t="s">
        <v>20</v>
      </c>
      <c r="B83" s="431">
        <f t="shared" si="98"/>
        <v>0</v>
      </c>
      <c r="C83" s="432">
        <f t="shared" si="98"/>
        <v>0</v>
      </c>
      <c r="D83" s="433">
        <f t="shared" ref="D83:O83" si="101">+D37-D60</f>
        <v>0</v>
      </c>
      <c r="E83" s="434">
        <f t="shared" si="101"/>
        <v>0</v>
      </c>
      <c r="F83" s="434">
        <f t="shared" si="101"/>
        <v>0</v>
      </c>
      <c r="G83" s="434">
        <f t="shared" si="101"/>
        <v>0</v>
      </c>
      <c r="H83" s="434">
        <f t="shared" si="101"/>
        <v>0</v>
      </c>
      <c r="I83" s="434">
        <f t="shared" si="101"/>
        <v>0</v>
      </c>
      <c r="J83" s="434">
        <f t="shared" si="101"/>
        <v>0</v>
      </c>
      <c r="K83" s="434">
        <f t="shared" si="101"/>
        <v>0</v>
      </c>
      <c r="L83" s="434">
        <f t="shared" si="101"/>
        <v>0</v>
      </c>
      <c r="M83" s="434">
        <f t="shared" si="101"/>
        <v>0</v>
      </c>
      <c r="N83" s="434">
        <f t="shared" si="101"/>
        <v>0</v>
      </c>
      <c r="O83" s="435">
        <f t="shared" si="101"/>
        <v>0</v>
      </c>
      <c r="P83" s="878">
        <f t="shared" si="87"/>
        <v>0</v>
      </c>
      <c r="Q83" s="1244" t="str">
        <f t="shared" si="84"/>
        <v>-</v>
      </c>
    </row>
    <row r="84" spans="1:22" ht="22.5" customHeight="1" thickBot="1">
      <c r="A84" s="362" t="s">
        <v>30</v>
      </c>
      <c r="B84" s="363">
        <f t="shared" si="98"/>
        <v>0</v>
      </c>
      <c r="C84" s="364">
        <f t="shared" si="98"/>
        <v>0</v>
      </c>
      <c r="D84" s="365">
        <f t="shared" ref="D84:O84" si="102">+D38-D61</f>
        <v>0</v>
      </c>
      <c r="E84" s="366">
        <f t="shared" si="102"/>
        <v>0</v>
      </c>
      <c r="F84" s="366">
        <f t="shared" si="102"/>
        <v>0</v>
      </c>
      <c r="G84" s="366">
        <f t="shared" si="102"/>
        <v>0</v>
      </c>
      <c r="H84" s="366">
        <f t="shared" si="102"/>
        <v>0</v>
      </c>
      <c r="I84" s="366">
        <f t="shared" si="102"/>
        <v>0</v>
      </c>
      <c r="J84" s="366">
        <f t="shared" si="102"/>
        <v>0</v>
      </c>
      <c r="K84" s="366">
        <f t="shared" si="102"/>
        <v>0</v>
      </c>
      <c r="L84" s="366">
        <f t="shared" si="102"/>
        <v>0</v>
      </c>
      <c r="M84" s="366">
        <f t="shared" si="102"/>
        <v>0</v>
      </c>
      <c r="N84" s="366">
        <f t="shared" si="102"/>
        <v>0</v>
      </c>
      <c r="O84" s="448">
        <f t="shared" si="102"/>
        <v>0</v>
      </c>
      <c r="P84" s="869">
        <f t="shared" si="87"/>
        <v>0</v>
      </c>
      <c r="Q84" s="1236" t="str">
        <f t="shared" si="84"/>
        <v>-</v>
      </c>
    </row>
    <row r="85" spans="1:22" ht="16.5" customHeight="1">
      <c r="A85" s="422" t="s">
        <v>106</v>
      </c>
      <c r="B85" s="423">
        <f t="shared" si="98"/>
        <v>0</v>
      </c>
      <c r="C85" s="424">
        <f t="shared" si="98"/>
        <v>0</v>
      </c>
      <c r="D85" s="425">
        <f t="shared" ref="D85:O85" si="103">+D39-D62</f>
        <v>0</v>
      </c>
      <c r="E85" s="426">
        <f t="shared" si="103"/>
        <v>0</v>
      </c>
      <c r="F85" s="426">
        <f t="shared" si="103"/>
        <v>0</v>
      </c>
      <c r="G85" s="426">
        <f t="shared" si="103"/>
        <v>0</v>
      </c>
      <c r="H85" s="426">
        <f t="shared" si="103"/>
        <v>0</v>
      </c>
      <c r="I85" s="426">
        <f t="shared" si="103"/>
        <v>0</v>
      </c>
      <c r="J85" s="426">
        <f t="shared" si="103"/>
        <v>0</v>
      </c>
      <c r="K85" s="426">
        <f t="shared" si="103"/>
        <v>0</v>
      </c>
      <c r="L85" s="426">
        <f t="shared" si="103"/>
        <v>0</v>
      </c>
      <c r="M85" s="426">
        <f t="shared" si="103"/>
        <v>0</v>
      </c>
      <c r="N85" s="426">
        <f t="shared" si="103"/>
        <v>0</v>
      </c>
      <c r="O85" s="427">
        <f t="shared" si="103"/>
        <v>0</v>
      </c>
      <c r="P85" s="877">
        <f t="shared" si="87"/>
        <v>0</v>
      </c>
      <c r="Q85" s="1243" t="str">
        <f t="shared" si="84"/>
        <v>-</v>
      </c>
    </row>
    <row r="86" spans="1:22" ht="16.5" customHeight="1" thickBot="1">
      <c r="A86" s="438" t="s">
        <v>105</v>
      </c>
      <c r="B86" s="439">
        <f t="shared" si="98"/>
        <v>0</v>
      </c>
      <c r="C86" s="440">
        <f t="shared" si="98"/>
        <v>0</v>
      </c>
      <c r="D86" s="441">
        <f t="shared" ref="D86:O86" si="104">+D40-D63</f>
        <v>0</v>
      </c>
      <c r="E86" s="442">
        <f t="shared" si="104"/>
        <v>0</v>
      </c>
      <c r="F86" s="442">
        <f t="shared" si="104"/>
        <v>0</v>
      </c>
      <c r="G86" s="442">
        <f t="shared" si="104"/>
        <v>0</v>
      </c>
      <c r="H86" s="442">
        <f t="shared" si="104"/>
        <v>0</v>
      </c>
      <c r="I86" s="442">
        <f t="shared" si="104"/>
        <v>0</v>
      </c>
      <c r="J86" s="442">
        <f t="shared" si="104"/>
        <v>0</v>
      </c>
      <c r="K86" s="442">
        <f t="shared" si="104"/>
        <v>0</v>
      </c>
      <c r="L86" s="442">
        <f t="shared" si="104"/>
        <v>0</v>
      </c>
      <c r="M86" s="442">
        <f t="shared" si="104"/>
        <v>0</v>
      </c>
      <c r="N86" s="442">
        <f t="shared" si="104"/>
        <v>0</v>
      </c>
      <c r="O86" s="443">
        <f t="shared" si="104"/>
        <v>0</v>
      </c>
      <c r="P86" s="879">
        <f t="shared" si="87"/>
        <v>0</v>
      </c>
      <c r="Q86" s="1245" t="str">
        <f t="shared" si="84"/>
        <v>-</v>
      </c>
    </row>
    <row r="87" spans="1:22" ht="16.5" customHeight="1" thickBot="1">
      <c r="C87" s="353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880"/>
      <c r="Q87" s="447"/>
    </row>
    <row r="88" spans="1:22" ht="22.5" customHeight="1" thickBot="1">
      <c r="A88" s="362" t="s">
        <v>86</v>
      </c>
      <c r="B88" s="363">
        <f t="shared" ref="B88:C88" si="105">+B42-B65</f>
        <v>0</v>
      </c>
      <c r="C88" s="364">
        <f t="shared" si="105"/>
        <v>0</v>
      </c>
      <c r="D88" s="365">
        <f t="shared" ref="D88:O88" si="106">+D42-D65</f>
        <v>0</v>
      </c>
      <c r="E88" s="366">
        <f t="shared" si="106"/>
        <v>0</v>
      </c>
      <c r="F88" s="366">
        <f t="shared" si="106"/>
        <v>0</v>
      </c>
      <c r="G88" s="366">
        <f t="shared" si="106"/>
        <v>0</v>
      </c>
      <c r="H88" s="366">
        <f t="shared" si="106"/>
        <v>0</v>
      </c>
      <c r="I88" s="366">
        <f t="shared" si="106"/>
        <v>0</v>
      </c>
      <c r="J88" s="366">
        <f t="shared" si="106"/>
        <v>0</v>
      </c>
      <c r="K88" s="366">
        <f t="shared" si="106"/>
        <v>0</v>
      </c>
      <c r="L88" s="366">
        <f t="shared" si="106"/>
        <v>0</v>
      </c>
      <c r="M88" s="366">
        <f t="shared" si="106"/>
        <v>0</v>
      </c>
      <c r="N88" s="366">
        <f t="shared" si="106"/>
        <v>0</v>
      </c>
      <c r="O88" s="448">
        <f t="shared" si="106"/>
        <v>0</v>
      </c>
      <c r="P88" s="869">
        <f t="shared" si="87"/>
        <v>0</v>
      </c>
      <c r="Q88" s="1236" t="str">
        <f>IF(P88=0,"-",P88/C88-1)</f>
        <v>-</v>
      </c>
    </row>
    <row r="89" spans="1:22" s="454" customFormat="1" ht="14.25" customHeight="1" thickBot="1">
      <c r="A89" s="451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881">
        <f t="shared" si="87"/>
        <v>0</v>
      </c>
      <c r="Q89" s="453"/>
    </row>
    <row r="90" spans="1:22" ht="22.5" customHeight="1" thickBot="1">
      <c r="A90" s="362" t="s">
        <v>72</v>
      </c>
      <c r="B90" s="363">
        <f>+B71+B81+B84+B88</f>
        <v>0</v>
      </c>
      <c r="C90" s="364">
        <f t="shared" ref="C90" si="107">+C71+C81+C84+C88</f>
        <v>0</v>
      </c>
      <c r="D90" s="365">
        <f t="shared" ref="D90:O90" si="108">+D71+D81+D84+D88</f>
        <v>0</v>
      </c>
      <c r="E90" s="366">
        <f t="shared" si="108"/>
        <v>0</v>
      </c>
      <c r="F90" s="366">
        <f t="shared" si="108"/>
        <v>0</v>
      </c>
      <c r="G90" s="366">
        <f t="shared" si="108"/>
        <v>0</v>
      </c>
      <c r="H90" s="366">
        <f t="shared" si="108"/>
        <v>0</v>
      </c>
      <c r="I90" s="366">
        <f t="shared" si="108"/>
        <v>0</v>
      </c>
      <c r="J90" s="366">
        <f t="shared" si="108"/>
        <v>0</v>
      </c>
      <c r="K90" s="366">
        <f t="shared" si="108"/>
        <v>0</v>
      </c>
      <c r="L90" s="366">
        <f t="shared" si="108"/>
        <v>0</v>
      </c>
      <c r="M90" s="366">
        <f t="shared" si="108"/>
        <v>0</v>
      </c>
      <c r="N90" s="366">
        <f t="shared" si="108"/>
        <v>0</v>
      </c>
      <c r="O90" s="448">
        <f t="shared" si="108"/>
        <v>0</v>
      </c>
      <c r="P90" s="869">
        <f t="shared" si="87"/>
        <v>0</v>
      </c>
      <c r="Q90" s="1236" t="str">
        <f>IF(P90=0,"-",P90/C90-1)</f>
        <v>-</v>
      </c>
    </row>
    <row r="91" spans="1:22" ht="15" thickBot="1"/>
    <row r="92" spans="1:22" ht="33" customHeight="1" thickBot="1">
      <c r="A92" s="354"/>
      <c r="B92" s="2372" t="s">
        <v>666</v>
      </c>
      <c r="C92" s="2373"/>
      <c r="D92" s="2374" t="s">
        <v>652</v>
      </c>
      <c r="E92" s="2375"/>
      <c r="F92" s="2375"/>
      <c r="G92" s="2375"/>
      <c r="H92" s="2375"/>
      <c r="I92" s="2375"/>
      <c r="J92" s="2375"/>
      <c r="K92" s="2375"/>
      <c r="L92" s="2375"/>
      <c r="M92" s="2375"/>
      <c r="N92" s="2375"/>
      <c r="O92" s="2375"/>
      <c r="P92" s="2376"/>
      <c r="Q92" s="355" t="s">
        <v>638</v>
      </c>
    </row>
    <row r="93" spans="1:22" ht="30.75" customHeight="1" thickBot="1">
      <c r="A93" s="356"/>
      <c r="B93" s="357" t="s">
        <v>657</v>
      </c>
      <c r="C93" s="357" t="s">
        <v>703</v>
      </c>
      <c r="D93" s="358" t="s">
        <v>1</v>
      </c>
      <c r="E93" s="359" t="s">
        <v>2</v>
      </c>
      <c r="F93" s="359" t="s">
        <v>3</v>
      </c>
      <c r="G93" s="359" t="s">
        <v>4</v>
      </c>
      <c r="H93" s="359" t="s">
        <v>5</v>
      </c>
      <c r="I93" s="359" t="s">
        <v>6</v>
      </c>
      <c r="J93" s="359" t="s">
        <v>7</v>
      </c>
      <c r="K93" s="359" t="s">
        <v>8</v>
      </c>
      <c r="L93" s="359" t="s">
        <v>9</v>
      </c>
      <c r="M93" s="359" t="s">
        <v>10</v>
      </c>
      <c r="N93" s="359" t="s">
        <v>11</v>
      </c>
      <c r="O93" s="359" t="s">
        <v>12</v>
      </c>
      <c r="P93" s="868" t="s">
        <v>13</v>
      </c>
      <c r="Q93" s="361" t="s">
        <v>619</v>
      </c>
    </row>
    <row r="94" spans="1:22" ht="22.5" customHeight="1" thickBot="1">
      <c r="A94" s="362" t="s">
        <v>28</v>
      </c>
      <c r="B94" s="363">
        <f>B97+B98+B103</f>
        <v>0</v>
      </c>
      <c r="C94" s="364">
        <f t="shared" ref="C94" si="109">C97+C98+C103</f>
        <v>0</v>
      </c>
      <c r="D94" s="365">
        <f t="shared" ref="D94:P94" si="110">D97+D98+D103</f>
        <v>0</v>
      </c>
      <c r="E94" s="366">
        <f t="shared" si="110"/>
        <v>0</v>
      </c>
      <c r="F94" s="366">
        <f t="shared" si="110"/>
        <v>0</v>
      </c>
      <c r="G94" s="366">
        <f t="shared" si="110"/>
        <v>0</v>
      </c>
      <c r="H94" s="366">
        <f t="shared" si="110"/>
        <v>0</v>
      </c>
      <c r="I94" s="366">
        <f t="shared" si="110"/>
        <v>0</v>
      </c>
      <c r="J94" s="366">
        <f t="shared" si="110"/>
        <v>0</v>
      </c>
      <c r="K94" s="366">
        <f t="shared" si="110"/>
        <v>0</v>
      </c>
      <c r="L94" s="366">
        <f t="shared" si="110"/>
        <v>0</v>
      </c>
      <c r="M94" s="366">
        <f t="shared" si="110"/>
        <v>0</v>
      </c>
      <c r="N94" s="366">
        <f t="shared" si="110"/>
        <v>0</v>
      </c>
      <c r="O94" s="364">
        <f t="shared" si="110"/>
        <v>0</v>
      </c>
      <c r="P94" s="869">
        <f t="shared" si="110"/>
        <v>0</v>
      </c>
      <c r="Q94" s="1236" t="str">
        <f t="shared" ref="Q94:Q109" si="111">IF(P94=0,"-",P94/C94-1)</f>
        <v>-</v>
      </c>
    </row>
    <row r="95" spans="1:22" ht="16.5" customHeight="1">
      <c r="A95" s="368" t="s">
        <v>15</v>
      </c>
      <c r="B95" s="369"/>
      <c r="C95" s="1445">
        <f>B95/9*12</f>
        <v>0</v>
      </c>
      <c r="D95" s="371">
        <f>D5*'Alış Fiyat'!D245</f>
        <v>0</v>
      </c>
      <c r="E95" s="372">
        <f>E5*'Alış Fiyat'!E245</f>
        <v>0</v>
      </c>
      <c r="F95" s="372">
        <f>F5*'Alış Fiyat'!F245</f>
        <v>0</v>
      </c>
      <c r="G95" s="372">
        <f>G5*'Alış Fiyat'!G245</f>
        <v>0</v>
      </c>
      <c r="H95" s="373">
        <f>H5*'Alış Fiyat'!H245</f>
        <v>0</v>
      </c>
      <c r="I95" s="373">
        <f>I5*'Alış Fiyat'!I245</f>
        <v>0</v>
      </c>
      <c r="J95" s="373">
        <f>J5*'Alış Fiyat'!J245</f>
        <v>0</v>
      </c>
      <c r="K95" s="373">
        <f>K5*'Alış Fiyat'!K245</f>
        <v>0</v>
      </c>
      <c r="L95" s="373">
        <f>L5*'Alış Fiyat'!L245</f>
        <v>0</v>
      </c>
      <c r="M95" s="373">
        <f>M5*'Alış Fiyat'!M245</f>
        <v>0</v>
      </c>
      <c r="N95" s="373">
        <f>N5*'Alış Fiyat'!N245</f>
        <v>0</v>
      </c>
      <c r="O95" s="374">
        <f>O5*'Alış Fiyat'!O245</f>
        <v>0</v>
      </c>
      <c r="P95" s="870">
        <f t="shared" ref="P95:P102" si="112">SUM(D95:O95)</f>
        <v>0</v>
      </c>
      <c r="Q95" s="1237" t="str">
        <f t="shared" si="111"/>
        <v>-</v>
      </c>
      <c r="R95" s="376"/>
      <c r="S95" s="376"/>
      <c r="T95" s="376"/>
      <c r="U95" s="376"/>
      <c r="V95" s="376"/>
    </row>
    <row r="96" spans="1:22" ht="16.5" hidden="1" customHeight="1">
      <c r="A96" s="377" t="s">
        <v>16</v>
      </c>
      <c r="B96" s="378">
        <f>B6*'Alış Fiyat'!B294</f>
        <v>0</v>
      </c>
      <c r="C96" s="379">
        <f>C6*'Alış Fiyat'!C294</f>
        <v>0</v>
      </c>
      <c r="D96" s="380">
        <f>D6*'Alış Fiyat'!D246</f>
        <v>0</v>
      </c>
      <c r="E96" s="381">
        <f>E6*'Alış Fiyat'!E246</f>
        <v>0</v>
      </c>
      <c r="F96" s="381">
        <f>F6*'Alış Fiyat'!F246</f>
        <v>0</v>
      </c>
      <c r="G96" s="381">
        <f>G6*'Alış Fiyat'!G246</f>
        <v>0</v>
      </c>
      <c r="H96" s="382">
        <f>H6*'Alış Fiyat'!H246</f>
        <v>0</v>
      </c>
      <c r="I96" s="382">
        <f>I6*'Alış Fiyat'!I246</f>
        <v>0</v>
      </c>
      <c r="J96" s="382">
        <f>J6*'Alış Fiyat'!J246</f>
        <v>0</v>
      </c>
      <c r="K96" s="382">
        <f>K6*'Alış Fiyat'!K246</f>
        <v>0</v>
      </c>
      <c r="L96" s="382">
        <f>L6*'Alış Fiyat'!L246</f>
        <v>0</v>
      </c>
      <c r="M96" s="382">
        <f>M6*'Alış Fiyat'!M246</f>
        <v>0</v>
      </c>
      <c r="N96" s="382">
        <f>N6*'Alış Fiyat'!N246</f>
        <v>0</v>
      </c>
      <c r="O96" s="383">
        <f>O6*'Alış Fiyat'!O246</f>
        <v>0</v>
      </c>
      <c r="P96" s="871">
        <f t="shared" si="112"/>
        <v>0</v>
      </c>
      <c r="Q96" s="1238" t="str">
        <f t="shared" si="111"/>
        <v>-</v>
      </c>
    </row>
    <row r="97" spans="1:22" ht="15" customHeight="1">
      <c r="A97" s="385" t="s">
        <v>27</v>
      </c>
      <c r="B97" s="391">
        <f>+B95+B96</f>
        <v>0</v>
      </c>
      <c r="C97" s="390">
        <f>+C96+C95</f>
        <v>0</v>
      </c>
      <c r="D97" s="388">
        <f t="shared" ref="D97:O97" si="113">SUM(D95:D96)</f>
        <v>0</v>
      </c>
      <c r="E97" s="389">
        <f t="shared" si="113"/>
        <v>0</v>
      </c>
      <c r="F97" s="389">
        <f t="shared" si="113"/>
        <v>0</v>
      </c>
      <c r="G97" s="389">
        <f t="shared" si="113"/>
        <v>0</v>
      </c>
      <c r="H97" s="389">
        <f t="shared" si="113"/>
        <v>0</v>
      </c>
      <c r="I97" s="389">
        <f t="shared" si="113"/>
        <v>0</v>
      </c>
      <c r="J97" s="389">
        <f t="shared" si="113"/>
        <v>0</v>
      </c>
      <c r="K97" s="389">
        <f t="shared" si="113"/>
        <v>0</v>
      </c>
      <c r="L97" s="389">
        <f t="shared" si="113"/>
        <v>0</v>
      </c>
      <c r="M97" s="389">
        <f t="shared" si="113"/>
        <v>0</v>
      </c>
      <c r="N97" s="389">
        <f t="shared" si="113"/>
        <v>0</v>
      </c>
      <c r="O97" s="390">
        <f t="shared" si="113"/>
        <v>0</v>
      </c>
      <c r="P97" s="872">
        <f t="shared" si="112"/>
        <v>0</v>
      </c>
      <c r="Q97" s="1239" t="str">
        <f t="shared" si="111"/>
        <v>-</v>
      </c>
    </row>
    <row r="98" spans="1:22" ht="16.5" customHeight="1">
      <c r="A98" s="393" t="s">
        <v>17</v>
      </c>
      <c r="B98" s="394"/>
      <c r="C98" s="395"/>
      <c r="D98" s="396">
        <f>D8*'Alış Fiyat'!D248</f>
        <v>0</v>
      </c>
      <c r="E98" s="397">
        <f>E8*'Alış Fiyat'!E248</f>
        <v>0</v>
      </c>
      <c r="F98" s="397">
        <f>F8*'Alış Fiyat'!F248</f>
        <v>0</v>
      </c>
      <c r="G98" s="397">
        <f>G8*'Alış Fiyat'!G248</f>
        <v>0</v>
      </c>
      <c r="H98" s="397">
        <f>H8*'Alış Fiyat'!H248</f>
        <v>0</v>
      </c>
      <c r="I98" s="397">
        <f>I8*'Alış Fiyat'!I248</f>
        <v>0</v>
      </c>
      <c r="J98" s="397">
        <f>J8*'Alış Fiyat'!J248</f>
        <v>0</v>
      </c>
      <c r="K98" s="397">
        <f>K8*'Alış Fiyat'!K248</f>
        <v>0</v>
      </c>
      <c r="L98" s="397">
        <f>L8*'Alış Fiyat'!L248</f>
        <v>0</v>
      </c>
      <c r="M98" s="397">
        <f>M8*'Alış Fiyat'!M248</f>
        <v>0</v>
      </c>
      <c r="N98" s="397">
        <f>N8*'Alış Fiyat'!N248</f>
        <v>0</v>
      </c>
      <c r="O98" s="398">
        <f>O8*'Alış Fiyat'!O248</f>
        <v>0</v>
      </c>
      <c r="P98" s="873">
        <f t="shared" si="112"/>
        <v>0</v>
      </c>
      <c r="Q98" s="1238" t="str">
        <f t="shared" si="111"/>
        <v>-</v>
      </c>
    </row>
    <row r="99" spans="1:22" ht="16.5" customHeight="1">
      <c r="A99" s="400" t="s">
        <v>81</v>
      </c>
      <c r="B99" s="386"/>
      <c r="C99" s="404">
        <f>B99/9*12</f>
        <v>0</v>
      </c>
      <c r="D99" s="388">
        <f>D9*'Alış Fiyat'!D249</f>
        <v>0</v>
      </c>
      <c r="E99" s="389">
        <f>E9*'Alış Fiyat'!E249</f>
        <v>0</v>
      </c>
      <c r="F99" s="389">
        <f>F9*'Alış Fiyat'!F249</f>
        <v>0</v>
      </c>
      <c r="G99" s="389">
        <f>G9*'Alış Fiyat'!G249</f>
        <v>0</v>
      </c>
      <c r="H99" s="389">
        <f>H9*'Alış Fiyat'!H249</f>
        <v>0</v>
      </c>
      <c r="I99" s="389">
        <f>I9*'Alış Fiyat'!I249</f>
        <v>0</v>
      </c>
      <c r="J99" s="389">
        <f>J9*'Alış Fiyat'!J249</f>
        <v>0</v>
      </c>
      <c r="K99" s="389">
        <f>K9*'Alış Fiyat'!K249</f>
        <v>0</v>
      </c>
      <c r="L99" s="389">
        <f>L9*'Alış Fiyat'!L249</f>
        <v>0</v>
      </c>
      <c r="M99" s="389">
        <f>M9*'Alış Fiyat'!M249</f>
        <v>0</v>
      </c>
      <c r="N99" s="389">
        <f>N9*'Alış Fiyat'!N249</f>
        <v>0</v>
      </c>
      <c r="O99" s="390">
        <f>O9*'Alış Fiyat'!O249</f>
        <v>0</v>
      </c>
      <c r="P99" s="874">
        <f t="shared" si="112"/>
        <v>0</v>
      </c>
      <c r="Q99" s="1240" t="str">
        <f t="shared" si="111"/>
        <v>-</v>
      </c>
    </row>
    <row r="100" spans="1:22" ht="16.5" hidden="1" customHeight="1">
      <c r="A100" s="406" t="s">
        <v>82</v>
      </c>
      <c r="B100" s="394"/>
      <c r="C100" s="395"/>
      <c r="D100" s="396">
        <f>D10*'Alış Fiyat'!D250</f>
        <v>0</v>
      </c>
      <c r="E100" s="397">
        <f>E10*'Alış Fiyat'!E250</f>
        <v>0</v>
      </c>
      <c r="F100" s="397">
        <f>F10*'Alış Fiyat'!F250</f>
        <v>0</v>
      </c>
      <c r="G100" s="397">
        <f>G10*'Alış Fiyat'!G250</f>
        <v>0</v>
      </c>
      <c r="H100" s="397">
        <f>H10*'Alış Fiyat'!H250</f>
        <v>0</v>
      </c>
      <c r="I100" s="397">
        <f>I10*'Alış Fiyat'!I250</f>
        <v>0</v>
      </c>
      <c r="J100" s="397">
        <f>J10*'Alış Fiyat'!J250</f>
        <v>0</v>
      </c>
      <c r="K100" s="397">
        <f>K10*'Alış Fiyat'!K250</f>
        <v>0</v>
      </c>
      <c r="L100" s="397">
        <f>L10*'Alış Fiyat'!L250</f>
        <v>0</v>
      </c>
      <c r="M100" s="397">
        <f>M10*'Alış Fiyat'!M250</f>
        <v>0</v>
      </c>
      <c r="N100" s="397">
        <f>N10*'Alış Fiyat'!N250</f>
        <v>0</v>
      </c>
      <c r="O100" s="398">
        <f>O10*'Alış Fiyat'!O250</f>
        <v>0</v>
      </c>
      <c r="P100" s="873">
        <f t="shared" si="112"/>
        <v>0</v>
      </c>
      <c r="Q100" s="1238" t="str">
        <f t="shared" si="111"/>
        <v>-</v>
      </c>
    </row>
    <row r="101" spans="1:22" ht="16.5" customHeight="1">
      <c r="A101" s="400" t="s">
        <v>83</v>
      </c>
      <c r="B101" s="408"/>
      <c r="C101" s="404"/>
      <c r="D101" s="402">
        <f>D11*'Alış Fiyat'!D251</f>
        <v>0</v>
      </c>
      <c r="E101" s="403">
        <f>E11*'Alış Fiyat'!E251</f>
        <v>0</v>
      </c>
      <c r="F101" s="403">
        <f>F11*'Alış Fiyat'!F251</f>
        <v>0</v>
      </c>
      <c r="G101" s="403">
        <f>G11*'Alış Fiyat'!G251</f>
        <v>0</v>
      </c>
      <c r="H101" s="403">
        <f>H11*'Alış Fiyat'!H251</f>
        <v>0</v>
      </c>
      <c r="I101" s="403">
        <f>I11*'Alış Fiyat'!I251</f>
        <v>0</v>
      </c>
      <c r="J101" s="403">
        <f>J11*'Alış Fiyat'!J251</f>
        <v>0</v>
      </c>
      <c r="K101" s="403">
        <f>K11*'Alış Fiyat'!K251</f>
        <v>0</v>
      </c>
      <c r="L101" s="403">
        <f>L11*'Alış Fiyat'!L251</f>
        <v>0</v>
      </c>
      <c r="M101" s="403">
        <f>M11*'Alış Fiyat'!M251</f>
        <v>0</v>
      </c>
      <c r="N101" s="403">
        <f>N11*'Alış Fiyat'!N251</f>
        <v>0</v>
      </c>
      <c r="O101" s="404">
        <f>O11*'Alış Fiyat'!O251</f>
        <v>0</v>
      </c>
      <c r="P101" s="874">
        <f t="shared" si="112"/>
        <v>0</v>
      </c>
      <c r="Q101" s="1240" t="str">
        <f t="shared" si="111"/>
        <v>-</v>
      </c>
    </row>
    <row r="102" spans="1:22" ht="16.5" hidden="1" customHeight="1">
      <c r="A102" s="406" t="s">
        <v>84</v>
      </c>
      <c r="B102" s="378">
        <f>B12*'Alış Fiyat'!B300</f>
        <v>0</v>
      </c>
      <c r="C102" s="379">
        <f>C12*'Alış Fiyat'!C300</f>
        <v>0</v>
      </c>
      <c r="D102" s="407">
        <f>D12*'Alış Fiyat'!D252</f>
        <v>0</v>
      </c>
      <c r="E102" s="382">
        <f>E12*'Alış Fiyat'!E252</f>
        <v>0</v>
      </c>
      <c r="F102" s="382">
        <f>F12*'Alış Fiyat'!F252</f>
        <v>0</v>
      </c>
      <c r="G102" s="382">
        <f>G12*'Alış Fiyat'!G252</f>
        <v>0</v>
      </c>
      <c r="H102" s="382">
        <f>H12*'Alış Fiyat'!H252</f>
        <v>0</v>
      </c>
      <c r="I102" s="381">
        <f>I12*'Alış Fiyat'!I252</f>
        <v>0</v>
      </c>
      <c r="J102" s="381">
        <f>J12*'Alış Fiyat'!J252</f>
        <v>0</v>
      </c>
      <c r="K102" s="382">
        <f>K12*'Alış Fiyat'!K252</f>
        <v>0</v>
      </c>
      <c r="L102" s="382">
        <f>L12*'Alış Fiyat'!L252</f>
        <v>0</v>
      </c>
      <c r="M102" s="382">
        <f>M12*'Alış Fiyat'!M252</f>
        <v>0</v>
      </c>
      <c r="N102" s="382">
        <f>N12*'Alış Fiyat'!N252</f>
        <v>0</v>
      </c>
      <c r="O102" s="383">
        <f>O12*'Alış Fiyat'!O252</f>
        <v>0</v>
      </c>
      <c r="P102" s="873">
        <f t="shared" si="112"/>
        <v>0</v>
      </c>
      <c r="Q102" s="1238" t="str">
        <f>IF(P102=0,"-",P102/C102-1)</f>
        <v>-</v>
      </c>
      <c r="S102" s="353"/>
      <c r="T102" s="353"/>
      <c r="U102" s="353"/>
      <c r="V102" s="353"/>
    </row>
    <row r="103" spans="1:22" ht="15" customHeight="1" thickBot="1">
      <c r="A103" s="410" t="s">
        <v>18</v>
      </c>
      <c r="B103" s="411">
        <f>SUM(B99:B102)</f>
        <v>0</v>
      </c>
      <c r="C103" s="412">
        <f>SUM(C99:C102)</f>
        <v>0</v>
      </c>
      <c r="D103" s="413">
        <f>SUM(D99:D102)</f>
        <v>0</v>
      </c>
      <c r="E103" s="414">
        <f t="shared" ref="E103:P103" si="114">SUM(E99:E102)</f>
        <v>0</v>
      </c>
      <c r="F103" s="414">
        <f t="shared" si="114"/>
        <v>0</v>
      </c>
      <c r="G103" s="414">
        <f t="shared" si="114"/>
        <v>0</v>
      </c>
      <c r="H103" s="414">
        <f t="shared" si="114"/>
        <v>0</v>
      </c>
      <c r="I103" s="414">
        <f t="shared" si="114"/>
        <v>0</v>
      </c>
      <c r="J103" s="414">
        <f t="shared" si="114"/>
        <v>0</v>
      </c>
      <c r="K103" s="414">
        <f t="shared" si="114"/>
        <v>0</v>
      </c>
      <c r="L103" s="414">
        <f t="shared" si="114"/>
        <v>0</v>
      </c>
      <c r="M103" s="414">
        <f t="shared" si="114"/>
        <v>0</v>
      </c>
      <c r="N103" s="414">
        <f t="shared" si="114"/>
        <v>0</v>
      </c>
      <c r="O103" s="412">
        <f t="shared" si="114"/>
        <v>0</v>
      </c>
      <c r="P103" s="875">
        <f t="shared" si="114"/>
        <v>0</v>
      </c>
      <c r="Q103" s="1241" t="str">
        <f t="shared" si="111"/>
        <v>-</v>
      </c>
    </row>
    <row r="104" spans="1:22" ht="22.5" customHeight="1" thickBot="1">
      <c r="A104" s="362" t="s">
        <v>29</v>
      </c>
      <c r="B104" s="420">
        <f>+B105+B106</f>
        <v>0</v>
      </c>
      <c r="C104" s="416">
        <f t="shared" ref="C104" si="115">SUM(C105:C106)</f>
        <v>0</v>
      </c>
      <c r="D104" s="417">
        <f t="shared" ref="D104:P104" si="116">SUM(D105:D106)</f>
        <v>0</v>
      </c>
      <c r="E104" s="418">
        <f t="shared" si="116"/>
        <v>0</v>
      </c>
      <c r="F104" s="418">
        <f t="shared" si="116"/>
        <v>0</v>
      </c>
      <c r="G104" s="418">
        <f t="shared" si="116"/>
        <v>0</v>
      </c>
      <c r="H104" s="418">
        <f t="shared" si="116"/>
        <v>0</v>
      </c>
      <c r="I104" s="418">
        <f t="shared" si="116"/>
        <v>0</v>
      </c>
      <c r="J104" s="418">
        <f t="shared" si="116"/>
        <v>0</v>
      </c>
      <c r="K104" s="418">
        <f t="shared" si="116"/>
        <v>0</v>
      </c>
      <c r="L104" s="418">
        <f t="shared" si="116"/>
        <v>0</v>
      </c>
      <c r="M104" s="418">
        <f t="shared" si="116"/>
        <v>0</v>
      </c>
      <c r="N104" s="418">
        <f t="shared" si="116"/>
        <v>0</v>
      </c>
      <c r="O104" s="419">
        <f t="shared" si="116"/>
        <v>0</v>
      </c>
      <c r="P104" s="876">
        <f t="shared" si="116"/>
        <v>0</v>
      </c>
      <c r="Q104" s="1242" t="str">
        <f t="shared" si="111"/>
        <v>-</v>
      </c>
    </row>
    <row r="105" spans="1:22" ht="16.5" customHeight="1">
      <c r="A105" s="422" t="s">
        <v>19</v>
      </c>
      <c r="B105" s="423">
        <f>B15*'Alış Fiyat'!B303</f>
        <v>0</v>
      </c>
      <c r="C105" s="424"/>
      <c r="D105" s="425">
        <f>D15*'Alış Fiyat'!D255</f>
        <v>0</v>
      </c>
      <c r="E105" s="426">
        <f>E15*'Alış Fiyat'!E255</f>
        <v>0</v>
      </c>
      <c r="F105" s="426">
        <f>F15*'Alış Fiyat'!F255</f>
        <v>0</v>
      </c>
      <c r="G105" s="426">
        <f>G15*'Alış Fiyat'!G255</f>
        <v>0</v>
      </c>
      <c r="H105" s="426">
        <f>H15*'Alış Fiyat'!H255</f>
        <v>0</v>
      </c>
      <c r="I105" s="426">
        <f>I15*'Alış Fiyat'!I255</f>
        <v>0</v>
      </c>
      <c r="J105" s="426">
        <f>J15*'Alış Fiyat'!J255</f>
        <v>0</v>
      </c>
      <c r="K105" s="426">
        <f>K15*'Alış Fiyat'!K255</f>
        <v>0</v>
      </c>
      <c r="L105" s="426">
        <f>L15*'Alış Fiyat'!L255</f>
        <v>0</v>
      </c>
      <c r="M105" s="426">
        <f>M15*'Alış Fiyat'!M255</f>
        <v>0</v>
      </c>
      <c r="N105" s="426">
        <f>N15*'Alış Fiyat'!N255</f>
        <v>0</v>
      </c>
      <c r="O105" s="427">
        <f>O15*'Alış Fiyat'!O255</f>
        <v>0</v>
      </c>
      <c r="P105" s="877">
        <f>SUM(D105:O105)</f>
        <v>0</v>
      </c>
      <c r="Q105" s="1243" t="str">
        <f t="shared" si="111"/>
        <v>-</v>
      </c>
    </row>
    <row r="106" spans="1:22" ht="16.5" customHeight="1" thickBot="1">
      <c r="A106" s="430" t="s">
        <v>20</v>
      </c>
      <c r="B106" s="431">
        <f>B16*'Alış Fiyat'!B304</f>
        <v>0</v>
      </c>
      <c r="C106" s="432"/>
      <c r="D106" s="433">
        <f>D16*'Alış Fiyat'!D256</f>
        <v>0</v>
      </c>
      <c r="E106" s="434">
        <f>E16*'Alış Fiyat'!E256</f>
        <v>0</v>
      </c>
      <c r="F106" s="434">
        <f>F16*'Alış Fiyat'!F256</f>
        <v>0</v>
      </c>
      <c r="G106" s="434">
        <f>G16*'Alış Fiyat'!G256</f>
        <v>0</v>
      </c>
      <c r="H106" s="434">
        <f>H16*'Alış Fiyat'!H256</f>
        <v>0</v>
      </c>
      <c r="I106" s="434">
        <f>I16*'Alış Fiyat'!I256</f>
        <v>0</v>
      </c>
      <c r="J106" s="434">
        <f>J16*'Alış Fiyat'!J256</f>
        <v>0</v>
      </c>
      <c r="K106" s="434">
        <f>K16*'Alış Fiyat'!K256</f>
        <v>0</v>
      </c>
      <c r="L106" s="434">
        <f>L16*'Alış Fiyat'!L256</f>
        <v>0</v>
      </c>
      <c r="M106" s="434">
        <f>M16*'Alış Fiyat'!M256</f>
        <v>0</v>
      </c>
      <c r="N106" s="434">
        <f>N16*'Alış Fiyat'!N256</f>
        <v>0</v>
      </c>
      <c r="O106" s="435">
        <f>O16*'Alış Fiyat'!O256</f>
        <v>0</v>
      </c>
      <c r="P106" s="878">
        <f>SUM(D106:O106)</f>
        <v>0</v>
      </c>
      <c r="Q106" s="1244" t="str">
        <f t="shared" si="111"/>
        <v>-</v>
      </c>
    </row>
    <row r="107" spans="1:22" ht="22.5" customHeight="1" thickBot="1">
      <c r="A107" s="362" t="s">
        <v>30</v>
      </c>
      <c r="B107" s="363">
        <f t="shared" ref="B107:C107" si="117">SUM(B108:B109)</f>
        <v>0</v>
      </c>
      <c r="C107" s="416">
        <f t="shared" si="117"/>
        <v>0</v>
      </c>
      <c r="D107" s="417">
        <f t="shared" ref="D107:P107" si="118">SUM(D108:D109)</f>
        <v>0</v>
      </c>
      <c r="E107" s="418">
        <f t="shared" si="118"/>
        <v>0</v>
      </c>
      <c r="F107" s="418">
        <f t="shared" si="118"/>
        <v>0</v>
      </c>
      <c r="G107" s="418">
        <f t="shared" si="118"/>
        <v>0</v>
      </c>
      <c r="H107" s="418">
        <f t="shared" si="118"/>
        <v>0</v>
      </c>
      <c r="I107" s="418">
        <f t="shared" si="118"/>
        <v>0</v>
      </c>
      <c r="J107" s="418">
        <f t="shared" si="118"/>
        <v>0</v>
      </c>
      <c r="K107" s="418">
        <f t="shared" si="118"/>
        <v>0</v>
      </c>
      <c r="L107" s="418">
        <f t="shared" si="118"/>
        <v>0</v>
      </c>
      <c r="M107" s="418">
        <f t="shared" si="118"/>
        <v>0</v>
      </c>
      <c r="N107" s="418">
        <f t="shared" si="118"/>
        <v>0</v>
      </c>
      <c r="O107" s="419">
        <f t="shared" si="118"/>
        <v>0</v>
      </c>
      <c r="P107" s="876">
        <f t="shared" si="118"/>
        <v>0</v>
      </c>
      <c r="Q107" s="1242" t="str">
        <f t="shared" si="111"/>
        <v>-</v>
      </c>
    </row>
    <row r="108" spans="1:22" ht="16.5" customHeight="1">
      <c r="A108" s="422" t="s">
        <v>106</v>
      </c>
      <c r="B108" s="423"/>
      <c r="C108" s="424">
        <f>B108/9*12</f>
        <v>0</v>
      </c>
      <c r="D108" s="425">
        <f>D18*'Alış Fiyat'!D258</f>
        <v>0</v>
      </c>
      <c r="E108" s="426">
        <f>E18*'Alış Fiyat'!E258</f>
        <v>0</v>
      </c>
      <c r="F108" s="426">
        <f>F18*'Alış Fiyat'!F258</f>
        <v>0</v>
      </c>
      <c r="G108" s="426">
        <f>G18*'Alış Fiyat'!G258</f>
        <v>0</v>
      </c>
      <c r="H108" s="426">
        <f>H18*'Alış Fiyat'!H258</f>
        <v>0</v>
      </c>
      <c r="I108" s="426">
        <f>I18*'Alış Fiyat'!I258</f>
        <v>0</v>
      </c>
      <c r="J108" s="426">
        <f>J18*'Alış Fiyat'!J258</f>
        <v>0</v>
      </c>
      <c r="K108" s="426">
        <f>K18*'Alış Fiyat'!K258</f>
        <v>0</v>
      </c>
      <c r="L108" s="426">
        <f>L18*'Alış Fiyat'!L258</f>
        <v>0</v>
      </c>
      <c r="M108" s="426">
        <f>M18*'Alış Fiyat'!M258</f>
        <v>0</v>
      </c>
      <c r="N108" s="426">
        <f>N18*'Alış Fiyat'!N258</f>
        <v>0</v>
      </c>
      <c r="O108" s="427">
        <f>O18*'Alış Fiyat'!O258</f>
        <v>0</v>
      </c>
      <c r="P108" s="877">
        <f>SUM(D108:O108)</f>
        <v>0</v>
      </c>
      <c r="Q108" s="1243" t="str">
        <f t="shared" si="111"/>
        <v>-</v>
      </c>
    </row>
    <row r="109" spans="1:22" ht="16.5" customHeight="1" thickBot="1">
      <c r="A109" s="438" t="s">
        <v>105</v>
      </c>
      <c r="B109" s="439"/>
      <c r="C109" s="440">
        <f>B109/9*12</f>
        <v>0</v>
      </c>
      <c r="D109" s="441">
        <f>D19*'Alış Fiyat'!D259</f>
        <v>0</v>
      </c>
      <c r="E109" s="442">
        <f>E19*'Alış Fiyat'!E259</f>
        <v>0</v>
      </c>
      <c r="F109" s="442">
        <f>F19*'Alış Fiyat'!F259</f>
        <v>0</v>
      </c>
      <c r="G109" s="442">
        <f>G19*'Alış Fiyat'!G259</f>
        <v>0</v>
      </c>
      <c r="H109" s="442">
        <f>H19*'Alış Fiyat'!H259</f>
        <v>0</v>
      </c>
      <c r="I109" s="442">
        <f>I19*'Alış Fiyat'!I259</f>
        <v>0</v>
      </c>
      <c r="J109" s="442">
        <f>J19*'Alış Fiyat'!J259</f>
        <v>0</v>
      </c>
      <c r="K109" s="442">
        <f>K19*'Alış Fiyat'!K259</f>
        <v>0</v>
      </c>
      <c r="L109" s="442">
        <f>L19*'Alış Fiyat'!L259</f>
        <v>0</v>
      </c>
      <c r="M109" s="442">
        <f>M19*'Alış Fiyat'!M259</f>
        <v>0</v>
      </c>
      <c r="N109" s="442">
        <f>N19*'Alış Fiyat'!N259</f>
        <v>0</v>
      </c>
      <c r="O109" s="443">
        <f>O19*'Alış Fiyat'!O259</f>
        <v>0</v>
      </c>
      <c r="P109" s="879">
        <f>SUM(D109:O109)</f>
        <v>0</v>
      </c>
      <c r="Q109" s="1245" t="str">
        <f t="shared" si="111"/>
        <v>-</v>
      </c>
    </row>
    <row r="110" spans="1:22" ht="16.5" customHeight="1" thickBot="1">
      <c r="C110" s="353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880"/>
      <c r="Q110" s="447"/>
    </row>
    <row r="111" spans="1:22" ht="22.5" customHeight="1" thickBot="1">
      <c r="A111" s="362" t="s">
        <v>86</v>
      </c>
      <c r="B111" s="363"/>
      <c r="C111" s="364">
        <f>B111/9*12</f>
        <v>0</v>
      </c>
      <c r="D111" s="365">
        <f>(D21*'Alış Fiyat'!D261)</f>
        <v>0</v>
      </c>
      <c r="E111" s="365">
        <f>(E21*'Alış Fiyat'!E261)</f>
        <v>0</v>
      </c>
      <c r="F111" s="365">
        <f>(F21*'Alış Fiyat'!F261)</f>
        <v>0</v>
      </c>
      <c r="G111" s="365">
        <f>(G21*'Alış Fiyat'!G261)</f>
        <v>0</v>
      </c>
      <c r="H111" s="365">
        <f>(H21*'Alış Fiyat'!H261)</f>
        <v>0</v>
      </c>
      <c r="I111" s="365">
        <f>(I21*'Alış Fiyat'!I261)</f>
        <v>0</v>
      </c>
      <c r="J111" s="365">
        <f>(J21*'Alış Fiyat'!J261)</f>
        <v>0</v>
      </c>
      <c r="K111" s="365">
        <f>(K21*'Alış Fiyat'!K261)</f>
        <v>0</v>
      </c>
      <c r="L111" s="365">
        <f>(L21*'Alış Fiyat'!L261)</f>
        <v>0</v>
      </c>
      <c r="M111" s="365">
        <f>(M21*'Alış Fiyat'!M261)</f>
        <v>0</v>
      </c>
      <c r="N111" s="365">
        <f>(N21*'Alış Fiyat'!N261)</f>
        <v>0</v>
      </c>
      <c r="O111" s="365">
        <f>(O21*'Alış Fiyat'!O261)</f>
        <v>0</v>
      </c>
      <c r="P111" s="869">
        <f>SUM(D111:O111)</f>
        <v>0</v>
      </c>
      <c r="Q111" s="1236" t="str">
        <f>IF(P111=0,"-",P111/C111-1)</f>
        <v>-</v>
      </c>
    </row>
    <row r="112" spans="1:22" s="454" customFormat="1" ht="14.25" customHeight="1" thickBot="1">
      <c r="A112" s="451"/>
      <c r="B112" s="452"/>
      <c r="C112" s="452"/>
      <c r="D112" s="452"/>
      <c r="E112" s="452"/>
      <c r="F112" s="452"/>
      <c r="G112" s="452"/>
      <c r="H112" s="452"/>
      <c r="I112" s="452"/>
      <c r="J112" s="452"/>
      <c r="K112" s="452"/>
      <c r="L112" s="452"/>
      <c r="M112" s="452"/>
      <c r="N112" s="452"/>
      <c r="O112" s="452"/>
      <c r="P112" s="881"/>
      <c r="Q112" s="453"/>
    </row>
    <row r="113" spans="1:22" ht="22.5" customHeight="1" thickBot="1">
      <c r="A113" s="362" t="s">
        <v>35</v>
      </c>
      <c r="B113" s="363">
        <f>+B94+B104+B107+B111</f>
        <v>0</v>
      </c>
      <c r="C113" s="364">
        <f t="shared" ref="C113" si="119">+C94+C104+C107+C111</f>
        <v>0</v>
      </c>
      <c r="D113" s="365">
        <f t="shared" ref="D113:P113" si="120">+D94+D104+D107+D111</f>
        <v>0</v>
      </c>
      <c r="E113" s="366">
        <f t="shared" si="120"/>
        <v>0</v>
      </c>
      <c r="F113" s="366">
        <f t="shared" si="120"/>
        <v>0</v>
      </c>
      <c r="G113" s="366">
        <f t="shared" si="120"/>
        <v>0</v>
      </c>
      <c r="H113" s="366">
        <f t="shared" si="120"/>
        <v>0</v>
      </c>
      <c r="I113" s="366">
        <f t="shared" si="120"/>
        <v>0</v>
      </c>
      <c r="J113" s="366">
        <f t="shared" si="120"/>
        <v>0</v>
      </c>
      <c r="K113" s="366">
        <f t="shared" si="120"/>
        <v>0</v>
      </c>
      <c r="L113" s="366">
        <f t="shared" si="120"/>
        <v>0</v>
      </c>
      <c r="M113" s="366">
        <f t="shared" si="120"/>
        <v>0</v>
      </c>
      <c r="N113" s="366">
        <f t="shared" si="120"/>
        <v>0</v>
      </c>
      <c r="O113" s="448">
        <f t="shared" si="120"/>
        <v>0</v>
      </c>
      <c r="P113" s="869">
        <f t="shared" si="120"/>
        <v>0</v>
      </c>
      <c r="Q113" s="1236" t="str">
        <f>IF(P113=0,"-",P113/C113-1)</f>
        <v>-</v>
      </c>
    </row>
    <row r="114" spans="1:22" ht="15" thickBot="1"/>
    <row r="115" spans="1:22" ht="33" customHeight="1" thickBot="1">
      <c r="A115" s="354"/>
      <c r="B115" s="2372" t="s">
        <v>665</v>
      </c>
      <c r="C115" s="2373"/>
      <c r="D115" s="2374" t="s">
        <v>644</v>
      </c>
      <c r="E115" s="2375"/>
      <c r="F115" s="2375"/>
      <c r="G115" s="2375"/>
      <c r="H115" s="2375"/>
      <c r="I115" s="2375"/>
      <c r="J115" s="2375"/>
      <c r="K115" s="2375"/>
      <c r="L115" s="2375"/>
      <c r="M115" s="2375"/>
      <c r="N115" s="2375"/>
      <c r="O115" s="2375"/>
      <c r="P115" s="2376"/>
      <c r="Q115" s="355" t="s">
        <v>638</v>
      </c>
    </row>
    <row r="116" spans="1:22" ht="30.75" customHeight="1" thickBot="1">
      <c r="A116" s="356"/>
      <c r="B116" s="357" t="s">
        <v>657</v>
      </c>
      <c r="C116" s="357" t="s">
        <v>703</v>
      </c>
      <c r="D116" s="358" t="s">
        <v>1</v>
      </c>
      <c r="E116" s="359" t="s">
        <v>2</v>
      </c>
      <c r="F116" s="359" t="s">
        <v>3</v>
      </c>
      <c r="G116" s="359" t="s">
        <v>4</v>
      </c>
      <c r="H116" s="359" t="s">
        <v>5</v>
      </c>
      <c r="I116" s="359" t="s">
        <v>6</v>
      </c>
      <c r="J116" s="359" t="s">
        <v>7</v>
      </c>
      <c r="K116" s="359" t="s">
        <v>8</v>
      </c>
      <c r="L116" s="359" t="s">
        <v>9</v>
      </c>
      <c r="M116" s="359" t="s">
        <v>10</v>
      </c>
      <c r="N116" s="359" t="s">
        <v>11</v>
      </c>
      <c r="O116" s="359" t="s">
        <v>12</v>
      </c>
      <c r="P116" s="868" t="s">
        <v>13</v>
      </c>
      <c r="Q116" s="361" t="s">
        <v>619</v>
      </c>
    </row>
    <row r="117" spans="1:22" ht="22.5" customHeight="1" thickBot="1">
      <c r="A117" s="362" t="s">
        <v>28</v>
      </c>
      <c r="B117" s="363">
        <f>B120+B121+B126</f>
        <v>0</v>
      </c>
      <c r="C117" s="364">
        <f t="shared" ref="C117" si="121">C120+C121+C126</f>
        <v>0</v>
      </c>
      <c r="D117" s="365">
        <f t="shared" ref="D117:P117" si="122">D120+D121+D126</f>
        <v>0</v>
      </c>
      <c r="E117" s="366">
        <f t="shared" si="122"/>
        <v>0</v>
      </c>
      <c r="F117" s="366">
        <f t="shared" si="122"/>
        <v>0</v>
      </c>
      <c r="G117" s="366">
        <f t="shared" si="122"/>
        <v>0</v>
      </c>
      <c r="H117" s="366">
        <f t="shared" si="122"/>
        <v>0</v>
      </c>
      <c r="I117" s="366">
        <f t="shared" si="122"/>
        <v>0</v>
      </c>
      <c r="J117" s="366">
        <f t="shared" si="122"/>
        <v>0</v>
      </c>
      <c r="K117" s="366">
        <f t="shared" si="122"/>
        <v>0</v>
      </c>
      <c r="L117" s="366">
        <f t="shared" si="122"/>
        <v>0</v>
      </c>
      <c r="M117" s="366">
        <f t="shared" si="122"/>
        <v>0</v>
      </c>
      <c r="N117" s="366">
        <f t="shared" si="122"/>
        <v>0</v>
      </c>
      <c r="O117" s="364">
        <f t="shared" si="122"/>
        <v>0</v>
      </c>
      <c r="P117" s="869">
        <f t="shared" si="122"/>
        <v>0</v>
      </c>
      <c r="Q117" s="1236" t="str">
        <f t="shared" ref="Q117:Q132" si="123">IF(P117=0,"-",P117/C117-1)</f>
        <v>-</v>
      </c>
    </row>
    <row r="118" spans="1:22" ht="16.5" hidden="1" customHeight="1">
      <c r="A118" s="368" t="s">
        <v>15</v>
      </c>
      <c r="B118" s="369">
        <f t="shared" ref="B118:C119" si="124">+B72-B95</f>
        <v>0</v>
      </c>
      <c r="C118" s="370">
        <f t="shared" si="124"/>
        <v>0</v>
      </c>
      <c r="D118" s="371">
        <f t="shared" ref="D118:O118" si="125">+D72-D95</f>
        <v>0</v>
      </c>
      <c r="E118" s="372">
        <f t="shared" si="125"/>
        <v>0</v>
      </c>
      <c r="F118" s="372">
        <f t="shared" si="125"/>
        <v>0</v>
      </c>
      <c r="G118" s="372">
        <f t="shared" si="125"/>
        <v>0</v>
      </c>
      <c r="H118" s="373">
        <f t="shared" si="125"/>
        <v>0</v>
      </c>
      <c r="I118" s="373">
        <f t="shared" si="125"/>
        <v>0</v>
      </c>
      <c r="J118" s="373">
        <f t="shared" si="125"/>
        <v>0</v>
      </c>
      <c r="K118" s="373">
        <f t="shared" si="125"/>
        <v>0</v>
      </c>
      <c r="L118" s="373">
        <f t="shared" si="125"/>
        <v>0</v>
      </c>
      <c r="M118" s="373">
        <f t="shared" si="125"/>
        <v>0</v>
      </c>
      <c r="N118" s="373">
        <f t="shared" si="125"/>
        <v>0</v>
      </c>
      <c r="O118" s="374">
        <f t="shared" si="125"/>
        <v>0</v>
      </c>
      <c r="P118" s="870">
        <f t="shared" ref="P118:P125" si="126">SUM(D118:O118)</f>
        <v>0</v>
      </c>
      <c r="Q118" s="1237" t="str">
        <f>IF(P118=0,"-",P118/C118-1)</f>
        <v>-</v>
      </c>
      <c r="R118" s="376"/>
      <c r="S118" s="376"/>
      <c r="T118" s="376"/>
      <c r="U118" s="376"/>
      <c r="V118" s="376"/>
    </row>
    <row r="119" spans="1:22" ht="16.5" hidden="1" customHeight="1">
      <c r="A119" s="377" t="s">
        <v>16</v>
      </c>
      <c r="B119" s="378">
        <f t="shared" si="124"/>
        <v>0</v>
      </c>
      <c r="C119" s="379">
        <f t="shared" si="124"/>
        <v>0</v>
      </c>
      <c r="D119" s="380">
        <f t="shared" ref="D119:O119" si="127">+D73-D96</f>
        <v>0</v>
      </c>
      <c r="E119" s="381">
        <f t="shared" si="127"/>
        <v>0</v>
      </c>
      <c r="F119" s="381">
        <f t="shared" si="127"/>
        <v>0</v>
      </c>
      <c r="G119" s="381">
        <f t="shared" si="127"/>
        <v>0</v>
      </c>
      <c r="H119" s="382">
        <f t="shared" si="127"/>
        <v>0</v>
      </c>
      <c r="I119" s="382">
        <f t="shared" si="127"/>
        <v>0</v>
      </c>
      <c r="J119" s="382">
        <f t="shared" si="127"/>
        <v>0</v>
      </c>
      <c r="K119" s="382">
        <f t="shared" si="127"/>
        <v>0</v>
      </c>
      <c r="L119" s="382">
        <f t="shared" si="127"/>
        <v>0</v>
      </c>
      <c r="M119" s="382">
        <f t="shared" si="127"/>
        <v>0</v>
      </c>
      <c r="N119" s="382">
        <f t="shared" si="127"/>
        <v>0</v>
      </c>
      <c r="O119" s="383">
        <f t="shared" si="127"/>
        <v>0</v>
      </c>
      <c r="P119" s="871">
        <f t="shared" si="126"/>
        <v>0</v>
      </c>
      <c r="Q119" s="1238" t="str">
        <f t="shared" si="123"/>
        <v>-</v>
      </c>
    </row>
    <row r="120" spans="1:22" ht="15" hidden="1" customHeight="1">
      <c r="A120" s="385" t="s">
        <v>27</v>
      </c>
      <c r="B120" s="391">
        <f>+B118+B119</f>
        <v>0</v>
      </c>
      <c r="C120" s="390">
        <f>+C119+C118</f>
        <v>0</v>
      </c>
      <c r="D120" s="388">
        <f t="shared" ref="D120:O120" si="128">SUM(D118:D119)</f>
        <v>0</v>
      </c>
      <c r="E120" s="389">
        <f t="shared" si="128"/>
        <v>0</v>
      </c>
      <c r="F120" s="389">
        <f t="shared" si="128"/>
        <v>0</v>
      </c>
      <c r="G120" s="389">
        <f t="shared" si="128"/>
        <v>0</v>
      </c>
      <c r="H120" s="389">
        <f t="shared" si="128"/>
        <v>0</v>
      </c>
      <c r="I120" s="389">
        <f t="shared" si="128"/>
        <v>0</v>
      </c>
      <c r="J120" s="389">
        <f t="shared" si="128"/>
        <v>0</v>
      </c>
      <c r="K120" s="389">
        <f t="shared" si="128"/>
        <v>0</v>
      </c>
      <c r="L120" s="389">
        <f t="shared" si="128"/>
        <v>0</v>
      </c>
      <c r="M120" s="389">
        <f t="shared" si="128"/>
        <v>0</v>
      </c>
      <c r="N120" s="389">
        <f t="shared" si="128"/>
        <v>0</v>
      </c>
      <c r="O120" s="390">
        <f t="shared" si="128"/>
        <v>0</v>
      </c>
      <c r="P120" s="872">
        <f>SUM(D120:O120)</f>
        <v>0</v>
      </c>
      <c r="Q120" s="1239" t="str">
        <f>IF(P120=0,"-",P120/C120-1)</f>
        <v>-</v>
      </c>
    </row>
    <row r="121" spans="1:22" ht="16.5" customHeight="1">
      <c r="A121" s="393" t="s">
        <v>17</v>
      </c>
      <c r="B121" s="394">
        <f t="shared" ref="B121:C125" si="129">+B75-B98</f>
        <v>0</v>
      </c>
      <c r="C121" s="395">
        <f t="shared" si="129"/>
        <v>0</v>
      </c>
      <c r="D121" s="396">
        <f>+D75-D98</f>
        <v>0</v>
      </c>
      <c r="E121" s="397">
        <f t="shared" ref="E121:O121" si="130">+E75-E98</f>
        <v>0</v>
      </c>
      <c r="F121" s="397">
        <f t="shared" si="130"/>
        <v>0</v>
      </c>
      <c r="G121" s="397">
        <f t="shared" si="130"/>
        <v>0</v>
      </c>
      <c r="H121" s="397">
        <f t="shared" si="130"/>
        <v>0</v>
      </c>
      <c r="I121" s="397">
        <f t="shared" si="130"/>
        <v>0</v>
      </c>
      <c r="J121" s="397">
        <f t="shared" si="130"/>
        <v>0</v>
      </c>
      <c r="K121" s="397">
        <f t="shared" si="130"/>
        <v>0</v>
      </c>
      <c r="L121" s="397">
        <f t="shared" si="130"/>
        <v>0</v>
      </c>
      <c r="M121" s="397">
        <f t="shared" si="130"/>
        <v>0</v>
      </c>
      <c r="N121" s="397">
        <f t="shared" si="130"/>
        <v>0</v>
      </c>
      <c r="O121" s="398">
        <f t="shared" si="130"/>
        <v>0</v>
      </c>
      <c r="P121" s="873">
        <f t="shared" si="126"/>
        <v>0</v>
      </c>
      <c r="Q121" s="1238" t="str">
        <f>IF(P121=0,"-",P121/C121-1)</f>
        <v>-</v>
      </c>
    </row>
    <row r="122" spans="1:22" ht="16.5" customHeight="1">
      <c r="A122" s="400" t="s">
        <v>81</v>
      </c>
      <c r="B122" s="391">
        <f t="shared" si="129"/>
        <v>0</v>
      </c>
      <c r="C122" s="450">
        <f t="shared" si="129"/>
        <v>0</v>
      </c>
      <c r="D122" s="402">
        <f>+D76-D99</f>
        <v>0</v>
      </c>
      <c r="E122" s="403">
        <f t="shared" ref="E122:O122" si="131">+E76-E99</f>
        <v>0</v>
      </c>
      <c r="F122" s="403">
        <f t="shared" si="131"/>
        <v>0</v>
      </c>
      <c r="G122" s="403">
        <f t="shared" si="131"/>
        <v>0</v>
      </c>
      <c r="H122" s="403">
        <f t="shared" si="131"/>
        <v>0</v>
      </c>
      <c r="I122" s="403">
        <f t="shared" si="131"/>
        <v>0</v>
      </c>
      <c r="J122" s="403">
        <f t="shared" si="131"/>
        <v>0</v>
      </c>
      <c r="K122" s="403">
        <f t="shared" si="131"/>
        <v>0</v>
      </c>
      <c r="L122" s="403">
        <f t="shared" si="131"/>
        <v>0</v>
      </c>
      <c r="M122" s="403">
        <f t="shared" si="131"/>
        <v>0</v>
      </c>
      <c r="N122" s="403">
        <f t="shared" si="131"/>
        <v>0</v>
      </c>
      <c r="O122" s="404">
        <f t="shared" si="131"/>
        <v>0</v>
      </c>
      <c r="P122" s="874">
        <f t="shared" si="126"/>
        <v>0</v>
      </c>
      <c r="Q122" s="1240" t="str">
        <f>IF(P122=0,"-",P122/C122-1)</f>
        <v>-</v>
      </c>
    </row>
    <row r="123" spans="1:22" ht="16.5" hidden="1" customHeight="1">
      <c r="A123" s="406" t="s">
        <v>82</v>
      </c>
      <c r="B123" s="394">
        <f t="shared" si="129"/>
        <v>0</v>
      </c>
      <c r="C123" s="395">
        <f t="shared" si="129"/>
        <v>0</v>
      </c>
      <c r="D123" s="407">
        <f t="shared" ref="D123:O123" si="132">+D77-D100</f>
        <v>0</v>
      </c>
      <c r="E123" s="382">
        <f t="shared" si="132"/>
        <v>0</v>
      </c>
      <c r="F123" s="382">
        <f t="shared" si="132"/>
        <v>0</v>
      </c>
      <c r="G123" s="382">
        <f t="shared" si="132"/>
        <v>0</v>
      </c>
      <c r="H123" s="382">
        <f t="shared" si="132"/>
        <v>0</v>
      </c>
      <c r="I123" s="382">
        <f t="shared" si="132"/>
        <v>0</v>
      </c>
      <c r="J123" s="382">
        <f t="shared" si="132"/>
        <v>0</v>
      </c>
      <c r="K123" s="382">
        <f t="shared" si="132"/>
        <v>0</v>
      </c>
      <c r="L123" s="382">
        <f t="shared" si="132"/>
        <v>0</v>
      </c>
      <c r="M123" s="382">
        <f t="shared" si="132"/>
        <v>0</v>
      </c>
      <c r="N123" s="382">
        <f t="shared" si="132"/>
        <v>0</v>
      </c>
      <c r="O123" s="383">
        <f t="shared" si="132"/>
        <v>0</v>
      </c>
      <c r="P123" s="873">
        <f t="shared" si="126"/>
        <v>0</v>
      </c>
      <c r="Q123" s="1238" t="str">
        <f t="shared" si="123"/>
        <v>-</v>
      </c>
    </row>
    <row r="124" spans="1:22" ht="16.5" customHeight="1">
      <c r="A124" s="400" t="s">
        <v>83</v>
      </c>
      <c r="B124" s="408">
        <f>+B78-B101</f>
        <v>0</v>
      </c>
      <c r="C124" s="409">
        <f t="shared" si="129"/>
        <v>0</v>
      </c>
      <c r="D124" s="402">
        <f t="shared" ref="D124:O124" si="133">+D78-D101</f>
        <v>0</v>
      </c>
      <c r="E124" s="403">
        <f t="shared" si="133"/>
        <v>0</v>
      </c>
      <c r="F124" s="403">
        <f t="shared" si="133"/>
        <v>0</v>
      </c>
      <c r="G124" s="403">
        <f t="shared" si="133"/>
        <v>0</v>
      </c>
      <c r="H124" s="403">
        <f t="shared" si="133"/>
        <v>0</v>
      </c>
      <c r="I124" s="403">
        <f t="shared" si="133"/>
        <v>0</v>
      </c>
      <c r="J124" s="403">
        <f t="shared" si="133"/>
        <v>0</v>
      </c>
      <c r="K124" s="403">
        <f t="shared" si="133"/>
        <v>0</v>
      </c>
      <c r="L124" s="403">
        <f t="shared" si="133"/>
        <v>0</v>
      </c>
      <c r="M124" s="403">
        <f t="shared" si="133"/>
        <v>0</v>
      </c>
      <c r="N124" s="403">
        <f t="shared" si="133"/>
        <v>0</v>
      </c>
      <c r="O124" s="404">
        <f t="shared" si="133"/>
        <v>0</v>
      </c>
      <c r="P124" s="874">
        <f t="shared" si="126"/>
        <v>0</v>
      </c>
      <c r="Q124" s="1240" t="str">
        <f t="shared" si="123"/>
        <v>-</v>
      </c>
    </row>
    <row r="125" spans="1:22" ht="16.5" hidden="1" customHeight="1">
      <c r="A125" s="406" t="s">
        <v>84</v>
      </c>
      <c r="B125" s="378">
        <f t="shared" si="129"/>
        <v>0</v>
      </c>
      <c r="C125" s="379">
        <f t="shared" si="129"/>
        <v>0</v>
      </c>
      <c r="D125" s="407">
        <f t="shared" ref="D125:O125" si="134">+D79-D102</f>
        <v>0</v>
      </c>
      <c r="E125" s="382">
        <f t="shared" si="134"/>
        <v>0</v>
      </c>
      <c r="F125" s="382">
        <f t="shared" si="134"/>
        <v>0</v>
      </c>
      <c r="G125" s="382">
        <f t="shared" si="134"/>
        <v>0</v>
      </c>
      <c r="H125" s="382">
        <f t="shared" si="134"/>
        <v>0</v>
      </c>
      <c r="I125" s="381">
        <f t="shared" si="134"/>
        <v>0</v>
      </c>
      <c r="J125" s="381">
        <f t="shared" si="134"/>
        <v>0</v>
      </c>
      <c r="K125" s="382">
        <f t="shared" si="134"/>
        <v>0</v>
      </c>
      <c r="L125" s="382">
        <f t="shared" si="134"/>
        <v>0</v>
      </c>
      <c r="M125" s="382">
        <f t="shared" si="134"/>
        <v>0</v>
      </c>
      <c r="N125" s="382">
        <f t="shared" si="134"/>
        <v>0</v>
      </c>
      <c r="O125" s="383">
        <f t="shared" si="134"/>
        <v>0</v>
      </c>
      <c r="P125" s="873">
        <f t="shared" si="126"/>
        <v>0</v>
      </c>
      <c r="Q125" s="1238" t="str">
        <f t="shared" si="123"/>
        <v>-</v>
      </c>
      <c r="S125" s="353"/>
      <c r="T125" s="353"/>
      <c r="U125" s="353"/>
      <c r="V125" s="353"/>
    </row>
    <row r="126" spans="1:22" ht="15" customHeight="1" thickBot="1">
      <c r="A126" s="410" t="s">
        <v>18</v>
      </c>
      <c r="B126" s="411">
        <f t="shared" ref="B126:C126" si="135">SUM(B122:B125)</f>
        <v>0</v>
      </c>
      <c r="C126" s="412">
        <f t="shared" si="135"/>
        <v>0</v>
      </c>
      <c r="D126" s="413">
        <f t="shared" ref="D126:P126" si="136">SUM(D122:D125)</f>
        <v>0</v>
      </c>
      <c r="E126" s="414">
        <f t="shared" si="136"/>
        <v>0</v>
      </c>
      <c r="F126" s="414">
        <f t="shared" si="136"/>
        <v>0</v>
      </c>
      <c r="G126" s="414">
        <f t="shared" si="136"/>
        <v>0</v>
      </c>
      <c r="H126" s="414">
        <f t="shared" si="136"/>
        <v>0</v>
      </c>
      <c r="I126" s="414">
        <f t="shared" si="136"/>
        <v>0</v>
      </c>
      <c r="J126" s="414">
        <f t="shared" si="136"/>
        <v>0</v>
      </c>
      <c r="K126" s="414">
        <f t="shared" si="136"/>
        <v>0</v>
      </c>
      <c r="L126" s="414">
        <f t="shared" si="136"/>
        <v>0</v>
      </c>
      <c r="M126" s="414">
        <f t="shared" si="136"/>
        <v>0</v>
      </c>
      <c r="N126" s="414">
        <f t="shared" si="136"/>
        <v>0</v>
      </c>
      <c r="O126" s="412">
        <f t="shared" si="136"/>
        <v>0</v>
      </c>
      <c r="P126" s="875">
        <f t="shared" si="136"/>
        <v>0</v>
      </c>
      <c r="Q126" s="1241" t="str">
        <f t="shared" si="123"/>
        <v>-</v>
      </c>
    </row>
    <row r="127" spans="1:22" ht="22.5" customHeight="1" thickBot="1">
      <c r="A127" s="362" t="s">
        <v>29</v>
      </c>
      <c r="B127" s="420">
        <f t="shared" ref="B127:C129" si="137">+B81-B104</f>
        <v>0</v>
      </c>
      <c r="C127" s="416">
        <f t="shared" si="137"/>
        <v>0</v>
      </c>
      <c r="D127" s="417">
        <f t="shared" ref="D127:O127" si="138">+D81-D104</f>
        <v>0</v>
      </c>
      <c r="E127" s="418">
        <f t="shared" si="138"/>
        <v>0</v>
      </c>
      <c r="F127" s="418">
        <f t="shared" si="138"/>
        <v>0</v>
      </c>
      <c r="G127" s="418">
        <f t="shared" si="138"/>
        <v>0</v>
      </c>
      <c r="H127" s="418">
        <f t="shared" si="138"/>
        <v>0</v>
      </c>
      <c r="I127" s="418">
        <f t="shared" si="138"/>
        <v>0</v>
      </c>
      <c r="J127" s="418">
        <f t="shared" si="138"/>
        <v>0</v>
      </c>
      <c r="K127" s="418">
        <f t="shared" si="138"/>
        <v>0</v>
      </c>
      <c r="L127" s="418">
        <f t="shared" si="138"/>
        <v>0</v>
      </c>
      <c r="M127" s="418">
        <f t="shared" si="138"/>
        <v>0</v>
      </c>
      <c r="N127" s="418">
        <f t="shared" si="138"/>
        <v>0</v>
      </c>
      <c r="O127" s="419">
        <f t="shared" si="138"/>
        <v>0</v>
      </c>
      <c r="P127" s="876">
        <f>SUM(P128:P129)</f>
        <v>0</v>
      </c>
      <c r="Q127" s="1242" t="str">
        <f t="shared" si="123"/>
        <v>-</v>
      </c>
    </row>
    <row r="128" spans="1:22" ht="16.5" customHeight="1">
      <c r="A128" s="422" t="s">
        <v>19</v>
      </c>
      <c r="B128" s="423">
        <f t="shared" si="137"/>
        <v>0</v>
      </c>
      <c r="C128" s="424">
        <f t="shared" si="137"/>
        <v>0</v>
      </c>
      <c r="D128" s="425">
        <f t="shared" ref="D128:O128" si="139">+D82-D105</f>
        <v>0</v>
      </c>
      <c r="E128" s="426">
        <f t="shared" si="139"/>
        <v>0</v>
      </c>
      <c r="F128" s="426">
        <f t="shared" si="139"/>
        <v>0</v>
      </c>
      <c r="G128" s="426">
        <f t="shared" si="139"/>
        <v>0</v>
      </c>
      <c r="H128" s="426">
        <f t="shared" si="139"/>
        <v>0</v>
      </c>
      <c r="I128" s="426">
        <f t="shared" si="139"/>
        <v>0</v>
      </c>
      <c r="J128" s="426">
        <f t="shared" si="139"/>
        <v>0</v>
      </c>
      <c r="K128" s="426">
        <f t="shared" si="139"/>
        <v>0</v>
      </c>
      <c r="L128" s="426">
        <f t="shared" si="139"/>
        <v>0</v>
      </c>
      <c r="M128" s="426">
        <f t="shared" si="139"/>
        <v>0</v>
      </c>
      <c r="N128" s="426">
        <f t="shared" si="139"/>
        <v>0</v>
      </c>
      <c r="O128" s="427">
        <f t="shared" si="139"/>
        <v>0</v>
      </c>
      <c r="P128" s="877">
        <f>SUM(D128:O128)</f>
        <v>0</v>
      </c>
      <c r="Q128" s="1243" t="str">
        <f t="shared" si="123"/>
        <v>-</v>
      </c>
    </row>
    <row r="129" spans="1:17" ht="16.5" customHeight="1" thickBot="1">
      <c r="A129" s="430" t="s">
        <v>20</v>
      </c>
      <c r="B129" s="431">
        <f t="shared" si="137"/>
        <v>0</v>
      </c>
      <c r="C129" s="432">
        <f t="shared" si="137"/>
        <v>0</v>
      </c>
      <c r="D129" s="433">
        <f t="shared" ref="D129:O129" si="140">+D83-D106</f>
        <v>0</v>
      </c>
      <c r="E129" s="434">
        <f t="shared" si="140"/>
        <v>0</v>
      </c>
      <c r="F129" s="434">
        <f t="shared" si="140"/>
        <v>0</v>
      </c>
      <c r="G129" s="434">
        <f t="shared" si="140"/>
        <v>0</v>
      </c>
      <c r="H129" s="434">
        <f t="shared" si="140"/>
        <v>0</v>
      </c>
      <c r="I129" s="434">
        <f t="shared" si="140"/>
        <v>0</v>
      </c>
      <c r="J129" s="434">
        <f t="shared" si="140"/>
        <v>0</v>
      </c>
      <c r="K129" s="434">
        <f t="shared" si="140"/>
        <v>0</v>
      </c>
      <c r="L129" s="434">
        <f t="shared" si="140"/>
        <v>0</v>
      </c>
      <c r="M129" s="434">
        <f t="shared" si="140"/>
        <v>0</v>
      </c>
      <c r="N129" s="434">
        <f t="shared" si="140"/>
        <v>0</v>
      </c>
      <c r="O129" s="435">
        <f t="shared" si="140"/>
        <v>0</v>
      </c>
      <c r="P129" s="878">
        <f>SUM(D129:O129)</f>
        <v>0</v>
      </c>
      <c r="Q129" s="1244" t="str">
        <f t="shared" si="123"/>
        <v>-</v>
      </c>
    </row>
    <row r="130" spans="1:17" ht="22.5" customHeight="1" thickBot="1">
      <c r="A130" s="362" t="s">
        <v>30</v>
      </c>
      <c r="B130" s="363">
        <f t="shared" ref="B130:C130" si="141">SUM(B131:B132)</f>
        <v>0</v>
      </c>
      <c r="C130" s="416">
        <f t="shared" si="141"/>
        <v>0</v>
      </c>
      <c r="D130" s="417">
        <f t="shared" ref="D130:P130" si="142">SUM(D131:D132)</f>
        <v>0</v>
      </c>
      <c r="E130" s="418">
        <f t="shared" si="142"/>
        <v>0</v>
      </c>
      <c r="F130" s="418">
        <f t="shared" si="142"/>
        <v>0</v>
      </c>
      <c r="G130" s="418">
        <f t="shared" si="142"/>
        <v>0</v>
      </c>
      <c r="H130" s="418">
        <f t="shared" si="142"/>
        <v>0</v>
      </c>
      <c r="I130" s="418">
        <f t="shared" si="142"/>
        <v>0</v>
      </c>
      <c r="J130" s="418">
        <f t="shared" si="142"/>
        <v>0</v>
      </c>
      <c r="K130" s="418">
        <f t="shared" si="142"/>
        <v>0</v>
      </c>
      <c r="L130" s="418">
        <f t="shared" si="142"/>
        <v>0</v>
      </c>
      <c r="M130" s="418">
        <f t="shared" si="142"/>
        <v>0</v>
      </c>
      <c r="N130" s="418">
        <f t="shared" si="142"/>
        <v>0</v>
      </c>
      <c r="O130" s="419">
        <f t="shared" si="142"/>
        <v>0</v>
      </c>
      <c r="P130" s="876">
        <f t="shared" si="142"/>
        <v>0</v>
      </c>
      <c r="Q130" s="1242" t="str">
        <f t="shared" si="123"/>
        <v>-</v>
      </c>
    </row>
    <row r="131" spans="1:17" ht="16.5" customHeight="1">
      <c r="A131" s="422" t="s">
        <v>106</v>
      </c>
      <c r="B131" s="423">
        <f t="shared" ref="B131:C132" si="143">+B85-B108</f>
        <v>0</v>
      </c>
      <c r="C131" s="424">
        <f t="shared" si="143"/>
        <v>0</v>
      </c>
      <c r="D131" s="425">
        <f t="shared" ref="D131:O131" si="144">+D85-D108</f>
        <v>0</v>
      </c>
      <c r="E131" s="426">
        <f t="shared" si="144"/>
        <v>0</v>
      </c>
      <c r="F131" s="426">
        <f t="shared" si="144"/>
        <v>0</v>
      </c>
      <c r="G131" s="426">
        <f t="shared" si="144"/>
        <v>0</v>
      </c>
      <c r="H131" s="426">
        <f t="shared" si="144"/>
        <v>0</v>
      </c>
      <c r="I131" s="426">
        <f t="shared" si="144"/>
        <v>0</v>
      </c>
      <c r="J131" s="426">
        <f t="shared" si="144"/>
        <v>0</v>
      </c>
      <c r="K131" s="426">
        <f t="shared" si="144"/>
        <v>0</v>
      </c>
      <c r="L131" s="426">
        <f t="shared" si="144"/>
        <v>0</v>
      </c>
      <c r="M131" s="426">
        <f t="shared" si="144"/>
        <v>0</v>
      </c>
      <c r="N131" s="426">
        <f t="shared" si="144"/>
        <v>0</v>
      </c>
      <c r="O131" s="427">
        <f t="shared" si="144"/>
        <v>0</v>
      </c>
      <c r="P131" s="877">
        <f>SUM(D131:O131)</f>
        <v>0</v>
      </c>
      <c r="Q131" s="1243" t="str">
        <f>IF(P131=0,"-",P131/C131-1)</f>
        <v>-</v>
      </c>
    </row>
    <row r="132" spans="1:17" ht="16.5" customHeight="1" thickBot="1">
      <c r="A132" s="438" t="s">
        <v>105</v>
      </c>
      <c r="B132" s="439">
        <f t="shared" si="143"/>
        <v>0</v>
      </c>
      <c r="C132" s="440">
        <f t="shared" si="143"/>
        <v>0</v>
      </c>
      <c r="D132" s="441">
        <f t="shared" ref="D132:O132" si="145">+D86-D109</f>
        <v>0</v>
      </c>
      <c r="E132" s="442">
        <f t="shared" si="145"/>
        <v>0</v>
      </c>
      <c r="F132" s="442">
        <f t="shared" si="145"/>
        <v>0</v>
      </c>
      <c r="G132" s="442">
        <f t="shared" si="145"/>
        <v>0</v>
      </c>
      <c r="H132" s="442">
        <f t="shared" si="145"/>
        <v>0</v>
      </c>
      <c r="I132" s="442">
        <f t="shared" si="145"/>
        <v>0</v>
      </c>
      <c r="J132" s="442">
        <f t="shared" si="145"/>
        <v>0</v>
      </c>
      <c r="K132" s="442">
        <f t="shared" si="145"/>
        <v>0</v>
      </c>
      <c r="L132" s="442">
        <f t="shared" si="145"/>
        <v>0</v>
      </c>
      <c r="M132" s="442">
        <f t="shared" si="145"/>
        <v>0</v>
      </c>
      <c r="N132" s="442">
        <f t="shared" si="145"/>
        <v>0</v>
      </c>
      <c r="O132" s="443">
        <f t="shared" si="145"/>
        <v>0</v>
      </c>
      <c r="P132" s="879">
        <f>SUM(D132:O132)</f>
        <v>0</v>
      </c>
      <c r="Q132" s="1245" t="str">
        <f t="shared" si="123"/>
        <v>-</v>
      </c>
    </row>
    <row r="133" spans="1:17" ht="16.5" customHeight="1" thickBot="1">
      <c r="C133" s="353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880"/>
      <c r="Q133" s="447"/>
    </row>
    <row r="134" spans="1:17" ht="22.5" customHeight="1" thickBot="1">
      <c r="A134" s="362" t="s">
        <v>86</v>
      </c>
      <c r="B134" s="363">
        <f t="shared" ref="B134:C134" si="146">+B88-B111</f>
        <v>0</v>
      </c>
      <c r="C134" s="364">
        <f t="shared" si="146"/>
        <v>0</v>
      </c>
      <c r="D134" s="365">
        <f t="shared" ref="D134:O134" si="147">+D88-D111</f>
        <v>0</v>
      </c>
      <c r="E134" s="366">
        <f t="shared" si="147"/>
        <v>0</v>
      </c>
      <c r="F134" s="366">
        <f t="shared" si="147"/>
        <v>0</v>
      </c>
      <c r="G134" s="366">
        <f t="shared" si="147"/>
        <v>0</v>
      </c>
      <c r="H134" s="366">
        <f t="shared" si="147"/>
        <v>0</v>
      </c>
      <c r="I134" s="366">
        <f t="shared" si="147"/>
        <v>0</v>
      </c>
      <c r="J134" s="366">
        <f t="shared" si="147"/>
        <v>0</v>
      </c>
      <c r="K134" s="366">
        <f t="shared" si="147"/>
        <v>0</v>
      </c>
      <c r="L134" s="366">
        <f t="shared" si="147"/>
        <v>0</v>
      </c>
      <c r="M134" s="366">
        <f t="shared" si="147"/>
        <v>0</v>
      </c>
      <c r="N134" s="366">
        <f t="shared" si="147"/>
        <v>0</v>
      </c>
      <c r="O134" s="448">
        <f t="shared" si="147"/>
        <v>0</v>
      </c>
      <c r="P134" s="869">
        <f>SUM(D134:O134)</f>
        <v>0</v>
      </c>
      <c r="Q134" s="367" t="str">
        <f>IF(P134=0,"-",P134/#REF!-1)</f>
        <v>-</v>
      </c>
    </row>
    <row r="135" spans="1:17" s="454" customFormat="1" ht="14.25" customHeight="1" thickBot="1">
      <c r="A135" s="451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881"/>
      <c r="Q135" s="453"/>
    </row>
    <row r="136" spans="1:17" s="454" customFormat="1" ht="23.25" customHeight="1" thickBot="1">
      <c r="A136" s="362" t="s">
        <v>36</v>
      </c>
      <c r="B136" s="363">
        <f>+B117+B127+B130+B134</f>
        <v>0</v>
      </c>
      <c r="C136" s="364">
        <f t="shared" ref="C136" si="148">+C117+C127+C130+C134</f>
        <v>0</v>
      </c>
      <c r="D136" s="365">
        <f t="shared" ref="D136:P136" si="149">+D117+D127+D130+D134</f>
        <v>0</v>
      </c>
      <c r="E136" s="366">
        <f t="shared" si="149"/>
        <v>0</v>
      </c>
      <c r="F136" s="366">
        <f t="shared" si="149"/>
        <v>0</v>
      </c>
      <c r="G136" s="366">
        <f t="shared" si="149"/>
        <v>0</v>
      </c>
      <c r="H136" s="366">
        <f t="shared" si="149"/>
        <v>0</v>
      </c>
      <c r="I136" s="366">
        <f t="shared" si="149"/>
        <v>0</v>
      </c>
      <c r="J136" s="366">
        <f t="shared" si="149"/>
        <v>0</v>
      </c>
      <c r="K136" s="366">
        <f t="shared" si="149"/>
        <v>0</v>
      </c>
      <c r="L136" s="366">
        <f t="shared" si="149"/>
        <v>0</v>
      </c>
      <c r="M136" s="366">
        <f t="shared" si="149"/>
        <v>0</v>
      </c>
      <c r="N136" s="366">
        <f t="shared" si="149"/>
        <v>0</v>
      </c>
      <c r="O136" s="364">
        <f t="shared" si="149"/>
        <v>0</v>
      </c>
      <c r="P136" s="869">
        <f t="shared" si="149"/>
        <v>0</v>
      </c>
      <c r="Q136" s="367" t="str">
        <f>IF(P136=0,"-",P136/C136-1)</f>
        <v>-</v>
      </c>
    </row>
    <row r="137" spans="1:17" ht="15" thickBot="1"/>
    <row r="138" spans="1:17" ht="33" customHeight="1" thickBot="1">
      <c r="A138" s="354"/>
      <c r="B138" s="2372" t="s">
        <v>664</v>
      </c>
      <c r="C138" s="2373"/>
      <c r="D138" s="2374" t="s">
        <v>653</v>
      </c>
      <c r="E138" s="2375"/>
      <c r="F138" s="2375"/>
      <c r="G138" s="2375"/>
      <c r="H138" s="2375"/>
      <c r="I138" s="2375"/>
      <c r="J138" s="2375"/>
      <c r="K138" s="2375"/>
      <c r="L138" s="2375"/>
      <c r="M138" s="2375"/>
      <c r="N138" s="2375"/>
      <c r="O138" s="2375"/>
      <c r="P138" s="2376"/>
      <c r="Q138" s="355" t="s">
        <v>638</v>
      </c>
    </row>
    <row r="139" spans="1:17" ht="30.75" customHeight="1" thickBot="1">
      <c r="A139" s="356"/>
      <c r="B139" s="357" t="s">
        <v>657</v>
      </c>
      <c r="C139" s="357" t="s">
        <v>703</v>
      </c>
      <c r="D139" s="358" t="s">
        <v>1</v>
      </c>
      <c r="E139" s="359" t="s">
        <v>2</v>
      </c>
      <c r="F139" s="359" t="s">
        <v>3</v>
      </c>
      <c r="G139" s="359" t="s">
        <v>4</v>
      </c>
      <c r="H139" s="359" t="s">
        <v>5</v>
      </c>
      <c r="I139" s="359" t="s">
        <v>6</v>
      </c>
      <c r="J139" s="359" t="s">
        <v>7</v>
      </c>
      <c r="K139" s="359" t="s">
        <v>8</v>
      </c>
      <c r="L139" s="359" t="s">
        <v>9</v>
      </c>
      <c r="M139" s="359" t="s">
        <v>10</v>
      </c>
      <c r="N139" s="359" t="s">
        <v>11</v>
      </c>
      <c r="O139" s="359" t="s">
        <v>12</v>
      </c>
      <c r="P139" s="868" t="s">
        <v>13</v>
      </c>
      <c r="Q139" s="361" t="s">
        <v>619</v>
      </c>
    </row>
    <row r="140" spans="1:17" ht="22.5" customHeight="1" thickBot="1">
      <c r="A140" s="362" t="s">
        <v>37</v>
      </c>
      <c r="B140" s="363">
        <f t="shared" ref="B140:C140" si="150">SUM(B141:B173)</f>
        <v>0</v>
      </c>
      <c r="C140" s="364">
        <f t="shared" si="150"/>
        <v>0</v>
      </c>
      <c r="D140" s="417">
        <f t="shared" ref="D140:P140" si="151">SUM(D141:D173)</f>
        <v>0</v>
      </c>
      <c r="E140" s="418">
        <f t="shared" si="151"/>
        <v>0</v>
      </c>
      <c r="F140" s="418">
        <f t="shared" si="151"/>
        <v>0</v>
      </c>
      <c r="G140" s="418">
        <f t="shared" si="151"/>
        <v>0</v>
      </c>
      <c r="H140" s="418">
        <f t="shared" si="151"/>
        <v>0</v>
      </c>
      <c r="I140" s="418">
        <f t="shared" si="151"/>
        <v>0</v>
      </c>
      <c r="J140" s="418">
        <f t="shared" si="151"/>
        <v>0</v>
      </c>
      <c r="K140" s="418">
        <f t="shared" si="151"/>
        <v>0</v>
      </c>
      <c r="L140" s="418">
        <f t="shared" si="151"/>
        <v>0</v>
      </c>
      <c r="M140" s="418">
        <f t="shared" si="151"/>
        <v>0</v>
      </c>
      <c r="N140" s="418">
        <f t="shared" si="151"/>
        <v>0</v>
      </c>
      <c r="O140" s="416">
        <f t="shared" si="151"/>
        <v>0</v>
      </c>
      <c r="P140" s="876">
        <f t="shared" si="151"/>
        <v>0</v>
      </c>
      <c r="Q140" s="1242" t="str">
        <f t="shared" ref="Q140:Q173" si="152">IF(P140=0,"-",P140/C140-1)</f>
        <v>-</v>
      </c>
    </row>
    <row r="141" spans="1:17">
      <c r="A141" s="468" t="s">
        <v>38</v>
      </c>
      <c r="B141" s="471"/>
      <c r="C141" s="471"/>
      <c r="D141" s="1879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  <c r="P141" s="882">
        <f t="shared" ref="P141:P173" si="153">SUM(D141:O141)</f>
        <v>0</v>
      </c>
      <c r="Q141" s="1252" t="str">
        <f t="shared" si="152"/>
        <v>-</v>
      </c>
    </row>
    <row r="142" spans="1:17">
      <c r="A142" s="476" t="s">
        <v>39</v>
      </c>
      <c r="B142" s="479"/>
      <c r="C142" s="479"/>
      <c r="D142" s="1880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101"/>
      <c r="P142" s="883">
        <f t="shared" si="153"/>
        <v>0</v>
      </c>
      <c r="Q142" s="1253" t="str">
        <f t="shared" si="152"/>
        <v>-</v>
      </c>
    </row>
    <row r="143" spans="1:17">
      <c r="A143" s="483" t="s">
        <v>67</v>
      </c>
      <c r="B143" s="486"/>
      <c r="C143" s="486"/>
      <c r="D143" s="1881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9"/>
      <c r="P143" s="872">
        <f t="shared" si="153"/>
        <v>0</v>
      </c>
      <c r="Q143" s="1254" t="str">
        <f t="shared" si="152"/>
        <v>-</v>
      </c>
    </row>
    <row r="144" spans="1:17">
      <c r="A144" s="476" t="s">
        <v>40</v>
      </c>
      <c r="B144" s="479"/>
      <c r="C144" s="479"/>
      <c r="D144" s="1880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101"/>
      <c r="P144" s="883">
        <f t="shared" si="153"/>
        <v>0</v>
      </c>
      <c r="Q144" s="1253" t="str">
        <f t="shared" si="152"/>
        <v>-</v>
      </c>
    </row>
    <row r="145" spans="1:17">
      <c r="A145" s="483" t="s">
        <v>41</v>
      </c>
      <c r="B145" s="486"/>
      <c r="C145" s="486"/>
      <c r="D145" s="1881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9"/>
      <c r="P145" s="872">
        <f t="shared" si="153"/>
        <v>0</v>
      </c>
      <c r="Q145" s="1254" t="str">
        <f t="shared" si="152"/>
        <v>-</v>
      </c>
    </row>
    <row r="146" spans="1:17">
      <c r="A146" s="476" t="s">
        <v>42</v>
      </c>
      <c r="B146" s="479"/>
      <c r="C146" s="479"/>
      <c r="D146" s="1880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101"/>
      <c r="P146" s="883">
        <f t="shared" si="153"/>
        <v>0</v>
      </c>
      <c r="Q146" s="1253" t="str">
        <f t="shared" si="152"/>
        <v>-</v>
      </c>
    </row>
    <row r="147" spans="1:17">
      <c r="A147" s="483" t="s">
        <v>43</v>
      </c>
      <c r="B147" s="486"/>
      <c r="C147" s="486"/>
      <c r="D147" s="1881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9"/>
      <c r="P147" s="872">
        <f t="shared" si="153"/>
        <v>0</v>
      </c>
      <c r="Q147" s="1254" t="str">
        <f t="shared" si="152"/>
        <v>-</v>
      </c>
    </row>
    <row r="148" spans="1:17">
      <c r="A148" s="476" t="s">
        <v>44</v>
      </c>
      <c r="B148" s="479"/>
      <c r="C148" s="479"/>
      <c r="D148" s="1880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101"/>
      <c r="P148" s="883">
        <f t="shared" si="153"/>
        <v>0</v>
      </c>
      <c r="Q148" s="1253" t="str">
        <f t="shared" si="152"/>
        <v>-</v>
      </c>
    </row>
    <row r="149" spans="1:17">
      <c r="A149" s="483" t="s">
        <v>45</v>
      </c>
      <c r="B149" s="486"/>
      <c r="C149" s="486"/>
      <c r="D149" s="1881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9"/>
      <c r="P149" s="872">
        <f t="shared" si="153"/>
        <v>0</v>
      </c>
      <c r="Q149" s="1254" t="str">
        <f t="shared" si="152"/>
        <v>-</v>
      </c>
    </row>
    <row r="150" spans="1:17">
      <c r="A150" s="476" t="s">
        <v>46</v>
      </c>
      <c r="B150" s="479"/>
      <c r="C150" s="479"/>
      <c r="D150" s="1880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101"/>
      <c r="P150" s="883">
        <f t="shared" si="153"/>
        <v>0</v>
      </c>
      <c r="Q150" s="1253" t="str">
        <f t="shared" si="152"/>
        <v>-</v>
      </c>
    </row>
    <row r="151" spans="1:17" ht="14.25" customHeight="1">
      <c r="A151" s="483" t="s">
        <v>65</v>
      </c>
      <c r="B151" s="486"/>
      <c r="C151" s="486"/>
      <c r="D151" s="1881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9"/>
      <c r="P151" s="872">
        <f t="shared" si="153"/>
        <v>0</v>
      </c>
      <c r="Q151" s="1254" t="str">
        <f t="shared" si="152"/>
        <v>-</v>
      </c>
    </row>
    <row r="152" spans="1:17">
      <c r="A152" s="476" t="s">
        <v>78</v>
      </c>
      <c r="B152" s="479"/>
      <c r="C152" s="479"/>
      <c r="D152" s="1880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101"/>
      <c r="P152" s="883">
        <f t="shared" si="153"/>
        <v>0</v>
      </c>
      <c r="Q152" s="1253" t="str">
        <f t="shared" si="152"/>
        <v>-</v>
      </c>
    </row>
    <row r="153" spans="1:17">
      <c r="A153" s="483" t="s">
        <v>47</v>
      </c>
      <c r="B153" s="486"/>
      <c r="C153" s="486"/>
      <c r="D153" s="1881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9"/>
      <c r="P153" s="872">
        <f t="shared" si="153"/>
        <v>0</v>
      </c>
      <c r="Q153" s="1254" t="str">
        <f t="shared" si="152"/>
        <v>-</v>
      </c>
    </row>
    <row r="154" spans="1:17">
      <c r="A154" s="476" t="s">
        <v>48</v>
      </c>
      <c r="B154" s="479"/>
      <c r="C154" s="479"/>
      <c r="D154" s="1880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101"/>
      <c r="P154" s="883">
        <f t="shared" si="153"/>
        <v>0</v>
      </c>
      <c r="Q154" s="1253" t="str">
        <f t="shared" si="152"/>
        <v>-</v>
      </c>
    </row>
    <row r="155" spans="1:17">
      <c r="A155" s="483" t="s">
        <v>77</v>
      </c>
      <c r="B155" s="486"/>
      <c r="C155" s="486"/>
      <c r="D155" s="1881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9"/>
      <c r="P155" s="872">
        <f t="shared" si="153"/>
        <v>0</v>
      </c>
      <c r="Q155" s="1254" t="str">
        <f t="shared" si="152"/>
        <v>-</v>
      </c>
    </row>
    <row r="156" spans="1:17">
      <c r="A156" s="476" t="s">
        <v>49</v>
      </c>
      <c r="B156" s="479"/>
      <c r="C156" s="479"/>
      <c r="D156" s="1880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101"/>
      <c r="P156" s="883">
        <f t="shared" si="153"/>
        <v>0</v>
      </c>
      <c r="Q156" s="1253" t="str">
        <f t="shared" si="152"/>
        <v>-</v>
      </c>
    </row>
    <row r="157" spans="1:17">
      <c r="A157" s="483" t="s">
        <v>50</v>
      </c>
      <c r="B157" s="486"/>
      <c r="C157" s="486"/>
      <c r="D157" s="1881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9"/>
      <c r="P157" s="872">
        <f t="shared" si="153"/>
        <v>0</v>
      </c>
      <c r="Q157" s="1254" t="str">
        <f t="shared" si="152"/>
        <v>-</v>
      </c>
    </row>
    <row r="158" spans="1:17" ht="15" customHeight="1">
      <c r="A158" s="476" t="s">
        <v>76</v>
      </c>
      <c r="B158" s="479"/>
      <c r="C158" s="479"/>
      <c r="D158" s="1880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101"/>
      <c r="P158" s="883">
        <f t="shared" si="153"/>
        <v>0</v>
      </c>
      <c r="Q158" s="1253" t="str">
        <f t="shared" si="152"/>
        <v>-</v>
      </c>
    </row>
    <row r="159" spans="1:17">
      <c r="A159" s="483" t="s">
        <v>51</v>
      </c>
      <c r="B159" s="486"/>
      <c r="C159" s="486"/>
      <c r="D159" s="1881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9"/>
      <c r="P159" s="872">
        <f t="shared" si="153"/>
        <v>0</v>
      </c>
      <c r="Q159" s="1254" t="str">
        <f t="shared" si="152"/>
        <v>-</v>
      </c>
    </row>
    <row r="160" spans="1:17">
      <c r="A160" s="476" t="s">
        <v>52</v>
      </c>
      <c r="B160" s="479"/>
      <c r="C160" s="479"/>
      <c r="D160" s="1880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101"/>
      <c r="P160" s="883">
        <f t="shared" si="153"/>
        <v>0</v>
      </c>
      <c r="Q160" s="1253" t="str">
        <f t="shared" si="152"/>
        <v>-</v>
      </c>
    </row>
    <row r="161" spans="1:17">
      <c r="A161" s="483" t="s">
        <v>53</v>
      </c>
      <c r="B161" s="486"/>
      <c r="C161" s="486"/>
      <c r="D161" s="1881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9"/>
      <c r="P161" s="872">
        <f t="shared" si="153"/>
        <v>0</v>
      </c>
      <c r="Q161" s="1254" t="str">
        <f t="shared" si="152"/>
        <v>-</v>
      </c>
    </row>
    <row r="162" spans="1:17">
      <c r="A162" s="476" t="s">
        <v>54</v>
      </c>
      <c r="B162" s="479"/>
      <c r="C162" s="479"/>
      <c r="D162" s="1880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101"/>
      <c r="P162" s="883">
        <f t="shared" si="153"/>
        <v>0</v>
      </c>
      <c r="Q162" s="1253" t="str">
        <f t="shared" si="152"/>
        <v>-</v>
      </c>
    </row>
    <row r="163" spans="1:17">
      <c r="A163" s="483" t="s">
        <v>55</v>
      </c>
      <c r="B163" s="486"/>
      <c r="C163" s="486"/>
      <c r="D163" s="1881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9"/>
      <c r="P163" s="872">
        <f t="shared" si="153"/>
        <v>0</v>
      </c>
      <c r="Q163" s="1254" t="str">
        <f t="shared" si="152"/>
        <v>-</v>
      </c>
    </row>
    <row r="164" spans="1:17">
      <c r="A164" s="476" t="s">
        <v>56</v>
      </c>
      <c r="B164" s="479"/>
      <c r="C164" s="479"/>
      <c r="D164" s="1880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101"/>
      <c r="P164" s="883">
        <f t="shared" si="153"/>
        <v>0</v>
      </c>
      <c r="Q164" s="1253" t="str">
        <f t="shared" si="152"/>
        <v>-</v>
      </c>
    </row>
    <row r="165" spans="1:17">
      <c r="A165" s="483" t="s">
        <v>57</v>
      </c>
      <c r="B165" s="486"/>
      <c r="C165" s="486"/>
      <c r="D165" s="1881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9"/>
      <c r="P165" s="872">
        <f t="shared" si="153"/>
        <v>0</v>
      </c>
      <c r="Q165" s="1254" t="str">
        <f t="shared" si="152"/>
        <v>-</v>
      </c>
    </row>
    <row r="166" spans="1:17">
      <c r="A166" s="476" t="s">
        <v>58</v>
      </c>
      <c r="B166" s="479"/>
      <c r="C166" s="479"/>
      <c r="D166" s="1880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101"/>
      <c r="P166" s="883">
        <f t="shared" si="153"/>
        <v>0</v>
      </c>
      <c r="Q166" s="1253" t="str">
        <f t="shared" si="152"/>
        <v>-</v>
      </c>
    </row>
    <row r="167" spans="1:17">
      <c r="A167" s="483" t="s">
        <v>59</v>
      </c>
      <c r="B167" s="486"/>
      <c r="C167" s="486"/>
      <c r="D167" s="1881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9"/>
      <c r="P167" s="872">
        <f t="shared" si="153"/>
        <v>0</v>
      </c>
      <c r="Q167" s="1254" t="str">
        <f t="shared" si="152"/>
        <v>-</v>
      </c>
    </row>
    <row r="168" spans="1:17">
      <c r="A168" s="476" t="s">
        <v>60</v>
      </c>
      <c r="B168" s="479"/>
      <c r="C168" s="479"/>
      <c r="D168" s="1880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101"/>
      <c r="P168" s="883">
        <f t="shared" si="153"/>
        <v>0</v>
      </c>
      <c r="Q168" s="1253" t="str">
        <f t="shared" si="152"/>
        <v>-</v>
      </c>
    </row>
    <row r="169" spans="1:17">
      <c r="A169" s="483" t="s">
        <v>61</v>
      </c>
      <c r="B169" s="486"/>
      <c r="C169" s="486"/>
      <c r="D169" s="1881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9"/>
      <c r="P169" s="872">
        <f t="shared" si="153"/>
        <v>0</v>
      </c>
      <c r="Q169" s="1254" t="str">
        <f t="shared" si="152"/>
        <v>-</v>
      </c>
    </row>
    <row r="170" spans="1:17">
      <c r="A170" s="476" t="s">
        <v>62</v>
      </c>
      <c r="B170" s="479"/>
      <c r="C170" s="479"/>
      <c r="D170" s="1880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101"/>
      <c r="P170" s="883">
        <f t="shared" si="153"/>
        <v>0</v>
      </c>
      <c r="Q170" s="1253" t="str">
        <f t="shared" si="152"/>
        <v>-</v>
      </c>
    </row>
    <row r="171" spans="1:17">
      <c r="A171" s="483" t="s">
        <v>63</v>
      </c>
      <c r="B171" s="486"/>
      <c r="C171" s="486"/>
      <c r="D171" s="1881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9"/>
      <c r="P171" s="872">
        <f t="shared" si="153"/>
        <v>0</v>
      </c>
      <c r="Q171" s="1254" t="str">
        <f t="shared" si="152"/>
        <v>-</v>
      </c>
    </row>
    <row r="172" spans="1:17">
      <c r="A172" s="476" t="s">
        <v>66</v>
      </c>
      <c r="B172" s="479"/>
      <c r="C172" s="479"/>
      <c r="D172" s="1880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101"/>
      <c r="P172" s="883">
        <f>SUM(D172:O172)</f>
        <v>0</v>
      </c>
      <c r="Q172" s="1253" t="str">
        <f t="shared" si="152"/>
        <v>-</v>
      </c>
    </row>
    <row r="173" spans="1:17" ht="15" thickBot="1">
      <c r="A173" s="490" t="s">
        <v>64</v>
      </c>
      <c r="B173" s="493"/>
      <c r="C173" s="493"/>
      <c r="D173" s="1882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10"/>
      <c r="P173" s="884">
        <f t="shared" si="153"/>
        <v>0</v>
      </c>
      <c r="Q173" s="1255" t="str">
        <f t="shared" si="152"/>
        <v>-</v>
      </c>
    </row>
    <row r="174" spans="1:17" ht="15" thickBot="1"/>
    <row r="175" spans="1:17" ht="33" customHeight="1" thickBot="1">
      <c r="A175" s="354"/>
      <c r="B175" s="2372" t="s">
        <v>662</v>
      </c>
      <c r="C175" s="2373"/>
      <c r="D175" s="2374" t="s">
        <v>654</v>
      </c>
      <c r="E175" s="2375"/>
      <c r="F175" s="2375"/>
      <c r="G175" s="2375"/>
      <c r="H175" s="2375"/>
      <c r="I175" s="2375"/>
      <c r="J175" s="2375"/>
      <c r="K175" s="2375"/>
      <c r="L175" s="2375"/>
      <c r="M175" s="2375"/>
      <c r="N175" s="2375"/>
      <c r="O175" s="2375"/>
      <c r="P175" s="2376"/>
      <c r="Q175" s="355" t="s">
        <v>638</v>
      </c>
    </row>
    <row r="176" spans="1:17" ht="30.75" customHeight="1" thickBot="1">
      <c r="A176" s="498"/>
      <c r="B176" s="357" t="s">
        <v>657</v>
      </c>
      <c r="C176" s="357" t="s">
        <v>663</v>
      </c>
      <c r="D176" s="499" t="s">
        <v>1</v>
      </c>
      <c r="E176" s="500" t="s">
        <v>2</v>
      </c>
      <c r="F176" s="500" t="s">
        <v>3</v>
      </c>
      <c r="G176" s="500" t="s">
        <v>4</v>
      </c>
      <c r="H176" s="500" t="s">
        <v>5</v>
      </c>
      <c r="I176" s="500" t="s">
        <v>6</v>
      </c>
      <c r="J176" s="500" t="s">
        <v>7</v>
      </c>
      <c r="K176" s="500" t="s">
        <v>8</v>
      </c>
      <c r="L176" s="500" t="s">
        <v>9</v>
      </c>
      <c r="M176" s="500" t="s">
        <v>10</v>
      </c>
      <c r="N176" s="500" t="s">
        <v>11</v>
      </c>
      <c r="O176" s="500" t="s">
        <v>12</v>
      </c>
      <c r="P176" s="885" t="s">
        <v>13</v>
      </c>
      <c r="Q176" s="361" t="s">
        <v>619</v>
      </c>
    </row>
    <row r="177" spans="1:17" ht="21" customHeight="1">
      <c r="A177" s="502" t="s">
        <v>68</v>
      </c>
      <c r="B177" s="1920">
        <f>B44</f>
        <v>0</v>
      </c>
      <c r="C177" s="504">
        <f t="shared" ref="C177" si="154">C44</f>
        <v>0</v>
      </c>
      <c r="D177" s="505">
        <f t="shared" ref="D177:P177" si="155">D44</f>
        <v>0</v>
      </c>
      <c r="E177" s="472">
        <f t="shared" si="155"/>
        <v>0</v>
      </c>
      <c r="F177" s="472">
        <f t="shared" si="155"/>
        <v>0</v>
      </c>
      <c r="G177" s="472">
        <f t="shared" si="155"/>
        <v>0</v>
      </c>
      <c r="H177" s="472">
        <f t="shared" si="155"/>
        <v>0</v>
      </c>
      <c r="I177" s="472">
        <f t="shared" si="155"/>
        <v>0</v>
      </c>
      <c r="J177" s="472">
        <f t="shared" si="155"/>
        <v>0</v>
      </c>
      <c r="K177" s="472">
        <f t="shared" si="155"/>
        <v>0</v>
      </c>
      <c r="L177" s="472">
        <f t="shared" si="155"/>
        <v>0</v>
      </c>
      <c r="M177" s="472">
        <f t="shared" si="155"/>
        <v>0</v>
      </c>
      <c r="N177" s="472">
        <f t="shared" si="155"/>
        <v>0</v>
      </c>
      <c r="O177" s="473">
        <f t="shared" si="155"/>
        <v>0</v>
      </c>
      <c r="P177" s="882">
        <f t="shared" si="155"/>
        <v>0</v>
      </c>
      <c r="Q177" s="1257" t="str">
        <f t="shared" ref="Q177:Q187" si="156">IF(P177=0,"-",P177/C177-1)</f>
        <v>-</v>
      </c>
    </row>
    <row r="178" spans="1:17" ht="21" customHeight="1">
      <c r="A178" s="476" t="s">
        <v>69</v>
      </c>
      <c r="B178" s="1921">
        <f>B67</f>
        <v>0</v>
      </c>
      <c r="C178" s="508">
        <f t="shared" ref="C178" si="157">C67</f>
        <v>0</v>
      </c>
      <c r="D178" s="509">
        <f t="shared" ref="D178:P178" si="158">D67</f>
        <v>0</v>
      </c>
      <c r="E178" s="480">
        <f t="shared" si="158"/>
        <v>0</v>
      </c>
      <c r="F178" s="480">
        <f t="shared" si="158"/>
        <v>0</v>
      </c>
      <c r="G178" s="480">
        <f t="shared" si="158"/>
        <v>0</v>
      </c>
      <c r="H178" s="480">
        <f t="shared" si="158"/>
        <v>0</v>
      </c>
      <c r="I178" s="480">
        <f t="shared" si="158"/>
        <v>0</v>
      </c>
      <c r="J178" s="480">
        <f t="shared" si="158"/>
        <v>0</v>
      </c>
      <c r="K178" s="480">
        <f t="shared" si="158"/>
        <v>0</v>
      </c>
      <c r="L178" s="480">
        <f t="shared" si="158"/>
        <v>0</v>
      </c>
      <c r="M178" s="480">
        <f t="shared" si="158"/>
        <v>0</v>
      </c>
      <c r="N178" s="480">
        <f t="shared" si="158"/>
        <v>0</v>
      </c>
      <c r="O178" s="481">
        <f t="shared" si="158"/>
        <v>0</v>
      </c>
      <c r="P178" s="883">
        <f t="shared" si="158"/>
        <v>0</v>
      </c>
      <c r="Q178" s="1149" t="str">
        <f t="shared" si="156"/>
        <v>-</v>
      </c>
    </row>
    <row r="179" spans="1:17" ht="21" customHeight="1">
      <c r="A179" s="483" t="s">
        <v>512</v>
      </c>
      <c r="B179" s="1824"/>
      <c r="C179" s="1828"/>
      <c r="D179" s="1824"/>
      <c r="E179" s="1825"/>
      <c r="F179" s="1825"/>
      <c r="G179" s="1825"/>
      <c r="H179" s="1825"/>
      <c r="I179" s="1825"/>
      <c r="J179" s="1825"/>
      <c r="K179" s="1825"/>
      <c r="L179" s="1825"/>
      <c r="M179" s="1825"/>
      <c r="N179" s="1825"/>
      <c r="O179" s="1826"/>
      <c r="P179" s="1827"/>
      <c r="Q179" s="514" t="str">
        <f t="shared" si="156"/>
        <v>-</v>
      </c>
    </row>
    <row r="180" spans="1:17" ht="21" customHeight="1">
      <c r="A180" s="483" t="s">
        <v>70</v>
      </c>
      <c r="B180" s="1922">
        <f>B90-B179</f>
        <v>0</v>
      </c>
      <c r="C180" s="512">
        <f t="shared" ref="C180" si="159">C90-C179</f>
        <v>0</v>
      </c>
      <c r="D180" s="513">
        <f>D90-D179</f>
        <v>0</v>
      </c>
      <c r="E180" s="487">
        <f t="shared" ref="E180:P180" si="160">E90-E179</f>
        <v>0</v>
      </c>
      <c r="F180" s="487">
        <f t="shared" si="160"/>
        <v>0</v>
      </c>
      <c r="G180" s="487">
        <f t="shared" si="160"/>
        <v>0</v>
      </c>
      <c r="H180" s="487">
        <f t="shared" si="160"/>
        <v>0</v>
      </c>
      <c r="I180" s="487">
        <f t="shared" si="160"/>
        <v>0</v>
      </c>
      <c r="J180" s="487">
        <f t="shared" si="160"/>
        <v>0</v>
      </c>
      <c r="K180" s="487">
        <f t="shared" si="160"/>
        <v>0</v>
      </c>
      <c r="L180" s="487">
        <f t="shared" si="160"/>
        <v>0</v>
      </c>
      <c r="M180" s="487">
        <f t="shared" si="160"/>
        <v>0</v>
      </c>
      <c r="N180" s="487">
        <f t="shared" si="160"/>
        <v>0</v>
      </c>
      <c r="O180" s="488">
        <f t="shared" si="160"/>
        <v>0</v>
      </c>
      <c r="P180" s="872">
        <f t="shared" si="160"/>
        <v>0</v>
      </c>
      <c r="Q180" s="1148" t="str">
        <f t="shared" si="156"/>
        <v>-</v>
      </c>
    </row>
    <row r="181" spans="1:17" ht="21" customHeight="1">
      <c r="A181" s="476" t="s">
        <v>71</v>
      </c>
      <c r="B181" s="1921">
        <f t="shared" ref="B181:C181" si="161">B113</f>
        <v>0</v>
      </c>
      <c r="C181" s="508">
        <f t="shared" si="161"/>
        <v>0</v>
      </c>
      <c r="D181" s="509">
        <f t="shared" ref="D181:P181" si="162">D113</f>
        <v>0</v>
      </c>
      <c r="E181" s="480">
        <f t="shared" si="162"/>
        <v>0</v>
      </c>
      <c r="F181" s="480">
        <f t="shared" si="162"/>
        <v>0</v>
      </c>
      <c r="G181" s="480">
        <f t="shared" si="162"/>
        <v>0</v>
      </c>
      <c r="H181" s="480">
        <f t="shared" si="162"/>
        <v>0</v>
      </c>
      <c r="I181" s="480">
        <f t="shared" si="162"/>
        <v>0</v>
      </c>
      <c r="J181" s="480">
        <f t="shared" si="162"/>
        <v>0</v>
      </c>
      <c r="K181" s="480">
        <f t="shared" si="162"/>
        <v>0</v>
      </c>
      <c r="L181" s="480">
        <f t="shared" si="162"/>
        <v>0</v>
      </c>
      <c r="M181" s="480">
        <f t="shared" si="162"/>
        <v>0</v>
      </c>
      <c r="N181" s="480">
        <f t="shared" si="162"/>
        <v>0</v>
      </c>
      <c r="O181" s="481">
        <f t="shared" si="162"/>
        <v>0</v>
      </c>
      <c r="P181" s="883">
        <f t="shared" si="162"/>
        <v>0</v>
      </c>
      <c r="Q181" s="1149" t="str">
        <f t="shared" si="156"/>
        <v>-</v>
      </c>
    </row>
    <row r="182" spans="1:17" ht="21" customHeight="1">
      <c r="A182" s="483" t="s">
        <v>36</v>
      </c>
      <c r="B182" s="1922">
        <f t="shared" ref="B182:C182" si="163">B136</f>
        <v>0</v>
      </c>
      <c r="C182" s="512">
        <f t="shared" si="163"/>
        <v>0</v>
      </c>
      <c r="D182" s="513">
        <f t="shared" ref="D182:P182" si="164">D136</f>
        <v>0</v>
      </c>
      <c r="E182" s="487">
        <f t="shared" si="164"/>
        <v>0</v>
      </c>
      <c r="F182" s="487">
        <f t="shared" si="164"/>
        <v>0</v>
      </c>
      <c r="G182" s="487">
        <f t="shared" si="164"/>
        <v>0</v>
      </c>
      <c r="H182" s="487">
        <f t="shared" si="164"/>
        <v>0</v>
      </c>
      <c r="I182" s="487">
        <f t="shared" si="164"/>
        <v>0</v>
      </c>
      <c r="J182" s="487">
        <f t="shared" si="164"/>
        <v>0</v>
      </c>
      <c r="K182" s="487">
        <f t="shared" si="164"/>
        <v>0</v>
      </c>
      <c r="L182" s="487">
        <f t="shared" si="164"/>
        <v>0</v>
      </c>
      <c r="M182" s="487">
        <f t="shared" si="164"/>
        <v>0</v>
      </c>
      <c r="N182" s="487">
        <f t="shared" si="164"/>
        <v>0</v>
      </c>
      <c r="O182" s="488">
        <f t="shared" si="164"/>
        <v>0</v>
      </c>
      <c r="P182" s="872">
        <f t="shared" si="164"/>
        <v>0</v>
      </c>
      <c r="Q182" s="1148" t="str">
        <f t="shared" si="156"/>
        <v>-</v>
      </c>
    </row>
    <row r="183" spans="1:17" ht="21" customHeight="1">
      <c r="A183" s="515" t="s">
        <v>73</v>
      </c>
      <c r="B183" s="634" t="e">
        <f t="shared" ref="B183:C183" si="165">B182/B180</f>
        <v>#DIV/0!</v>
      </c>
      <c r="C183" s="2243" t="e">
        <f t="shared" si="165"/>
        <v>#DIV/0!</v>
      </c>
      <c r="D183" s="634" t="e">
        <f t="shared" ref="D183:P183" si="166">D182/D180</f>
        <v>#DIV/0!</v>
      </c>
      <c r="E183" s="635" t="e">
        <f t="shared" si="166"/>
        <v>#DIV/0!</v>
      </c>
      <c r="F183" s="635" t="e">
        <f t="shared" si="166"/>
        <v>#DIV/0!</v>
      </c>
      <c r="G183" s="635" t="e">
        <f t="shared" si="166"/>
        <v>#DIV/0!</v>
      </c>
      <c r="H183" s="635" t="e">
        <f t="shared" si="166"/>
        <v>#DIV/0!</v>
      </c>
      <c r="I183" s="635" t="e">
        <f t="shared" si="166"/>
        <v>#DIV/0!</v>
      </c>
      <c r="J183" s="635" t="e">
        <f t="shared" si="166"/>
        <v>#DIV/0!</v>
      </c>
      <c r="K183" s="635" t="e">
        <f t="shared" si="166"/>
        <v>#DIV/0!</v>
      </c>
      <c r="L183" s="635" t="e">
        <f t="shared" si="166"/>
        <v>#DIV/0!</v>
      </c>
      <c r="M183" s="635" t="e">
        <f t="shared" si="166"/>
        <v>#DIV/0!</v>
      </c>
      <c r="N183" s="635" t="e">
        <f t="shared" si="166"/>
        <v>#DIV/0!</v>
      </c>
      <c r="O183" s="636" t="e">
        <f t="shared" si="166"/>
        <v>#DIV/0!</v>
      </c>
      <c r="P183" s="2271" t="e">
        <f t="shared" si="166"/>
        <v>#DIV/0!</v>
      </c>
      <c r="Q183" s="1258" t="e">
        <f t="shared" si="156"/>
        <v>#DIV/0!</v>
      </c>
    </row>
    <row r="184" spans="1:17" ht="21" customHeight="1">
      <c r="A184" s="483" t="s">
        <v>75</v>
      </c>
      <c r="B184" s="1922">
        <f>B140</f>
        <v>0</v>
      </c>
      <c r="C184" s="512">
        <f>C140</f>
        <v>0</v>
      </c>
      <c r="D184" s="513">
        <f>D140/1000</f>
        <v>0</v>
      </c>
      <c r="E184" s="487">
        <f>E140/1000</f>
        <v>0</v>
      </c>
      <c r="F184" s="487">
        <f t="shared" ref="F184:N184" si="167">F140/1000</f>
        <v>0</v>
      </c>
      <c r="G184" s="487">
        <f t="shared" si="167"/>
        <v>0</v>
      </c>
      <c r="H184" s="487">
        <f t="shared" si="167"/>
        <v>0</v>
      </c>
      <c r="I184" s="487">
        <f t="shared" si="167"/>
        <v>0</v>
      </c>
      <c r="J184" s="487">
        <f t="shared" si="167"/>
        <v>0</v>
      </c>
      <c r="K184" s="487">
        <f t="shared" si="167"/>
        <v>0</v>
      </c>
      <c r="L184" s="487">
        <f t="shared" si="167"/>
        <v>0</v>
      </c>
      <c r="M184" s="487">
        <f t="shared" si="167"/>
        <v>0</v>
      </c>
      <c r="N184" s="487">
        <f t="shared" si="167"/>
        <v>0</v>
      </c>
      <c r="O184" s="487">
        <f>O140/1000</f>
        <v>0</v>
      </c>
      <c r="P184" s="872">
        <f>P140/1000</f>
        <v>0</v>
      </c>
      <c r="Q184" s="1148" t="str">
        <f t="shared" si="156"/>
        <v>-</v>
      </c>
    </row>
    <row r="185" spans="1:17" s="531" customFormat="1" ht="21" customHeight="1">
      <c r="A185" s="523" t="s">
        <v>74</v>
      </c>
      <c r="B185" s="526" t="e">
        <f t="shared" ref="B185:C185" si="168">B184/B180</f>
        <v>#DIV/0!</v>
      </c>
      <c r="C185" s="1425" t="e">
        <f t="shared" si="168"/>
        <v>#DIV/0!</v>
      </c>
      <c r="D185" s="526" t="e">
        <f t="shared" ref="D185:P185" si="169">D184/D180</f>
        <v>#DIV/0!</v>
      </c>
      <c r="E185" s="527" t="e">
        <f t="shared" si="169"/>
        <v>#DIV/0!</v>
      </c>
      <c r="F185" s="527" t="e">
        <f t="shared" si="169"/>
        <v>#DIV/0!</v>
      </c>
      <c r="G185" s="527" t="e">
        <f t="shared" si="169"/>
        <v>#DIV/0!</v>
      </c>
      <c r="H185" s="527" t="e">
        <f t="shared" si="169"/>
        <v>#DIV/0!</v>
      </c>
      <c r="I185" s="527" t="e">
        <f t="shared" si="169"/>
        <v>#DIV/0!</v>
      </c>
      <c r="J185" s="527" t="e">
        <f t="shared" si="169"/>
        <v>#DIV/0!</v>
      </c>
      <c r="K185" s="527" t="e">
        <f t="shared" si="169"/>
        <v>#DIV/0!</v>
      </c>
      <c r="L185" s="527" t="e">
        <f t="shared" si="169"/>
        <v>#DIV/0!</v>
      </c>
      <c r="M185" s="527" t="e">
        <f t="shared" si="169"/>
        <v>#DIV/0!</v>
      </c>
      <c r="N185" s="527" t="e">
        <f t="shared" si="169"/>
        <v>#DIV/0!</v>
      </c>
      <c r="O185" s="528" t="e">
        <f t="shared" si="169"/>
        <v>#DIV/0!</v>
      </c>
      <c r="P185" s="886" t="e">
        <f t="shared" si="169"/>
        <v>#DIV/0!</v>
      </c>
      <c r="Q185" s="1259" t="e">
        <f t="shared" si="156"/>
        <v>#DIV/0!</v>
      </c>
    </row>
    <row r="186" spans="1:17" s="281" customFormat="1" ht="21" customHeight="1" thickBot="1">
      <c r="A186" s="532" t="s">
        <v>79</v>
      </c>
      <c r="B186" s="535">
        <f>B182-B184</f>
        <v>0</v>
      </c>
      <c r="C186" s="1426">
        <f t="shared" ref="C186" si="170">C182-C184</f>
        <v>0</v>
      </c>
      <c r="D186" s="535">
        <f t="shared" ref="D186:P186" si="171">D182-D184</f>
        <v>0</v>
      </c>
      <c r="E186" s="536">
        <f t="shared" si="171"/>
        <v>0</v>
      </c>
      <c r="F186" s="536">
        <f t="shared" si="171"/>
        <v>0</v>
      </c>
      <c r="G186" s="536">
        <f t="shared" si="171"/>
        <v>0</v>
      </c>
      <c r="H186" s="536">
        <f t="shared" si="171"/>
        <v>0</v>
      </c>
      <c r="I186" s="536">
        <f t="shared" si="171"/>
        <v>0</v>
      </c>
      <c r="J186" s="536">
        <f t="shared" si="171"/>
        <v>0</v>
      </c>
      <c r="K186" s="536">
        <f t="shared" si="171"/>
        <v>0</v>
      </c>
      <c r="L186" s="536">
        <f t="shared" si="171"/>
        <v>0</v>
      </c>
      <c r="M186" s="536">
        <f t="shared" si="171"/>
        <v>0</v>
      </c>
      <c r="N186" s="536">
        <f t="shared" si="171"/>
        <v>0</v>
      </c>
      <c r="O186" s="537">
        <f t="shared" si="171"/>
        <v>0</v>
      </c>
      <c r="P186" s="884">
        <f t="shared" si="171"/>
        <v>0</v>
      </c>
      <c r="Q186" s="1260" t="str">
        <f t="shared" si="156"/>
        <v>-</v>
      </c>
    </row>
    <row r="187" spans="1:17" s="281" customFormat="1" ht="21" customHeight="1" thickBot="1">
      <c r="A187" s="539" t="s">
        <v>80</v>
      </c>
      <c r="B187" s="2241" t="e">
        <f t="shared" ref="B187:C187" si="172">B186/B180</f>
        <v>#DIV/0!</v>
      </c>
      <c r="C187" s="2244" t="e">
        <f t="shared" si="172"/>
        <v>#DIV/0!</v>
      </c>
      <c r="D187" s="2241" t="e">
        <f t="shared" ref="D187:P187" si="173">D186/D180</f>
        <v>#DIV/0!</v>
      </c>
      <c r="E187" s="2245" t="e">
        <f t="shared" si="173"/>
        <v>#DIV/0!</v>
      </c>
      <c r="F187" s="2245" t="e">
        <f t="shared" si="173"/>
        <v>#DIV/0!</v>
      </c>
      <c r="G187" s="2245" t="e">
        <f t="shared" si="173"/>
        <v>#DIV/0!</v>
      </c>
      <c r="H187" s="2245" t="e">
        <f t="shared" si="173"/>
        <v>#DIV/0!</v>
      </c>
      <c r="I187" s="2245" t="e">
        <f t="shared" si="173"/>
        <v>#DIV/0!</v>
      </c>
      <c r="J187" s="2245" t="e">
        <f t="shared" si="173"/>
        <v>#DIV/0!</v>
      </c>
      <c r="K187" s="2245" t="e">
        <f t="shared" si="173"/>
        <v>#DIV/0!</v>
      </c>
      <c r="L187" s="2245" t="e">
        <f t="shared" si="173"/>
        <v>#DIV/0!</v>
      </c>
      <c r="M187" s="2245" t="e">
        <f t="shared" si="173"/>
        <v>#DIV/0!</v>
      </c>
      <c r="N187" s="2245" t="e">
        <f t="shared" si="173"/>
        <v>#DIV/0!</v>
      </c>
      <c r="O187" s="2246" t="e">
        <f t="shared" si="173"/>
        <v>#DIV/0!</v>
      </c>
      <c r="P187" s="2246" t="e">
        <f t="shared" si="173"/>
        <v>#DIV/0!</v>
      </c>
      <c r="Q187" s="1261" t="e">
        <f t="shared" si="156"/>
        <v>#DIV/0!</v>
      </c>
    </row>
  </sheetData>
  <mergeCells count="16">
    <mergeCell ref="B138:C138"/>
    <mergeCell ref="D138:P138"/>
    <mergeCell ref="B175:C175"/>
    <mergeCell ref="D175:P175"/>
    <mergeCell ref="B69:C69"/>
    <mergeCell ref="D69:P69"/>
    <mergeCell ref="B92:C92"/>
    <mergeCell ref="D92:P92"/>
    <mergeCell ref="B115:C115"/>
    <mergeCell ref="D115:P115"/>
    <mergeCell ref="B2:C2"/>
    <mergeCell ref="D2:P2"/>
    <mergeCell ref="B23:C23"/>
    <mergeCell ref="D23:P23"/>
    <mergeCell ref="B46:C46"/>
    <mergeCell ref="D46:P46"/>
  </mergeCells>
  <pageMargins left="0.25" right="0.25" top="0.75" bottom="0.75" header="0.3" footer="0.3"/>
  <pageSetup paperSize="9" scale="73" fitToHeight="0" orientation="landscape" r:id="rId1"/>
  <headerFooter alignWithMargins="0"/>
  <rowBreaks count="7" manualBreakCount="7">
    <brk id="22" max="16" man="1"/>
    <brk id="45" max="16" man="1"/>
    <brk id="68" max="16" man="1"/>
    <brk id="91" max="16" man="1"/>
    <brk id="114" max="16" man="1"/>
    <brk id="137" max="16" man="1"/>
    <brk id="173" max="16" man="1"/>
  </rowBreaks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24"/>
  <sheetViews>
    <sheetView workbookViewId="0">
      <selection activeCell="K17" sqref="K17"/>
    </sheetView>
  </sheetViews>
  <sheetFormatPr defaultColWidth="9.109375" defaultRowHeight="14.4"/>
  <cols>
    <col min="1" max="1" width="16" style="212" bestFit="1" customWidth="1"/>
    <col min="2" max="16384" width="9.109375" style="212"/>
  </cols>
  <sheetData>
    <row r="1" spans="1:7">
      <c r="A1" s="212" t="s">
        <v>167</v>
      </c>
    </row>
    <row r="3" spans="1:7">
      <c r="A3" s="212" t="s">
        <v>88</v>
      </c>
      <c r="B3" s="212" t="s">
        <v>168</v>
      </c>
      <c r="C3" s="212" t="s">
        <v>169</v>
      </c>
    </row>
    <row r="4" spans="1:7">
      <c r="A4" s="215" t="s">
        <v>89</v>
      </c>
      <c r="B4" s="216" t="s">
        <v>170</v>
      </c>
      <c r="C4" s="216"/>
      <c r="D4" s="216"/>
      <c r="E4" s="216"/>
    </row>
    <row r="5" spans="1:7">
      <c r="A5" s="215" t="s">
        <v>90</v>
      </c>
      <c r="B5" s="216" t="s">
        <v>171</v>
      </c>
      <c r="C5" s="216"/>
      <c r="D5" s="216"/>
      <c r="E5" s="216"/>
    </row>
    <row r="6" spans="1:7">
      <c r="A6" s="215" t="s">
        <v>91</v>
      </c>
      <c r="B6" s="216" t="s">
        <v>91</v>
      </c>
      <c r="C6" s="216"/>
      <c r="D6" s="216"/>
      <c r="E6" s="216"/>
    </row>
    <row r="7" spans="1:7">
      <c r="A7" s="215" t="s">
        <v>92</v>
      </c>
      <c r="B7" s="216" t="s">
        <v>99</v>
      </c>
      <c r="C7" s="216"/>
      <c r="D7" s="216"/>
      <c r="E7" s="216"/>
    </row>
    <row r="8" spans="1:7">
      <c r="A8" s="213" t="s">
        <v>93</v>
      </c>
      <c r="B8" s="212" t="s">
        <v>172</v>
      </c>
    </row>
    <row r="9" spans="1:7">
      <c r="A9" s="213" t="s">
        <v>94</v>
      </c>
      <c r="B9" s="212" t="s">
        <v>94</v>
      </c>
      <c r="C9" s="214">
        <v>0.6</v>
      </c>
      <c r="D9" s="212" t="s">
        <v>159</v>
      </c>
      <c r="E9" s="214">
        <v>0.4</v>
      </c>
    </row>
    <row r="10" spans="1:7">
      <c r="A10" s="213" t="s">
        <v>95</v>
      </c>
      <c r="B10" s="212" t="s">
        <v>172</v>
      </c>
    </row>
    <row r="11" spans="1:7">
      <c r="A11" s="213" t="s">
        <v>96</v>
      </c>
      <c r="B11" s="212" t="s">
        <v>173</v>
      </c>
    </row>
    <row r="12" spans="1:7">
      <c r="A12" s="215" t="s">
        <v>97</v>
      </c>
      <c r="B12" s="216" t="s">
        <v>170</v>
      </c>
      <c r="C12" s="216"/>
      <c r="D12" s="216"/>
      <c r="E12" s="216"/>
    </row>
    <row r="13" spans="1:7">
      <c r="A13" s="213" t="s">
        <v>98</v>
      </c>
      <c r="B13" s="212" t="s">
        <v>172</v>
      </c>
    </row>
    <row r="14" spans="1:7">
      <c r="A14" s="215" t="s">
        <v>99</v>
      </c>
      <c r="B14" s="216" t="s">
        <v>99</v>
      </c>
      <c r="C14" s="216"/>
      <c r="D14" s="216"/>
      <c r="E14" s="216"/>
    </row>
    <row r="15" spans="1:7">
      <c r="A15" s="215" t="s">
        <v>100</v>
      </c>
      <c r="B15" s="216" t="s">
        <v>170</v>
      </c>
      <c r="C15" s="217">
        <v>0.5</v>
      </c>
      <c r="D15" s="216" t="s">
        <v>174</v>
      </c>
      <c r="E15" s="217">
        <v>0.25</v>
      </c>
      <c r="F15" s="212" t="s">
        <v>103</v>
      </c>
      <c r="G15" s="214">
        <v>0.2</v>
      </c>
    </row>
    <row r="16" spans="1:7">
      <c r="A16" s="215" t="s">
        <v>101</v>
      </c>
      <c r="B16" s="216" t="s">
        <v>170</v>
      </c>
      <c r="C16" s="216"/>
      <c r="D16" s="216"/>
      <c r="E16" s="216"/>
    </row>
    <row r="17" spans="1:5">
      <c r="A17" s="215" t="s">
        <v>102</v>
      </c>
      <c r="B17" s="216" t="s">
        <v>170</v>
      </c>
      <c r="C17" s="216"/>
      <c r="D17" s="216"/>
      <c r="E17" s="216"/>
    </row>
    <row r="18" spans="1:5">
      <c r="A18" s="213" t="s">
        <v>103</v>
      </c>
      <c r="B18" s="212" t="s">
        <v>103</v>
      </c>
    </row>
    <row r="19" spans="1:5">
      <c r="A19" s="213" t="s">
        <v>104</v>
      </c>
      <c r="B19" s="212" t="s">
        <v>175</v>
      </c>
    </row>
    <row r="20" spans="1:5">
      <c r="A20" s="213"/>
    </row>
    <row r="21" spans="1:5">
      <c r="A21" s="839" t="s">
        <v>289</v>
      </c>
      <c r="B21" s="216" t="s">
        <v>170</v>
      </c>
    </row>
    <row r="22" spans="1:5">
      <c r="A22" s="839" t="s">
        <v>290</v>
      </c>
      <c r="B22" s="216" t="s">
        <v>170</v>
      </c>
    </row>
    <row r="23" spans="1:5">
      <c r="A23" s="839" t="s">
        <v>291</v>
      </c>
      <c r="B23" s="216" t="s">
        <v>170</v>
      </c>
    </row>
    <row r="24" spans="1:5">
      <c r="A24" s="839" t="s">
        <v>292</v>
      </c>
      <c r="B24" s="216" t="s">
        <v>170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ayfa2"/>
  <dimension ref="A2:N62"/>
  <sheetViews>
    <sheetView zoomScale="95" zoomScaleNormal="95" workbookViewId="0">
      <pane ySplit="8" topLeftCell="A12" activePane="bottomLeft" state="frozen"/>
      <selection activeCell="D18" sqref="D18"/>
      <selection pane="bottomLeft" activeCell="P13" sqref="P13"/>
    </sheetView>
  </sheetViews>
  <sheetFormatPr defaultRowHeight="13.2"/>
  <cols>
    <col min="1" max="1" width="18.44140625" style="135" customWidth="1"/>
    <col min="2" max="2" width="15.6640625" style="135" bestFit="1" customWidth="1"/>
    <col min="3" max="3" width="17.109375" style="135" bestFit="1" customWidth="1"/>
    <col min="4" max="5" width="12.109375" style="136" customWidth="1"/>
    <col min="6" max="9" width="9.88671875" style="136" customWidth="1"/>
    <col min="10" max="10" width="9" style="136" customWidth="1"/>
    <col min="11" max="12" width="9.109375" style="135" customWidth="1"/>
    <col min="13" max="256" width="9.109375" style="135"/>
    <col min="257" max="257" width="18.44140625" style="135" customWidth="1"/>
    <col min="258" max="258" width="15.6640625" style="135" bestFit="1" customWidth="1"/>
    <col min="259" max="259" width="17.109375" style="135" bestFit="1" customWidth="1"/>
    <col min="260" max="261" width="12.109375" style="135" customWidth="1"/>
    <col min="262" max="265" width="9.88671875" style="135" customWidth="1"/>
    <col min="266" max="266" width="9" style="135" customWidth="1"/>
    <col min="267" max="268" width="0" style="135" hidden="1" customWidth="1"/>
    <col min="269" max="512" width="9.109375" style="135"/>
    <col min="513" max="513" width="18.44140625" style="135" customWidth="1"/>
    <col min="514" max="514" width="15.6640625" style="135" bestFit="1" customWidth="1"/>
    <col min="515" max="515" width="17.109375" style="135" bestFit="1" customWidth="1"/>
    <col min="516" max="517" width="12.109375" style="135" customWidth="1"/>
    <col min="518" max="521" width="9.88671875" style="135" customWidth="1"/>
    <col min="522" max="522" width="9" style="135" customWidth="1"/>
    <col min="523" max="524" width="0" style="135" hidden="1" customWidth="1"/>
    <col min="525" max="768" width="9.109375" style="135"/>
    <col min="769" max="769" width="18.44140625" style="135" customWidth="1"/>
    <col min="770" max="770" width="15.6640625" style="135" bestFit="1" customWidth="1"/>
    <col min="771" max="771" width="17.109375" style="135" bestFit="1" customWidth="1"/>
    <col min="772" max="773" width="12.109375" style="135" customWidth="1"/>
    <col min="774" max="777" width="9.88671875" style="135" customWidth="1"/>
    <col min="778" max="778" width="9" style="135" customWidth="1"/>
    <col min="779" max="780" width="0" style="135" hidden="1" customWidth="1"/>
    <col min="781" max="1024" width="9.109375" style="135"/>
    <col min="1025" max="1025" width="18.44140625" style="135" customWidth="1"/>
    <col min="1026" max="1026" width="15.6640625" style="135" bestFit="1" customWidth="1"/>
    <col min="1027" max="1027" width="17.109375" style="135" bestFit="1" customWidth="1"/>
    <col min="1028" max="1029" width="12.109375" style="135" customWidth="1"/>
    <col min="1030" max="1033" width="9.88671875" style="135" customWidth="1"/>
    <col min="1034" max="1034" width="9" style="135" customWidth="1"/>
    <col min="1035" max="1036" width="0" style="135" hidden="1" customWidth="1"/>
    <col min="1037" max="1280" width="9.109375" style="135"/>
    <col min="1281" max="1281" width="18.44140625" style="135" customWidth="1"/>
    <col min="1282" max="1282" width="15.6640625" style="135" bestFit="1" customWidth="1"/>
    <col min="1283" max="1283" width="17.109375" style="135" bestFit="1" customWidth="1"/>
    <col min="1284" max="1285" width="12.109375" style="135" customWidth="1"/>
    <col min="1286" max="1289" width="9.88671875" style="135" customWidth="1"/>
    <col min="1290" max="1290" width="9" style="135" customWidth="1"/>
    <col min="1291" max="1292" width="0" style="135" hidden="1" customWidth="1"/>
    <col min="1293" max="1536" width="9.109375" style="135"/>
    <col min="1537" max="1537" width="18.44140625" style="135" customWidth="1"/>
    <col min="1538" max="1538" width="15.6640625" style="135" bestFit="1" customWidth="1"/>
    <col min="1539" max="1539" width="17.109375" style="135" bestFit="1" customWidth="1"/>
    <col min="1540" max="1541" width="12.109375" style="135" customWidth="1"/>
    <col min="1542" max="1545" width="9.88671875" style="135" customWidth="1"/>
    <col min="1546" max="1546" width="9" style="135" customWidth="1"/>
    <col min="1547" max="1548" width="0" style="135" hidden="1" customWidth="1"/>
    <col min="1549" max="1792" width="9.109375" style="135"/>
    <col min="1793" max="1793" width="18.44140625" style="135" customWidth="1"/>
    <col min="1794" max="1794" width="15.6640625" style="135" bestFit="1" customWidth="1"/>
    <col min="1795" max="1795" width="17.109375" style="135" bestFit="1" customWidth="1"/>
    <col min="1796" max="1797" width="12.109375" style="135" customWidth="1"/>
    <col min="1798" max="1801" width="9.88671875" style="135" customWidth="1"/>
    <col min="1802" max="1802" width="9" style="135" customWidth="1"/>
    <col min="1803" max="1804" width="0" style="135" hidden="1" customWidth="1"/>
    <col min="1805" max="2048" width="9.109375" style="135"/>
    <col min="2049" max="2049" width="18.44140625" style="135" customWidth="1"/>
    <col min="2050" max="2050" width="15.6640625" style="135" bestFit="1" customWidth="1"/>
    <col min="2051" max="2051" width="17.109375" style="135" bestFit="1" customWidth="1"/>
    <col min="2052" max="2053" width="12.109375" style="135" customWidth="1"/>
    <col min="2054" max="2057" width="9.88671875" style="135" customWidth="1"/>
    <col min="2058" max="2058" width="9" style="135" customWidth="1"/>
    <col min="2059" max="2060" width="0" style="135" hidden="1" customWidth="1"/>
    <col min="2061" max="2304" width="9.109375" style="135"/>
    <col min="2305" max="2305" width="18.44140625" style="135" customWidth="1"/>
    <col min="2306" max="2306" width="15.6640625" style="135" bestFit="1" customWidth="1"/>
    <col min="2307" max="2307" width="17.109375" style="135" bestFit="1" customWidth="1"/>
    <col min="2308" max="2309" width="12.109375" style="135" customWidth="1"/>
    <col min="2310" max="2313" width="9.88671875" style="135" customWidth="1"/>
    <col min="2314" max="2314" width="9" style="135" customWidth="1"/>
    <col min="2315" max="2316" width="0" style="135" hidden="1" customWidth="1"/>
    <col min="2317" max="2560" width="9.109375" style="135"/>
    <col min="2561" max="2561" width="18.44140625" style="135" customWidth="1"/>
    <col min="2562" max="2562" width="15.6640625" style="135" bestFit="1" customWidth="1"/>
    <col min="2563" max="2563" width="17.109375" style="135" bestFit="1" customWidth="1"/>
    <col min="2564" max="2565" width="12.109375" style="135" customWidth="1"/>
    <col min="2566" max="2569" width="9.88671875" style="135" customWidth="1"/>
    <col min="2570" max="2570" width="9" style="135" customWidth="1"/>
    <col min="2571" max="2572" width="0" style="135" hidden="1" customWidth="1"/>
    <col min="2573" max="2816" width="9.109375" style="135"/>
    <col min="2817" max="2817" width="18.44140625" style="135" customWidth="1"/>
    <col min="2818" max="2818" width="15.6640625" style="135" bestFit="1" customWidth="1"/>
    <col min="2819" max="2819" width="17.109375" style="135" bestFit="1" customWidth="1"/>
    <col min="2820" max="2821" width="12.109375" style="135" customWidth="1"/>
    <col min="2822" max="2825" width="9.88671875" style="135" customWidth="1"/>
    <col min="2826" max="2826" width="9" style="135" customWidth="1"/>
    <col min="2827" max="2828" width="0" style="135" hidden="1" customWidth="1"/>
    <col min="2829" max="3072" width="9.109375" style="135"/>
    <col min="3073" max="3073" width="18.44140625" style="135" customWidth="1"/>
    <col min="3074" max="3074" width="15.6640625" style="135" bestFit="1" customWidth="1"/>
    <col min="3075" max="3075" width="17.109375" style="135" bestFit="1" customWidth="1"/>
    <col min="3076" max="3077" width="12.109375" style="135" customWidth="1"/>
    <col min="3078" max="3081" width="9.88671875" style="135" customWidth="1"/>
    <col min="3082" max="3082" width="9" style="135" customWidth="1"/>
    <col min="3083" max="3084" width="0" style="135" hidden="1" customWidth="1"/>
    <col min="3085" max="3328" width="9.109375" style="135"/>
    <col min="3329" max="3329" width="18.44140625" style="135" customWidth="1"/>
    <col min="3330" max="3330" width="15.6640625" style="135" bestFit="1" customWidth="1"/>
    <col min="3331" max="3331" width="17.109375" style="135" bestFit="1" customWidth="1"/>
    <col min="3332" max="3333" width="12.109375" style="135" customWidth="1"/>
    <col min="3334" max="3337" width="9.88671875" style="135" customWidth="1"/>
    <col min="3338" max="3338" width="9" style="135" customWidth="1"/>
    <col min="3339" max="3340" width="0" style="135" hidden="1" customWidth="1"/>
    <col min="3341" max="3584" width="9.109375" style="135"/>
    <col min="3585" max="3585" width="18.44140625" style="135" customWidth="1"/>
    <col min="3586" max="3586" width="15.6640625" style="135" bestFit="1" customWidth="1"/>
    <col min="3587" max="3587" width="17.109375" style="135" bestFit="1" customWidth="1"/>
    <col min="3588" max="3589" width="12.109375" style="135" customWidth="1"/>
    <col min="3590" max="3593" width="9.88671875" style="135" customWidth="1"/>
    <col min="3594" max="3594" width="9" style="135" customWidth="1"/>
    <col min="3595" max="3596" width="0" style="135" hidden="1" customWidth="1"/>
    <col min="3597" max="3840" width="9.109375" style="135"/>
    <col min="3841" max="3841" width="18.44140625" style="135" customWidth="1"/>
    <col min="3842" max="3842" width="15.6640625" style="135" bestFit="1" customWidth="1"/>
    <col min="3843" max="3843" width="17.109375" style="135" bestFit="1" customWidth="1"/>
    <col min="3844" max="3845" width="12.109375" style="135" customWidth="1"/>
    <col min="3846" max="3849" width="9.88671875" style="135" customWidth="1"/>
    <col min="3850" max="3850" width="9" style="135" customWidth="1"/>
    <col min="3851" max="3852" width="0" style="135" hidden="1" customWidth="1"/>
    <col min="3853" max="4096" width="9.109375" style="135"/>
    <col min="4097" max="4097" width="18.44140625" style="135" customWidth="1"/>
    <col min="4098" max="4098" width="15.6640625" style="135" bestFit="1" customWidth="1"/>
    <col min="4099" max="4099" width="17.109375" style="135" bestFit="1" customWidth="1"/>
    <col min="4100" max="4101" width="12.109375" style="135" customWidth="1"/>
    <col min="4102" max="4105" width="9.88671875" style="135" customWidth="1"/>
    <col min="4106" max="4106" width="9" style="135" customWidth="1"/>
    <col min="4107" max="4108" width="0" style="135" hidden="1" customWidth="1"/>
    <col min="4109" max="4352" width="9.109375" style="135"/>
    <col min="4353" max="4353" width="18.44140625" style="135" customWidth="1"/>
    <col min="4354" max="4354" width="15.6640625" style="135" bestFit="1" customWidth="1"/>
    <col min="4355" max="4355" width="17.109375" style="135" bestFit="1" customWidth="1"/>
    <col min="4356" max="4357" width="12.109375" style="135" customWidth="1"/>
    <col min="4358" max="4361" width="9.88671875" style="135" customWidth="1"/>
    <col min="4362" max="4362" width="9" style="135" customWidth="1"/>
    <col min="4363" max="4364" width="0" style="135" hidden="1" customWidth="1"/>
    <col min="4365" max="4608" width="9.109375" style="135"/>
    <col min="4609" max="4609" width="18.44140625" style="135" customWidth="1"/>
    <col min="4610" max="4610" width="15.6640625" style="135" bestFit="1" customWidth="1"/>
    <col min="4611" max="4611" width="17.109375" style="135" bestFit="1" customWidth="1"/>
    <col min="4612" max="4613" width="12.109375" style="135" customWidth="1"/>
    <col min="4614" max="4617" width="9.88671875" style="135" customWidth="1"/>
    <col min="4618" max="4618" width="9" style="135" customWidth="1"/>
    <col min="4619" max="4620" width="0" style="135" hidden="1" customWidth="1"/>
    <col min="4621" max="4864" width="9.109375" style="135"/>
    <col min="4865" max="4865" width="18.44140625" style="135" customWidth="1"/>
    <col min="4866" max="4866" width="15.6640625" style="135" bestFit="1" customWidth="1"/>
    <col min="4867" max="4867" width="17.109375" style="135" bestFit="1" customWidth="1"/>
    <col min="4868" max="4869" width="12.109375" style="135" customWidth="1"/>
    <col min="4870" max="4873" width="9.88671875" style="135" customWidth="1"/>
    <col min="4874" max="4874" width="9" style="135" customWidth="1"/>
    <col min="4875" max="4876" width="0" style="135" hidden="1" customWidth="1"/>
    <col min="4877" max="5120" width="9.109375" style="135"/>
    <col min="5121" max="5121" width="18.44140625" style="135" customWidth="1"/>
    <col min="5122" max="5122" width="15.6640625" style="135" bestFit="1" customWidth="1"/>
    <col min="5123" max="5123" width="17.109375" style="135" bestFit="1" customWidth="1"/>
    <col min="5124" max="5125" width="12.109375" style="135" customWidth="1"/>
    <col min="5126" max="5129" width="9.88671875" style="135" customWidth="1"/>
    <col min="5130" max="5130" width="9" style="135" customWidth="1"/>
    <col min="5131" max="5132" width="0" style="135" hidden="1" customWidth="1"/>
    <col min="5133" max="5376" width="9.109375" style="135"/>
    <col min="5377" max="5377" width="18.44140625" style="135" customWidth="1"/>
    <col min="5378" max="5378" width="15.6640625" style="135" bestFit="1" customWidth="1"/>
    <col min="5379" max="5379" width="17.109375" style="135" bestFit="1" customWidth="1"/>
    <col min="5380" max="5381" width="12.109375" style="135" customWidth="1"/>
    <col min="5382" max="5385" width="9.88671875" style="135" customWidth="1"/>
    <col min="5386" max="5386" width="9" style="135" customWidth="1"/>
    <col min="5387" max="5388" width="0" style="135" hidden="1" customWidth="1"/>
    <col min="5389" max="5632" width="9.109375" style="135"/>
    <col min="5633" max="5633" width="18.44140625" style="135" customWidth="1"/>
    <col min="5634" max="5634" width="15.6640625" style="135" bestFit="1" customWidth="1"/>
    <col min="5635" max="5635" width="17.109375" style="135" bestFit="1" customWidth="1"/>
    <col min="5636" max="5637" width="12.109375" style="135" customWidth="1"/>
    <col min="5638" max="5641" width="9.88671875" style="135" customWidth="1"/>
    <col min="5642" max="5642" width="9" style="135" customWidth="1"/>
    <col min="5643" max="5644" width="0" style="135" hidden="1" customWidth="1"/>
    <col min="5645" max="5888" width="9.109375" style="135"/>
    <col min="5889" max="5889" width="18.44140625" style="135" customWidth="1"/>
    <col min="5890" max="5890" width="15.6640625" style="135" bestFit="1" customWidth="1"/>
    <col min="5891" max="5891" width="17.109375" style="135" bestFit="1" customWidth="1"/>
    <col min="5892" max="5893" width="12.109375" style="135" customWidth="1"/>
    <col min="5894" max="5897" width="9.88671875" style="135" customWidth="1"/>
    <col min="5898" max="5898" width="9" style="135" customWidth="1"/>
    <col min="5899" max="5900" width="0" style="135" hidden="1" customWidth="1"/>
    <col min="5901" max="6144" width="9.109375" style="135"/>
    <col min="6145" max="6145" width="18.44140625" style="135" customWidth="1"/>
    <col min="6146" max="6146" width="15.6640625" style="135" bestFit="1" customWidth="1"/>
    <col min="6147" max="6147" width="17.109375" style="135" bestFit="1" customWidth="1"/>
    <col min="6148" max="6149" width="12.109375" style="135" customWidth="1"/>
    <col min="6150" max="6153" width="9.88671875" style="135" customWidth="1"/>
    <col min="6154" max="6154" width="9" style="135" customWidth="1"/>
    <col min="6155" max="6156" width="0" style="135" hidden="1" customWidth="1"/>
    <col min="6157" max="6400" width="9.109375" style="135"/>
    <col min="6401" max="6401" width="18.44140625" style="135" customWidth="1"/>
    <col min="6402" max="6402" width="15.6640625" style="135" bestFit="1" customWidth="1"/>
    <col min="6403" max="6403" width="17.109375" style="135" bestFit="1" customWidth="1"/>
    <col min="6404" max="6405" width="12.109375" style="135" customWidth="1"/>
    <col min="6406" max="6409" width="9.88671875" style="135" customWidth="1"/>
    <col min="6410" max="6410" width="9" style="135" customWidth="1"/>
    <col min="6411" max="6412" width="0" style="135" hidden="1" customWidth="1"/>
    <col min="6413" max="6656" width="9.109375" style="135"/>
    <col min="6657" max="6657" width="18.44140625" style="135" customWidth="1"/>
    <col min="6658" max="6658" width="15.6640625" style="135" bestFit="1" customWidth="1"/>
    <col min="6659" max="6659" width="17.109375" style="135" bestFit="1" customWidth="1"/>
    <col min="6660" max="6661" width="12.109375" style="135" customWidth="1"/>
    <col min="6662" max="6665" width="9.88671875" style="135" customWidth="1"/>
    <col min="6666" max="6666" width="9" style="135" customWidth="1"/>
    <col min="6667" max="6668" width="0" style="135" hidden="1" customWidth="1"/>
    <col min="6669" max="6912" width="9.109375" style="135"/>
    <col min="6913" max="6913" width="18.44140625" style="135" customWidth="1"/>
    <col min="6914" max="6914" width="15.6640625" style="135" bestFit="1" customWidth="1"/>
    <col min="6915" max="6915" width="17.109375" style="135" bestFit="1" customWidth="1"/>
    <col min="6916" max="6917" width="12.109375" style="135" customWidth="1"/>
    <col min="6918" max="6921" width="9.88671875" style="135" customWidth="1"/>
    <col min="6922" max="6922" width="9" style="135" customWidth="1"/>
    <col min="6923" max="6924" width="0" style="135" hidden="1" customWidth="1"/>
    <col min="6925" max="7168" width="9.109375" style="135"/>
    <col min="7169" max="7169" width="18.44140625" style="135" customWidth="1"/>
    <col min="7170" max="7170" width="15.6640625" style="135" bestFit="1" customWidth="1"/>
    <col min="7171" max="7171" width="17.109375" style="135" bestFit="1" customWidth="1"/>
    <col min="7172" max="7173" width="12.109375" style="135" customWidth="1"/>
    <col min="7174" max="7177" width="9.88671875" style="135" customWidth="1"/>
    <col min="7178" max="7178" width="9" style="135" customWidth="1"/>
    <col min="7179" max="7180" width="0" style="135" hidden="1" customWidth="1"/>
    <col min="7181" max="7424" width="9.109375" style="135"/>
    <col min="7425" max="7425" width="18.44140625" style="135" customWidth="1"/>
    <col min="7426" max="7426" width="15.6640625" style="135" bestFit="1" customWidth="1"/>
    <col min="7427" max="7427" width="17.109375" style="135" bestFit="1" customWidth="1"/>
    <col min="7428" max="7429" width="12.109375" style="135" customWidth="1"/>
    <col min="7430" max="7433" width="9.88671875" style="135" customWidth="1"/>
    <col min="7434" max="7434" width="9" style="135" customWidth="1"/>
    <col min="7435" max="7436" width="0" style="135" hidden="1" customWidth="1"/>
    <col min="7437" max="7680" width="9.109375" style="135"/>
    <col min="7681" max="7681" width="18.44140625" style="135" customWidth="1"/>
    <col min="7682" max="7682" width="15.6640625" style="135" bestFit="1" customWidth="1"/>
    <col min="7683" max="7683" width="17.109375" style="135" bestFit="1" customWidth="1"/>
    <col min="7684" max="7685" width="12.109375" style="135" customWidth="1"/>
    <col min="7686" max="7689" width="9.88671875" style="135" customWidth="1"/>
    <col min="7690" max="7690" width="9" style="135" customWidth="1"/>
    <col min="7691" max="7692" width="0" style="135" hidden="1" customWidth="1"/>
    <col min="7693" max="7936" width="9.109375" style="135"/>
    <col min="7937" max="7937" width="18.44140625" style="135" customWidth="1"/>
    <col min="7938" max="7938" width="15.6640625" style="135" bestFit="1" customWidth="1"/>
    <col min="7939" max="7939" width="17.109375" style="135" bestFit="1" customWidth="1"/>
    <col min="7940" max="7941" width="12.109375" style="135" customWidth="1"/>
    <col min="7942" max="7945" width="9.88671875" style="135" customWidth="1"/>
    <col min="7946" max="7946" width="9" style="135" customWidth="1"/>
    <col min="7947" max="7948" width="0" style="135" hidden="1" customWidth="1"/>
    <col min="7949" max="8192" width="9.109375" style="135"/>
    <col min="8193" max="8193" width="18.44140625" style="135" customWidth="1"/>
    <col min="8194" max="8194" width="15.6640625" style="135" bestFit="1" customWidth="1"/>
    <col min="8195" max="8195" width="17.109375" style="135" bestFit="1" customWidth="1"/>
    <col min="8196" max="8197" width="12.109375" style="135" customWidth="1"/>
    <col min="8198" max="8201" width="9.88671875" style="135" customWidth="1"/>
    <col min="8202" max="8202" width="9" style="135" customWidth="1"/>
    <col min="8203" max="8204" width="0" style="135" hidden="1" customWidth="1"/>
    <col min="8205" max="8448" width="9.109375" style="135"/>
    <col min="8449" max="8449" width="18.44140625" style="135" customWidth="1"/>
    <col min="8450" max="8450" width="15.6640625" style="135" bestFit="1" customWidth="1"/>
    <col min="8451" max="8451" width="17.109375" style="135" bestFit="1" customWidth="1"/>
    <col min="8452" max="8453" width="12.109375" style="135" customWidth="1"/>
    <col min="8454" max="8457" width="9.88671875" style="135" customWidth="1"/>
    <col min="8458" max="8458" width="9" style="135" customWidth="1"/>
    <col min="8459" max="8460" width="0" style="135" hidden="1" customWidth="1"/>
    <col min="8461" max="8704" width="9.109375" style="135"/>
    <col min="8705" max="8705" width="18.44140625" style="135" customWidth="1"/>
    <col min="8706" max="8706" width="15.6640625" style="135" bestFit="1" customWidth="1"/>
    <col min="8707" max="8707" width="17.109375" style="135" bestFit="1" customWidth="1"/>
    <col min="8708" max="8709" width="12.109375" style="135" customWidth="1"/>
    <col min="8710" max="8713" width="9.88671875" style="135" customWidth="1"/>
    <col min="8714" max="8714" width="9" style="135" customWidth="1"/>
    <col min="8715" max="8716" width="0" style="135" hidden="1" customWidth="1"/>
    <col min="8717" max="8960" width="9.109375" style="135"/>
    <col min="8961" max="8961" width="18.44140625" style="135" customWidth="1"/>
    <col min="8962" max="8962" width="15.6640625" style="135" bestFit="1" customWidth="1"/>
    <col min="8963" max="8963" width="17.109375" style="135" bestFit="1" customWidth="1"/>
    <col min="8964" max="8965" width="12.109375" style="135" customWidth="1"/>
    <col min="8966" max="8969" width="9.88671875" style="135" customWidth="1"/>
    <col min="8970" max="8970" width="9" style="135" customWidth="1"/>
    <col min="8971" max="8972" width="0" style="135" hidden="1" customWidth="1"/>
    <col min="8973" max="9216" width="9.109375" style="135"/>
    <col min="9217" max="9217" width="18.44140625" style="135" customWidth="1"/>
    <col min="9218" max="9218" width="15.6640625" style="135" bestFit="1" customWidth="1"/>
    <col min="9219" max="9219" width="17.109375" style="135" bestFit="1" customWidth="1"/>
    <col min="9220" max="9221" width="12.109375" style="135" customWidth="1"/>
    <col min="9222" max="9225" width="9.88671875" style="135" customWidth="1"/>
    <col min="9226" max="9226" width="9" style="135" customWidth="1"/>
    <col min="9227" max="9228" width="0" style="135" hidden="1" customWidth="1"/>
    <col min="9229" max="9472" width="9.109375" style="135"/>
    <col min="9473" max="9473" width="18.44140625" style="135" customWidth="1"/>
    <col min="9474" max="9474" width="15.6640625" style="135" bestFit="1" customWidth="1"/>
    <col min="9475" max="9475" width="17.109375" style="135" bestFit="1" customWidth="1"/>
    <col min="9476" max="9477" width="12.109375" style="135" customWidth="1"/>
    <col min="9478" max="9481" width="9.88671875" style="135" customWidth="1"/>
    <col min="9482" max="9482" width="9" style="135" customWidth="1"/>
    <col min="9483" max="9484" width="0" style="135" hidden="1" customWidth="1"/>
    <col min="9485" max="9728" width="9.109375" style="135"/>
    <col min="9729" max="9729" width="18.44140625" style="135" customWidth="1"/>
    <col min="9730" max="9730" width="15.6640625" style="135" bestFit="1" customWidth="1"/>
    <col min="9731" max="9731" width="17.109375" style="135" bestFit="1" customWidth="1"/>
    <col min="9732" max="9733" width="12.109375" style="135" customWidth="1"/>
    <col min="9734" max="9737" width="9.88671875" style="135" customWidth="1"/>
    <col min="9738" max="9738" width="9" style="135" customWidth="1"/>
    <col min="9739" max="9740" width="0" style="135" hidden="1" customWidth="1"/>
    <col min="9741" max="9984" width="9.109375" style="135"/>
    <col min="9985" max="9985" width="18.44140625" style="135" customWidth="1"/>
    <col min="9986" max="9986" width="15.6640625" style="135" bestFit="1" customWidth="1"/>
    <col min="9987" max="9987" width="17.109375" style="135" bestFit="1" customWidth="1"/>
    <col min="9988" max="9989" width="12.109375" style="135" customWidth="1"/>
    <col min="9990" max="9993" width="9.88671875" style="135" customWidth="1"/>
    <col min="9994" max="9994" width="9" style="135" customWidth="1"/>
    <col min="9995" max="9996" width="0" style="135" hidden="1" customWidth="1"/>
    <col min="9997" max="10240" width="9.109375" style="135"/>
    <col min="10241" max="10241" width="18.44140625" style="135" customWidth="1"/>
    <col min="10242" max="10242" width="15.6640625" style="135" bestFit="1" customWidth="1"/>
    <col min="10243" max="10243" width="17.109375" style="135" bestFit="1" customWidth="1"/>
    <col min="10244" max="10245" width="12.109375" style="135" customWidth="1"/>
    <col min="10246" max="10249" width="9.88671875" style="135" customWidth="1"/>
    <col min="10250" max="10250" width="9" style="135" customWidth="1"/>
    <col min="10251" max="10252" width="0" style="135" hidden="1" customWidth="1"/>
    <col min="10253" max="10496" width="9.109375" style="135"/>
    <col min="10497" max="10497" width="18.44140625" style="135" customWidth="1"/>
    <col min="10498" max="10498" width="15.6640625" style="135" bestFit="1" customWidth="1"/>
    <col min="10499" max="10499" width="17.109375" style="135" bestFit="1" customWidth="1"/>
    <col min="10500" max="10501" width="12.109375" style="135" customWidth="1"/>
    <col min="10502" max="10505" width="9.88671875" style="135" customWidth="1"/>
    <col min="10506" max="10506" width="9" style="135" customWidth="1"/>
    <col min="10507" max="10508" width="0" style="135" hidden="1" customWidth="1"/>
    <col min="10509" max="10752" width="9.109375" style="135"/>
    <col min="10753" max="10753" width="18.44140625" style="135" customWidth="1"/>
    <col min="10754" max="10754" width="15.6640625" style="135" bestFit="1" customWidth="1"/>
    <col min="10755" max="10755" width="17.109375" style="135" bestFit="1" customWidth="1"/>
    <col min="10756" max="10757" width="12.109375" style="135" customWidth="1"/>
    <col min="10758" max="10761" width="9.88671875" style="135" customWidth="1"/>
    <col min="10762" max="10762" width="9" style="135" customWidth="1"/>
    <col min="10763" max="10764" width="0" style="135" hidden="1" customWidth="1"/>
    <col min="10765" max="11008" width="9.109375" style="135"/>
    <col min="11009" max="11009" width="18.44140625" style="135" customWidth="1"/>
    <col min="11010" max="11010" width="15.6640625" style="135" bestFit="1" customWidth="1"/>
    <col min="11011" max="11011" width="17.109375" style="135" bestFit="1" customWidth="1"/>
    <col min="11012" max="11013" width="12.109375" style="135" customWidth="1"/>
    <col min="11014" max="11017" width="9.88671875" style="135" customWidth="1"/>
    <col min="11018" max="11018" width="9" style="135" customWidth="1"/>
    <col min="11019" max="11020" width="0" style="135" hidden="1" customWidth="1"/>
    <col min="11021" max="11264" width="9.109375" style="135"/>
    <col min="11265" max="11265" width="18.44140625" style="135" customWidth="1"/>
    <col min="11266" max="11266" width="15.6640625" style="135" bestFit="1" customWidth="1"/>
    <col min="11267" max="11267" width="17.109375" style="135" bestFit="1" customWidth="1"/>
    <col min="11268" max="11269" width="12.109375" style="135" customWidth="1"/>
    <col min="11270" max="11273" width="9.88671875" style="135" customWidth="1"/>
    <col min="11274" max="11274" width="9" style="135" customWidth="1"/>
    <col min="11275" max="11276" width="0" style="135" hidden="1" customWidth="1"/>
    <col min="11277" max="11520" width="9.109375" style="135"/>
    <col min="11521" max="11521" width="18.44140625" style="135" customWidth="1"/>
    <col min="11522" max="11522" width="15.6640625" style="135" bestFit="1" customWidth="1"/>
    <col min="11523" max="11523" width="17.109375" style="135" bestFit="1" customWidth="1"/>
    <col min="11524" max="11525" width="12.109375" style="135" customWidth="1"/>
    <col min="11526" max="11529" width="9.88671875" style="135" customWidth="1"/>
    <col min="11530" max="11530" width="9" style="135" customWidth="1"/>
    <col min="11531" max="11532" width="0" style="135" hidden="1" customWidth="1"/>
    <col min="11533" max="11776" width="9.109375" style="135"/>
    <col min="11777" max="11777" width="18.44140625" style="135" customWidth="1"/>
    <col min="11778" max="11778" width="15.6640625" style="135" bestFit="1" customWidth="1"/>
    <col min="11779" max="11779" width="17.109375" style="135" bestFit="1" customWidth="1"/>
    <col min="11780" max="11781" width="12.109375" style="135" customWidth="1"/>
    <col min="11782" max="11785" width="9.88671875" style="135" customWidth="1"/>
    <col min="11786" max="11786" width="9" style="135" customWidth="1"/>
    <col min="11787" max="11788" width="0" style="135" hidden="1" customWidth="1"/>
    <col min="11789" max="12032" width="9.109375" style="135"/>
    <col min="12033" max="12033" width="18.44140625" style="135" customWidth="1"/>
    <col min="12034" max="12034" width="15.6640625" style="135" bestFit="1" customWidth="1"/>
    <col min="12035" max="12035" width="17.109375" style="135" bestFit="1" customWidth="1"/>
    <col min="12036" max="12037" width="12.109375" style="135" customWidth="1"/>
    <col min="12038" max="12041" width="9.88671875" style="135" customWidth="1"/>
    <col min="12042" max="12042" width="9" style="135" customWidth="1"/>
    <col min="12043" max="12044" width="0" style="135" hidden="1" customWidth="1"/>
    <col min="12045" max="12288" width="9.109375" style="135"/>
    <col min="12289" max="12289" width="18.44140625" style="135" customWidth="1"/>
    <col min="12290" max="12290" width="15.6640625" style="135" bestFit="1" customWidth="1"/>
    <col min="12291" max="12291" width="17.109375" style="135" bestFit="1" customWidth="1"/>
    <col min="12292" max="12293" width="12.109375" style="135" customWidth="1"/>
    <col min="12294" max="12297" width="9.88671875" style="135" customWidth="1"/>
    <col min="12298" max="12298" width="9" style="135" customWidth="1"/>
    <col min="12299" max="12300" width="0" style="135" hidden="1" customWidth="1"/>
    <col min="12301" max="12544" width="9.109375" style="135"/>
    <col min="12545" max="12545" width="18.44140625" style="135" customWidth="1"/>
    <col min="12546" max="12546" width="15.6640625" style="135" bestFit="1" customWidth="1"/>
    <col min="12547" max="12547" width="17.109375" style="135" bestFit="1" customWidth="1"/>
    <col min="12548" max="12549" width="12.109375" style="135" customWidth="1"/>
    <col min="12550" max="12553" width="9.88671875" style="135" customWidth="1"/>
    <col min="12554" max="12554" width="9" style="135" customWidth="1"/>
    <col min="12555" max="12556" width="0" style="135" hidden="1" customWidth="1"/>
    <col min="12557" max="12800" width="9.109375" style="135"/>
    <col min="12801" max="12801" width="18.44140625" style="135" customWidth="1"/>
    <col min="12802" max="12802" width="15.6640625" style="135" bestFit="1" customWidth="1"/>
    <col min="12803" max="12803" width="17.109375" style="135" bestFit="1" customWidth="1"/>
    <col min="12804" max="12805" width="12.109375" style="135" customWidth="1"/>
    <col min="12806" max="12809" width="9.88671875" style="135" customWidth="1"/>
    <col min="12810" max="12810" width="9" style="135" customWidth="1"/>
    <col min="12811" max="12812" width="0" style="135" hidden="1" customWidth="1"/>
    <col min="12813" max="13056" width="9.109375" style="135"/>
    <col min="13057" max="13057" width="18.44140625" style="135" customWidth="1"/>
    <col min="13058" max="13058" width="15.6640625" style="135" bestFit="1" customWidth="1"/>
    <col min="13059" max="13059" width="17.109375" style="135" bestFit="1" customWidth="1"/>
    <col min="13060" max="13061" width="12.109375" style="135" customWidth="1"/>
    <col min="13062" max="13065" width="9.88671875" style="135" customWidth="1"/>
    <col min="13066" max="13066" width="9" style="135" customWidth="1"/>
    <col min="13067" max="13068" width="0" style="135" hidden="1" customWidth="1"/>
    <col min="13069" max="13312" width="9.109375" style="135"/>
    <col min="13313" max="13313" width="18.44140625" style="135" customWidth="1"/>
    <col min="13314" max="13314" width="15.6640625" style="135" bestFit="1" customWidth="1"/>
    <col min="13315" max="13315" width="17.109375" style="135" bestFit="1" customWidth="1"/>
    <col min="13316" max="13317" width="12.109375" style="135" customWidth="1"/>
    <col min="13318" max="13321" width="9.88671875" style="135" customWidth="1"/>
    <col min="13322" max="13322" width="9" style="135" customWidth="1"/>
    <col min="13323" max="13324" width="0" style="135" hidden="1" customWidth="1"/>
    <col min="13325" max="13568" width="9.109375" style="135"/>
    <col min="13569" max="13569" width="18.44140625" style="135" customWidth="1"/>
    <col min="13570" max="13570" width="15.6640625" style="135" bestFit="1" customWidth="1"/>
    <col min="13571" max="13571" width="17.109375" style="135" bestFit="1" customWidth="1"/>
    <col min="13572" max="13573" width="12.109375" style="135" customWidth="1"/>
    <col min="13574" max="13577" width="9.88671875" style="135" customWidth="1"/>
    <col min="13578" max="13578" width="9" style="135" customWidth="1"/>
    <col min="13579" max="13580" width="0" style="135" hidden="1" customWidth="1"/>
    <col min="13581" max="13824" width="9.109375" style="135"/>
    <col min="13825" max="13825" width="18.44140625" style="135" customWidth="1"/>
    <col min="13826" max="13826" width="15.6640625" style="135" bestFit="1" customWidth="1"/>
    <col min="13827" max="13827" width="17.109375" style="135" bestFit="1" customWidth="1"/>
    <col min="13828" max="13829" width="12.109375" style="135" customWidth="1"/>
    <col min="13830" max="13833" width="9.88671875" style="135" customWidth="1"/>
    <col min="13834" max="13834" width="9" style="135" customWidth="1"/>
    <col min="13835" max="13836" width="0" style="135" hidden="1" customWidth="1"/>
    <col min="13837" max="14080" width="9.109375" style="135"/>
    <col min="14081" max="14081" width="18.44140625" style="135" customWidth="1"/>
    <col min="14082" max="14082" width="15.6640625" style="135" bestFit="1" customWidth="1"/>
    <col min="14083" max="14083" width="17.109375" style="135" bestFit="1" customWidth="1"/>
    <col min="14084" max="14085" width="12.109375" style="135" customWidth="1"/>
    <col min="14086" max="14089" width="9.88671875" style="135" customWidth="1"/>
    <col min="14090" max="14090" width="9" style="135" customWidth="1"/>
    <col min="14091" max="14092" width="0" style="135" hidden="1" customWidth="1"/>
    <col min="14093" max="14336" width="9.109375" style="135"/>
    <col min="14337" max="14337" width="18.44140625" style="135" customWidth="1"/>
    <col min="14338" max="14338" width="15.6640625" style="135" bestFit="1" customWidth="1"/>
    <col min="14339" max="14339" width="17.109375" style="135" bestFit="1" customWidth="1"/>
    <col min="14340" max="14341" width="12.109375" style="135" customWidth="1"/>
    <col min="14342" max="14345" width="9.88671875" style="135" customWidth="1"/>
    <col min="14346" max="14346" width="9" style="135" customWidth="1"/>
    <col min="14347" max="14348" width="0" style="135" hidden="1" customWidth="1"/>
    <col min="14349" max="14592" width="9.109375" style="135"/>
    <col min="14593" max="14593" width="18.44140625" style="135" customWidth="1"/>
    <col min="14594" max="14594" width="15.6640625" style="135" bestFit="1" customWidth="1"/>
    <col min="14595" max="14595" width="17.109375" style="135" bestFit="1" customWidth="1"/>
    <col min="14596" max="14597" width="12.109375" style="135" customWidth="1"/>
    <col min="14598" max="14601" width="9.88671875" style="135" customWidth="1"/>
    <col min="14602" max="14602" width="9" style="135" customWidth="1"/>
    <col min="14603" max="14604" width="0" style="135" hidden="1" customWidth="1"/>
    <col min="14605" max="14848" width="9.109375" style="135"/>
    <col min="14849" max="14849" width="18.44140625" style="135" customWidth="1"/>
    <col min="14850" max="14850" width="15.6640625" style="135" bestFit="1" customWidth="1"/>
    <col min="14851" max="14851" width="17.109375" style="135" bestFit="1" customWidth="1"/>
    <col min="14852" max="14853" width="12.109375" style="135" customWidth="1"/>
    <col min="14854" max="14857" width="9.88671875" style="135" customWidth="1"/>
    <col min="14858" max="14858" width="9" style="135" customWidth="1"/>
    <col min="14859" max="14860" width="0" style="135" hidden="1" customWidth="1"/>
    <col min="14861" max="15104" width="9.109375" style="135"/>
    <col min="15105" max="15105" width="18.44140625" style="135" customWidth="1"/>
    <col min="15106" max="15106" width="15.6640625" style="135" bestFit="1" customWidth="1"/>
    <col min="15107" max="15107" width="17.109375" style="135" bestFit="1" customWidth="1"/>
    <col min="15108" max="15109" width="12.109375" style="135" customWidth="1"/>
    <col min="15110" max="15113" width="9.88671875" style="135" customWidth="1"/>
    <col min="15114" max="15114" width="9" style="135" customWidth="1"/>
    <col min="15115" max="15116" width="0" style="135" hidden="1" customWidth="1"/>
    <col min="15117" max="15360" width="9.109375" style="135"/>
    <col min="15361" max="15361" width="18.44140625" style="135" customWidth="1"/>
    <col min="15362" max="15362" width="15.6640625" style="135" bestFit="1" customWidth="1"/>
    <col min="15363" max="15363" width="17.109375" style="135" bestFit="1" customWidth="1"/>
    <col min="15364" max="15365" width="12.109375" style="135" customWidth="1"/>
    <col min="15366" max="15369" width="9.88671875" style="135" customWidth="1"/>
    <col min="15370" max="15370" width="9" style="135" customWidth="1"/>
    <col min="15371" max="15372" width="0" style="135" hidden="1" customWidth="1"/>
    <col min="15373" max="15616" width="9.109375" style="135"/>
    <col min="15617" max="15617" width="18.44140625" style="135" customWidth="1"/>
    <col min="15618" max="15618" width="15.6640625" style="135" bestFit="1" customWidth="1"/>
    <col min="15619" max="15619" width="17.109375" style="135" bestFit="1" customWidth="1"/>
    <col min="15620" max="15621" width="12.109375" style="135" customWidth="1"/>
    <col min="15622" max="15625" width="9.88671875" style="135" customWidth="1"/>
    <col min="15626" max="15626" width="9" style="135" customWidth="1"/>
    <col min="15627" max="15628" width="0" style="135" hidden="1" customWidth="1"/>
    <col min="15629" max="15872" width="9.109375" style="135"/>
    <col min="15873" max="15873" width="18.44140625" style="135" customWidth="1"/>
    <col min="15874" max="15874" width="15.6640625" style="135" bestFit="1" customWidth="1"/>
    <col min="15875" max="15875" width="17.109375" style="135" bestFit="1" customWidth="1"/>
    <col min="15876" max="15877" width="12.109375" style="135" customWidth="1"/>
    <col min="15878" max="15881" width="9.88671875" style="135" customWidth="1"/>
    <col min="15882" max="15882" width="9" style="135" customWidth="1"/>
    <col min="15883" max="15884" width="0" style="135" hidden="1" customWidth="1"/>
    <col min="15885" max="16128" width="9.109375" style="135"/>
    <col min="16129" max="16129" width="18.44140625" style="135" customWidth="1"/>
    <col min="16130" max="16130" width="15.6640625" style="135" bestFit="1" customWidth="1"/>
    <col min="16131" max="16131" width="17.109375" style="135" bestFit="1" customWidth="1"/>
    <col min="16132" max="16133" width="12.109375" style="135" customWidth="1"/>
    <col min="16134" max="16137" width="9.88671875" style="135" customWidth="1"/>
    <col min="16138" max="16138" width="9" style="135" customWidth="1"/>
    <col min="16139" max="16140" width="0" style="135" hidden="1" customWidth="1"/>
    <col min="16141" max="16384" width="9.109375" style="135"/>
  </cols>
  <sheetData>
    <row r="2" spans="1:14" ht="13.8" thickBot="1"/>
    <row r="3" spans="1:14" ht="18" thickBot="1">
      <c r="A3" s="137"/>
      <c r="B3" s="138"/>
      <c r="C3" s="139"/>
      <c r="D3" s="138"/>
      <c r="E3" s="135"/>
      <c r="F3" s="140"/>
      <c r="G3" s="135"/>
      <c r="H3" s="135"/>
      <c r="I3" s="141" t="s">
        <v>142</v>
      </c>
      <c r="J3" s="142">
        <f>[2]Liste!B4</f>
        <v>41640</v>
      </c>
    </row>
    <row r="4" spans="1:14" ht="16.2" thickBot="1">
      <c r="A4" s="143"/>
      <c r="D4" s="144"/>
      <c r="E4" s="144"/>
      <c r="F4" s="144"/>
      <c r="G4" s="135"/>
      <c r="H4" s="135"/>
      <c r="I4" s="145">
        <v>2</v>
      </c>
      <c r="J4" s="145">
        <f>[2]Liste!B5</f>
        <v>1</v>
      </c>
    </row>
    <row r="5" spans="1:14" ht="26.25" customHeight="1" thickBot="1"/>
    <row r="6" spans="1:14" ht="24" customHeight="1" thickBot="1">
      <c r="A6" s="2409" t="s">
        <v>143</v>
      </c>
      <c r="B6" s="2410"/>
      <c r="C6" s="2410"/>
      <c r="D6" s="2410"/>
      <c r="E6" s="2410"/>
      <c r="F6" s="2410"/>
      <c r="G6" s="2410"/>
      <c r="H6" s="2410"/>
      <c r="I6" s="2410"/>
      <c r="J6" s="2411"/>
    </row>
    <row r="7" spans="1:14" ht="12.75" customHeight="1">
      <c r="A7" s="146"/>
      <c r="B7" s="147"/>
      <c r="C7" s="147"/>
      <c r="D7" s="148" t="s">
        <v>144</v>
      </c>
      <c r="E7" s="148"/>
      <c r="F7" s="148" t="s">
        <v>145</v>
      </c>
      <c r="G7" s="148"/>
      <c r="H7" s="148" t="s">
        <v>146</v>
      </c>
      <c r="I7" s="148"/>
      <c r="J7" s="149" t="s">
        <v>147</v>
      </c>
      <c r="K7" s="150" t="s">
        <v>148</v>
      </c>
      <c r="L7" s="151"/>
    </row>
    <row r="8" spans="1:14" ht="14.25" customHeight="1" thickBot="1">
      <c r="A8" s="152" t="s">
        <v>149</v>
      </c>
      <c r="B8" s="153" t="s">
        <v>150</v>
      </c>
      <c r="C8" s="153" t="s">
        <v>151</v>
      </c>
      <c r="D8" s="154" t="s">
        <v>152</v>
      </c>
      <c r="E8" s="154" t="s">
        <v>153</v>
      </c>
      <c r="F8" s="155" t="s">
        <v>154</v>
      </c>
      <c r="G8" s="156" t="s">
        <v>155</v>
      </c>
      <c r="H8" s="155" t="s">
        <v>154</v>
      </c>
      <c r="I8" s="156" t="s">
        <v>155</v>
      </c>
      <c r="J8" s="157" t="s">
        <v>156</v>
      </c>
      <c r="K8" s="158" t="s">
        <v>157</v>
      </c>
      <c r="L8" s="159" t="s">
        <v>158</v>
      </c>
    </row>
    <row r="9" spans="1:14" ht="13.8" thickBot="1">
      <c r="A9" s="160" t="str">
        <f>[2]Liste!B9</f>
        <v>MERSİN</v>
      </c>
      <c r="B9" s="160" t="str">
        <f>[2]Liste!C9</f>
        <v>BPET</v>
      </c>
      <c r="C9" s="160" t="str">
        <f>[2]Liste!D9</f>
        <v>Motorin (ithal)</v>
      </c>
      <c r="D9" s="161"/>
      <c r="E9" s="162"/>
      <c r="F9" s="163">
        <v>0</v>
      </c>
      <c r="G9" s="163">
        <v>0</v>
      </c>
      <c r="H9" s="162">
        <v>3.665</v>
      </c>
      <c r="I9" s="162">
        <v>4.3247</v>
      </c>
      <c r="J9" s="164">
        <v>0</v>
      </c>
      <c r="K9" s="165">
        <f>H9-F9</f>
        <v>3.665</v>
      </c>
      <c r="L9" s="166">
        <f t="shared" ref="L9:L40" si="0">K9/$I$4</f>
        <v>1.8325</v>
      </c>
    </row>
    <row r="10" spans="1:14" ht="13.8" thickBot="1">
      <c r="A10" s="160" t="str">
        <f>[2]Liste!B15</f>
        <v>MERSİN</v>
      </c>
      <c r="B10" s="160" t="str">
        <f>[2]Liste!C15</f>
        <v>BPET</v>
      </c>
      <c r="C10" s="160" t="str">
        <f>[2]Liste!D15</f>
        <v>UFO Motorin (İthal)</v>
      </c>
      <c r="D10" s="162"/>
      <c r="E10" s="162"/>
      <c r="F10" s="162">
        <v>3.4123999999999999</v>
      </c>
      <c r="G10" s="162">
        <v>4.0266000000000002</v>
      </c>
      <c r="H10" s="162">
        <v>3.7120000000000002</v>
      </c>
      <c r="I10" s="162">
        <v>4.3802000000000003</v>
      </c>
      <c r="J10" s="167">
        <v>8.0711206896551757E-2</v>
      </c>
      <c r="K10" s="168">
        <f>H11-F11</f>
        <v>0.24940000000000007</v>
      </c>
      <c r="L10" s="169">
        <f t="shared" si="0"/>
        <v>0.12470000000000003</v>
      </c>
      <c r="M10" s="135">
        <f>+F10*1.18</f>
        <v>4.0266319999999993</v>
      </c>
      <c r="N10" s="840">
        <f>+M10-G10</f>
        <v>3.1999999999143824E-5</v>
      </c>
    </row>
    <row r="11" spans="1:14" ht="13.8" thickBot="1">
      <c r="A11" s="160" t="str">
        <f>[2]Liste!B10</f>
        <v>MERSİN</v>
      </c>
      <c r="B11" s="160" t="str">
        <f>[2]Liste!C10</f>
        <v>OPET</v>
      </c>
      <c r="C11" s="160" t="str">
        <f>[2]Liste!D10</f>
        <v xml:space="preserve">K.Benzin 95 </v>
      </c>
      <c r="D11" s="162"/>
      <c r="E11" s="162"/>
      <c r="F11" s="162">
        <v>3.7806000000000002</v>
      </c>
      <c r="G11" s="162">
        <v>4.4611000000000001</v>
      </c>
      <c r="H11" s="162">
        <v>4.03</v>
      </c>
      <c r="I11" s="162">
        <v>4.7553999999999998</v>
      </c>
      <c r="J11" s="167">
        <v>6.1885856079404444E-2</v>
      </c>
      <c r="K11" s="170">
        <f>H12-F12</f>
        <v>0.2551000000000001</v>
      </c>
      <c r="L11" s="171">
        <f t="shared" si="0"/>
        <v>0.12755000000000005</v>
      </c>
      <c r="M11" s="135">
        <f>+F11*1.18</f>
        <v>4.4611080000000003</v>
      </c>
      <c r="N11" s="840">
        <f t="shared" ref="N11:N56" si="1">+M11-G11</f>
        <v>8.0000000002300453E-6</v>
      </c>
    </row>
    <row r="12" spans="1:14" ht="13.8" thickBot="1">
      <c r="A12" s="160" t="str">
        <f>[2]Liste!B11</f>
        <v>MERSİN</v>
      </c>
      <c r="B12" s="160" t="str">
        <f>[2]Liste!C11</f>
        <v>OPET</v>
      </c>
      <c r="C12" s="160" t="str">
        <f>[2]Liste!D11</f>
        <v xml:space="preserve">Motorin </v>
      </c>
      <c r="D12" s="162"/>
      <c r="E12" s="162"/>
      <c r="F12" s="162">
        <v>3.4098999999999999</v>
      </c>
      <c r="G12" s="162">
        <v>4.0236999999999998</v>
      </c>
      <c r="H12" s="162">
        <v>3.665</v>
      </c>
      <c r="I12" s="162">
        <v>4.3247</v>
      </c>
      <c r="J12" s="167">
        <v>6.9604365620736686E-2</v>
      </c>
      <c r="K12" s="172">
        <f>H13-F13</f>
        <v>0.27740000000000009</v>
      </c>
      <c r="L12" s="173">
        <f t="shared" si="0"/>
        <v>0.13870000000000005</v>
      </c>
      <c r="M12" s="135">
        <f t="shared" ref="M12:M56" si="2">+F12*1.18</f>
        <v>4.023682</v>
      </c>
      <c r="N12" s="840">
        <f t="shared" si="1"/>
        <v>-1.7999999999851468E-5</v>
      </c>
    </row>
    <row r="13" spans="1:14" ht="13.8" thickBot="1">
      <c r="A13" s="160" t="str">
        <f>[2]Liste!B12</f>
        <v>MERSİN</v>
      </c>
      <c r="B13" s="160" t="str">
        <f>[2]Liste!C12</f>
        <v>BP</v>
      </c>
      <c r="C13" s="160" t="str">
        <f>[2]Liste!D12</f>
        <v xml:space="preserve">K.Benzin 95 </v>
      </c>
      <c r="D13" s="162"/>
      <c r="E13" s="162"/>
      <c r="F13" s="162">
        <v>3.7526000000000002</v>
      </c>
      <c r="G13" s="162">
        <v>4.4280999999999997</v>
      </c>
      <c r="H13" s="162">
        <v>4.03</v>
      </c>
      <c r="I13" s="162">
        <v>4.7553999999999998</v>
      </c>
      <c r="J13" s="167">
        <v>6.8833746898263048E-2</v>
      </c>
      <c r="K13" s="168">
        <f>H14-F14</f>
        <v>0.28310000000000013</v>
      </c>
      <c r="L13" s="169">
        <f t="shared" si="0"/>
        <v>0.14155000000000006</v>
      </c>
      <c r="M13" s="135">
        <f t="shared" si="2"/>
        <v>4.4280679999999997</v>
      </c>
      <c r="N13" s="840">
        <f t="shared" si="1"/>
        <v>-3.2000000000032003E-5</v>
      </c>
    </row>
    <row r="14" spans="1:14" ht="13.8" thickBot="1">
      <c r="A14" s="174" t="str">
        <f>[2]Liste!B13</f>
        <v>MERSİN</v>
      </c>
      <c r="B14" s="174" t="str">
        <f>[2]Liste!C13</f>
        <v>BP</v>
      </c>
      <c r="C14" s="174" t="str">
        <f>[2]Liste!D13</f>
        <v>Motorin</v>
      </c>
      <c r="D14" s="162"/>
      <c r="E14" s="162"/>
      <c r="F14" s="162">
        <v>3.3818999999999999</v>
      </c>
      <c r="G14" s="162">
        <v>3.9906000000000001</v>
      </c>
      <c r="H14" s="162">
        <v>3.665</v>
      </c>
      <c r="I14" s="162">
        <v>4.3247</v>
      </c>
      <c r="J14" s="167">
        <v>7.7244201909959065E-2</v>
      </c>
      <c r="K14" s="172">
        <f>H10-F10</f>
        <v>0.29960000000000031</v>
      </c>
      <c r="L14" s="173">
        <f t="shared" si="0"/>
        <v>0.14980000000000016</v>
      </c>
      <c r="M14" s="135">
        <f t="shared" si="2"/>
        <v>3.9906419999999998</v>
      </c>
      <c r="N14" s="840">
        <f t="shared" si="1"/>
        <v>4.1999999999653426E-5</v>
      </c>
    </row>
    <row r="15" spans="1:14" ht="13.8" thickBot="1">
      <c r="A15" s="175" t="s">
        <v>159</v>
      </c>
      <c r="B15" s="175" t="s">
        <v>160</v>
      </c>
      <c r="C15" s="175" t="s">
        <v>161</v>
      </c>
      <c r="D15" s="162"/>
      <c r="E15" s="162"/>
      <c r="F15" s="162">
        <v>1.6347</v>
      </c>
      <c r="G15" s="162">
        <v>1.9289000000000001</v>
      </c>
      <c r="H15" s="162">
        <v>1.919</v>
      </c>
      <c r="I15" s="162">
        <v>2.2644000000000002</v>
      </c>
      <c r="J15" s="167">
        <v>0.14815007816571135</v>
      </c>
      <c r="K15" s="176"/>
      <c r="L15" s="177"/>
      <c r="M15" s="135">
        <f t="shared" si="2"/>
        <v>1.928946</v>
      </c>
      <c r="N15" s="840">
        <f t="shared" si="1"/>
        <v>4.5999999999990493E-5</v>
      </c>
    </row>
    <row r="16" spans="1:14" ht="13.8" thickBot="1">
      <c r="A16" s="178" t="str">
        <f>[2]Liste!B16</f>
        <v>İZMİT KÖRFEZ</v>
      </c>
      <c r="B16" s="178" t="str">
        <f>[2]Liste!C16</f>
        <v>OPET</v>
      </c>
      <c r="C16" s="178" t="str">
        <f>[2]Liste!D16</f>
        <v>K.Benzin 95</v>
      </c>
      <c r="D16" s="179"/>
      <c r="E16" s="179"/>
      <c r="F16" s="179">
        <v>3.7616999999999998</v>
      </c>
      <c r="G16" s="179">
        <v>4.4387999999999996</v>
      </c>
      <c r="H16" s="179">
        <v>4.01</v>
      </c>
      <c r="I16" s="179">
        <v>4.7317999999999998</v>
      </c>
      <c r="J16" s="180">
        <v>6.1920199501246831E-2</v>
      </c>
      <c r="K16" s="170">
        <f>H16-F16</f>
        <v>0.24829999999999997</v>
      </c>
      <c r="L16" s="171">
        <f t="shared" si="0"/>
        <v>0.12414999999999998</v>
      </c>
      <c r="M16" s="135">
        <f t="shared" si="2"/>
        <v>4.4388059999999996</v>
      </c>
      <c r="N16" s="840">
        <f t="shared" si="1"/>
        <v>5.9999999999504894E-6</v>
      </c>
    </row>
    <row r="17" spans="1:14" ht="13.8" thickBot="1">
      <c r="A17" s="178" t="str">
        <f>[2]Liste!B17</f>
        <v>İZMİT KÖRFEZ</v>
      </c>
      <c r="B17" s="178" t="str">
        <f>[2]Liste!C17</f>
        <v>OPET</v>
      </c>
      <c r="C17" s="178" t="str">
        <f>[2]Liste!D17</f>
        <v>K.Benzin 95 prem</v>
      </c>
      <c r="D17" s="179"/>
      <c r="E17" s="179"/>
      <c r="F17" s="179">
        <v>3.8172000000000001</v>
      </c>
      <c r="G17" s="179">
        <v>4.5042999999999997</v>
      </c>
      <c r="H17" s="179">
        <v>4.08</v>
      </c>
      <c r="I17" s="179">
        <v>4.8144</v>
      </c>
      <c r="J17" s="180">
        <v>6.441176470588228E-2</v>
      </c>
      <c r="K17" s="170">
        <f>H17-F17</f>
        <v>0.26279999999999992</v>
      </c>
      <c r="L17" s="171">
        <f t="shared" si="0"/>
        <v>0.13139999999999996</v>
      </c>
      <c r="M17" s="135">
        <f t="shared" si="2"/>
        <v>4.5042960000000001</v>
      </c>
      <c r="N17" s="840">
        <f t="shared" si="1"/>
        <v>-3.9999999996709334E-6</v>
      </c>
    </row>
    <row r="18" spans="1:14" ht="13.8" thickBot="1">
      <c r="A18" s="178" t="str">
        <f>[2]Liste!B18</f>
        <v>İZMİT KÖRFEZ</v>
      </c>
      <c r="B18" s="178" t="str">
        <f>[2]Liste!C18</f>
        <v>OPET</v>
      </c>
      <c r="C18" s="178" t="str">
        <f>[2]Liste!D18</f>
        <v xml:space="preserve">Motorin </v>
      </c>
      <c r="D18" s="179"/>
      <c r="E18" s="179"/>
      <c r="F18" s="179">
        <v>3.4015</v>
      </c>
      <c r="G18" s="179">
        <v>4.0137999999999998</v>
      </c>
      <c r="H18" s="179">
        <v>3.6610999999999998</v>
      </c>
      <c r="I18" s="179">
        <v>4.3201000000000001</v>
      </c>
      <c r="J18" s="180">
        <v>7.0907650706071856E-2</v>
      </c>
      <c r="K18" s="176">
        <f>H18-F18</f>
        <v>0.25959999999999983</v>
      </c>
      <c r="L18" s="177">
        <f t="shared" si="0"/>
        <v>0.12979999999999992</v>
      </c>
      <c r="M18" s="135">
        <f t="shared" si="2"/>
        <v>4.0137700000000001</v>
      </c>
      <c r="N18" s="840">
        <f t="shared" si="1"/>
        <v>-2.9999999999752447E-5</v>
      </c>
    </row>
    <row r="19" spans="1:14" ht="13.8" thickBot="1">
      <c r="A19" s="178" t="str">
        <f>[2]Liste!B19</f>
        <v>İZMİT KÖRFEZ</v>
      </c>
      <c r="B19" s="178" t="s">
        <v>162</v>
      </c>
      <c r="C19" s="178" t="str">
        <f>[2]Liste!D19</f>
        <v xml:space="preserve">UFO Motorin </v>
      </c>
      <c r="D19" s="179"/>
      <c r="E19" s="179"/>
      <c r="F19" s="179">
        <v>3.4039999999999999</v>
      </c>
      <c r="G19" s="179">
        <v>4.0167000000000002</v>
      </c>
      <c r="H19" s="179">
        <v>3.7092000000000001</v>
      </c>
      <c r="I19" s="179">
        <v>4.3769</v>
      </c>
      <c r="J19" s="180">
        <v>8.2281893669794104E-2</v>
      </c>
      <c r="K19" s="168" t="e">
        <f>#REF!-#REF!</f>
        <v>#REF!</v>
      </c>
      <c r="L19" s="169" t="e">
        <f t="shared" si="0"/>
        <v>#REF!</v>
      </c>
      <c r="M19" s="135">
        <f t="shared" si="2"/>
        <v>4.0167199999999994</v>
      </c>
      <c r="N19" s="840">
        <f t="shared" si="1"/>
        <v>1.9999999999242846E-5</v>
      </c>
    </row>
    <row r="20" spans="1:14" ht="13.8" thickBot="1">
      <c r="A20" s="178" t="str">
        <f>[2]Liste!B20</f>
        <v>İZMİT KÖRFEZ</v>
      </c>
      <c r="B20" s="178" t="str">
        <f>[2]Liste!C20</f>
        <v>LUKOİL</v>
      </c>
      <c r="C20" s="178" t="str">
        <f>[2]Liste!D20</f>
        <v xml:space="preserve">K.Benzin 95 </v>
      </c>
      <c r="D20" s="179"/>
      <c r="E20" s="179"/>
      <c r="F20" s="179">
        <v>3.7475999999999998</v>
      </c>
      <c r="G20" s="179">
        <v>4.4222000000000001</v>
      </c>
      <c r="H20" s="179">
        <v>4.01</v>
      </c>
      <c r="I20" s="179">
        <v>4.7317999999999998</v>
      </c>
      <c r="J20" s="180">
        <v>6.5436408977556093E-2</v>
      </c>
      <c r="K20" s="168">
        <f t="shared" ref="K20:K26" si="3">H20-F20</f>
        <v>0.26239999999999997</v>
      </c>
      <c r="L20" s="169">
        <f t="shared" si="0"/>
        <v>0.13119999999999998</v>
      </c>
      <c r="M20" s="135">
        <f t="shared" si="2"/>
        <v>4.4221679999999992</v>
      </c>
      <c r="N20" s="840">
        <f t="shared" si="1"/>
        <v>-3.2000000000920181E-5</v>
      </c>
    </row>
    <row r="21" spans="1:14" ht="14.25" customHeight="1" thickBot="1">
      <c r="A21" s="178" t="str">
        <f>[2]Liste!B21</f>
        <v>İZMİT KÖRFEZ</v>
      </c>
      <c r="B21" s="178" t="str">
        <f>[2]Liste!C21</f>
        <v>LUKOİL</v>
      </c>
      <c r="C21" s="178" t="str">
        <f>[2]Liste!D21</f>
        <v xml:space="preserve">Motorin </v>
      </c>
      <c r="D21" s="179"/>
      <c r="E21" s="179"/>
      <c r="F21" s="179">
        <v>3.3984000000000001</v>
      </c>
      <c r="G21" s="179">
        <v>4.0101000000000004</v>
      </c>
      <c r="H21" s="179">
        <v>3.6610999999999998</v>
      </c>
      <c r="I21" s="179">
        <v>4.3201000000000001</v>
      </c>
      <c r="J21" s="180">
        <v>7.1754390756876285E-2</v>
      </c>
      <c r="K21" s="172">
        <f t="shared" si="3"/>
        <v>0.26269999999999971</v>
      </c>
      <c r="L21" s="173">
        <f t="shared" si="0"/>
        <v>0.13134999999999986</v>
      </c>
      <c r="M21" s="135">
        <f t="shared" si="2"/>
        <v>4.0101119999999995</v>
      </c>
      <c r="N21" s="840">
        <f t="shared" si="1"/>
        <v>1.19999999990128E-5</v>
      </c>
    </row>
    <row r="22" spans="1:14" ht="14.25" customHeight="1" thickBot="1">
      <c r="A22" s="178" t="str">
        <f>[2]Liste!B22</f>
        <v>İZMİT KÖRFEZ</v>
      </c>
      <c r="B22" s="178" t="str">
        <f>[2]Liste!C22</f>
        <v>TÜPRAŞ</v>
      </c>
      <c r="C22" s="178" t="str">
        <f>[2]Liste!D22</f>
        <v>F.Oil</v>
      </c>
      <c r="D22" s="179"/>
      <c r="E22" s="179"/>
      <c r="F22" s="179">
        <v>1.5951</v>
      </c>
      <c r="G22" s="179">
        <v>1.8822000000000001</v>
      </c>
      <c r="H22" s="179">
        <v>1.913</v>
      </c>
      <c r="I22" s="179">
        <v>2.2572999999999999</v>
      </c>
      <c r="J22" s="180">
        <v>0.16617877679038162</v>
      </c>
      <c r="K22" s="176">
        <f t="shared" si="3"/>
        <v>0.31790000000000007</v>
      </c>
      <c r="L22" s="177">
        <f t="shared" si="0"/>
        <v>0.15895000000000004</v>
      </c>
      <c r="M22" s="135">
        <f t="shared" si="2"/>
        <v>1.8822179999999999</v>
      </c>
      <c r="N22" s="840">
        <f t="shared" si="1"/>
        <v>1.7999999999851468E-5</v>
      </c>
    </row>
    <row r="23" spans="1:14" ht="13.8" thickBot="1">
      <c r="A23" s="178" t="str">
        <f>[2]Liste!B23</f>
        <v>İZMİT KÖRFEZ</v>
      </c>
      <c r="B23" s="178" t="str">
        <f>[2]Liste!C23</f>
        <v>TÜPRAŞ</v>
      </c>
      <c r="C23" s="178" t="str">
        <f>[2]Liste!D23</f>
        <v xml:space="preserve">Kalorifer Yakıtı </v>
      </c>
      <c r="D23" s="179"/>
      <c r="E23" s="179"/>
      <c r="F23" s="179">
        <v>1.8526</v>
      </c>
      <c r="G23" s="179">
        <v>2.1861000000000002</v>
      </c>
      <c r="H23" s="179">
        <v>2.198</v>
      </c>
      <c r="I23" s="179">
        <v>2.5935999999999999</v>
      </c>
      <c r="J23" s="180">
        <v>0.15714285714285714</v>
      </c>
      <c r="K23" s="170">
        <f t="shared" si="3"/>
        <v>0.34539999999999993</v>
      </c>
      <c r="L23" s="171">
        <f t="shared" si="0"/>
        <v>0.17269999999999996</v>
      </c>
      <c r="M23" s="135">
        <f t="shared" si="2"/>
        <v>2.1860680000000001</v>
      </c>
      <c r="N23" s="840">
        <f t="shared" si="1"/>
        <v>-3.2000000000032003E-5</v>
      </c>
    </row>
    <row r="24" spans="1:14" s="186" customFormat="1" ht="13.8" thickBot="1">
      <c r="A24" s="181" t="str">
        <f>[2]Liste!B24</f>
        <v>İZMİT DERİNCE</v>
      </c>
      <c r="B24" s="181"/>
      <c r="C24" s="181"/>
      <c r="D24" s="182"/>
      <c r="E24" s="182"/>
      <c r="F24" s="182"/>
      <c r="G24" s="182"/>
      <c r="H24" s="182"/>
      <c r="I24" s="182"/>
      <c r="J24" s="183"/>
      <c r="K24" s="184">
        <f t="shared" si="3"/>
        <v>0</v>
      </c>
      <c r="L24" s="185">
        <f t="shared" si="0"/>
        <v>0</v>
      </c>
      <c r="M24" s="135">
        <f t="shared" si="2"/>
        <v>0</v>
      </c>
      <c r="N24" s="840">
        <f t="shared" si="1"/>
        <v>0</v>
      </c>
    </row>
    <row r="25" spans="1:14" ht="13.8" thickBot="1">
      <c r="A25" s="160" t="str">
        <f>[2]Liste!B25</f>
        <v>BATMAN</v>
      </c>
      <c r="B25" s="160" t="str">
        <f>[2]Liste!C25</f>
        <v>TÜPRAŞ</v>
      </c>
      <c r="C25" s="160" t="str">
        <f>[2]Liste!D25</f>
        <v>K.Benzin 95</v>
      </c>
      <c r="D25" s="162"/>
      <c r="E25" s="162"/>
      <c r="F25" s="162">
        <v>3.8245</v>
      </c>
      <c r="G25" s="162">
        <v>4.5129000000000001</v>
      </c>
      <c r="H25" s="162">
        <v>4.0869999999999997</v>
      </c>
      <c r="I25" s="162">
        <v>4.8227000000000002</v>
      </c>
      <c r="J25" s="167">
        <v>6.42280401272326E-2</v>
      </c>
      <c r="K25" s="168">
        <f t="shared" si="3"/>
        <v>0.26249999999999973</v>
      </c>
      <c r="L25" s="169">
        <f t="shared" si="0"/>
        <v>0.13124999999999987</v>
      </c>
      <c r="M25" s="135">
        <f t="shared" si="2"/>
        <v>4.5129099999999998</v>
      </c>
      <c r="N25" s="840">
        <f t="shared" si="1"/>
        <v>9.9999999996214228E-6</v>
      </c>
    </row>
    <row r="26" spans="1:14" ht="13.8" thickBot="1">
      <c r="A26" s="160" t="str">
        <f>[2]Liste!B26</f>
        <v>BATMAN</v>
      </c>
      <c r="B26" s="160" t="str">
        <f>[2]Liste!C26</f>
        <v>TÜPRAŞ</v>
      </c>
      <c r="C26" s="160" t="str">
        <f>[2]Liste!D26</f>
        <v xml:space="preserve">Motorin </v>
      </c>
      <c r="D26" s="162"/>
      <c r="E26" s="162"/>
      <c r="F26" s="162">
        <v>3.4802</v>
      </c>
      <c r="G26" s="162">
        <v>4.1066000000000003</v>
      </c>
      <c r="H26" s="162">
        <v>3.7250000000000001</v>
      </c>
      <c r="I26" s="162">
        <v>4.3955000000000002</v>
      </c>
      <c r="J26" s="167">
        <v>6.5718120805369207E-2</v>
      </c>
      <c r="K26" s="176">
        <f t="shared" si="3"/>
        <v>0.24480000000000013</v>
      </c>
      <c r="L26" s="177">
        <f t="shared" si="0"/>
        <v>0.12240000000000006</v>
      </c>
      <c r="M26" s="135">
        <f t="shared" si="2"/>
        <v>4.106636</v>
      </c>
      <c r="N26" s="840">
        <f t="shared" si="1"/>
        <v>3.5999999999702936E-5</v>
      </c>
    </row>
    <row r="27" spans="1:14" ht="13.8" thickBot="1">
      <c r="A27" s="160" t="str">
        <f>[2]Liste!B27</f>
        <v>BATMAN</v>
      </c>
      <c r="B27" s="160" t="str">
        <f>[2]Liste!C27</f>
        <v>TÜPRAŞ</v>
      </c>
      <c r="C27" s="160" t="str">
        <f>[2]Liste!D27</f>
        <v xml:space="preserve">UFO Motorin </v>
      </c>
      <c r="D27" s="162"/>
      <c r="E27" s="162"/>
      <c r="F27" s="162">
        <v>3.4826999999999999</v>
      </c>
      <c r="G27" s="162">
        <v>4.1096000000000004</v>
      </c>
      <c r="H27" s="162">
        <v>3.76</v>
      </c>
      <c r="I27" s="162">
        <v>4.4367999999999999</v>
      </c>
      <c r="J27" s="167">
        <v>7.3749999999999982E-2</v>
      </c>
      <c r="K27" s="168" t="e">
        <f>#REF!-#REF!</f>
        <v>#REF!</v>
      </c>
      <c r="L27" s="169" t="e">
        <f t="shared" si="0"/>
        <v>#REF!</v>
      </c>
      <c r="M27" s="135">
        <f t="shared" si="2"/>
        <v>4.1095859999999993</v>
      </c>
      <c r="N27" s="840">
        <f t="shared" si="1"/>
        <v>-1.4000000001068713E-5</v>
      </c>
    </row>
    <row r="28" spans="1:14" ht="13.8" thickBot="1">
      <c r="A28" s="178" t="str">
        <f>[2]Liste!B28</f>
        <v>ALİAĞA</v>
      </c>
      <c r="B28" s="178" t="str">
        <f>[2]Liste!C28</f>
        <v>TÜPRAŞ</v>
      </c>
      <c r="C28" s="178" t="str">
        <f>[2]Liste!D28</f>
        <v>K.Benzin 95</v>
      </c>
      <c r="D28" s="179"/>
      <c r="E28" s="179"/>
      <c r="F28" s="179">
        <v>3.7530000000000001</v>
      </c>
      <c r="G28" s="179">
        <v>4.4284999999999997</v>
      </c>
      <c r="H28" s="179">
        <v>4.0179999999999998</v>
      </c>
      <c r="I28" s="179">
        <v>4.7412000000000001</v>
      </c>
      <c r="J28" s="180">
        <v>6.5953210552513575E-2</v>
      </c>
      <c r="K28" s="168">
        <f>H28-F28</f>
        <v>0.26499999999999968</v>
      </c>
      <c r="L28" s="169">
        <f t="shared" si="0"/>
        <v>0.13249999999999984</v>
      </c>
      <c r="M28" s="135">
        <f t="shared" si="2"/>
        <v>4.4285399999999999</v>
      </c>
      <c r="N28" s="840">
        <f t="shared" si="1"/>
        <v>4.0000000000262048E-5</v>
      </c>
    </row>
    <row r="29" spans="1:14" ht="13.8" thickBot="1">
      <c r="A29" s="178" t="str">
        <f>[2]Liste!B29</f>
        <v>ALİAĞA</v>
      </c>
      <c r="B29" s="178" t="str">
        <f>[2]Liste!C29</f>
        <v>TÜPRAŞ</v>
      </c>
      <c r="C29" s="178" t="str">
        <f>[2]Liste!D29</f>
        <v>K.Benzin 95 prem</v>
      </c>
      <c r="D29" s="179"/>
      <c r="E29" s="179"/>
      <c r="F29" s="179">
        <v>3.8161999999999998</v>
      </c>
      <c r="G29" s="179">
        <v>4.5030999999999999</v>
      </c>
      <c r="H29" s="179">
        <v>4.0910000000000002</v>
      </c>
      <c r="I29" s="179">
        <v>4.8273999999999999</v>
      </c>
      <c r="J29" s="180">
        <v>6.7171840625763979E-2</v>
      </c>
      <c r="K29" s="170">
        <f>H29-F29</f>
        <v>0.27480000000000038</v>
      </c>
      <c r="L29" s="171">
        <f t="shared" si="0"/>
        <v>0.13740000000000019</v>
      </c>
      <c r="M29" s="135">
        <f t="shared" si="2"/>
        <v>4.5031159999999995</v>
      </c>
      <c r="N29" s="840">
        <f t="shared" si="1"/>
        <v>1.5999999999571912E-5</v>
      </c>
    </row>
    <row r="30" spans="1:14" ht="13.8" thickBot="1">
      <c r="A30" s="178" t="str">
        <f>[2]Liste!B30</f>
        <v>ALİAĞA</v>
      </c>
      <c r="B30" s="178" t="str">
        <f>[2]Liste!C30</f>
        <v>TÜPRAŞ</v>
      </c>
      <c r="C30" s="178" t="str">
        <f>[2]Liste!D30</f>
        <v xml:space="preserve">Motorin </v>
      </c>
      <c r="D30" s="179"/>
      <c r="E30" s="179"/>
      <c r="F30" s="179">
        <v>3.3723999999999998</v>
      </c>
      <c r="G30" s="179">
        <v>3.9794</v>
      </c>
      <c r="H30" s="179">
        <v>3.6459000000000001</v>
      </c>
      <c r="I30" s="179">
        <v>4.3022</v>
      </c>
      <c r="J30" s="180">
        <v>7.5015771140184984E-2</v>
      </c>
      <c r="K30" s="170">
        <f>H30-F30</f>
        <v>0.2735000000000003</v>
      </c>
      <c r="L30" s="171">
        <f t="shared" si="0"/>
        <v>0.13675000000000015</v>
      </c>
      <c r="M30" s="135">
        <f t="shared" si="2"/>
        <v>3.9794319999999996</v>
      </c>
      <c r="N30" s="840">
        <f t="shared" si="1"/>
        <v>3.1999999999587914E-5</v>
      </c>
    </row>
    <row r="31" spans="1:14" ht="13.8" thickBot="1">
      <c r="A31" s="178" t="str">
        <f>[2]Liste!B35</f>
        <v>ALİAĞA</v>
      </c>
      <c r="B31" s="178" t="str">
        <f>[2]Liste!C35</f>
        <v>TÜPRAŞ</v>
      </c>
      <c r="C31" s="178" t="str">
        <f>[2]Liste!D35</f>
        <v xml:space="preserve">UFO Motorin </v>
      </c>
      <c r="D31" s="179"/>
      <c r="E31" s="179"/>
      <c r="F31" s="179">
        <v>3.3748999999999998</v>
      </c>
      <c r="G31" s="179">
        <v>3.9824000000000002</v>
      </c>
      <c r="H31" s="179">
        <v>3.6939000000000002</v>
      </c>
      <c r="I31" s="179">
        <v>4.3587999999999996</v>
      </c>
      <c r="J31" s="180">
        <v>8.6358591190882406E-2</v>
      </c>
      <c r="K31" s="170">
        <f>H32-F32</f>
        <v>0.21079999999999988</v>
      </c>
      <c r="L31" s="171">
        <f t="shared" si="0"/>
        <v>0.10539999999999994</v>
      </c>
      <c r="M31" s="135">
        <f t="shared" si="2"/>
        <v>3.9823819999999994</v>
      </c>
      <c r="N31" s="840">
        <f t="shared" si="1"/>
        <v>-1.8000000000739647E-5</v>
      </c>
    </row>
    <row r="32" spans="1:14" ht="13.8" thickBot="1">
      <c r="A32" s="178" t="str">
        <f>[2]Liste!B31</f>
        <v>ALİAĞA</v>
      </c>
      <c r="B32" s="178" t="str">
        <f>[2]Liste!C31</f>
        <v>TÜPRAŞ</v>
      </c>
      <c r="C32" s="187" t="str">
        <f>[2]Liste!D31</f>
        <v xml:space="preserve">Gaz Yağı </v>
      </c>
      <c r="D32" s="188"/>
      <c r="E32" s="188"/>
      <c r="F32" s="188">
        <v>2.4207000000000001</v>
      </c>
      <c r="G32" s="188">
        <v>2.8563999999999998</v>
      </c>
      <c r="H32" s="188">
        <v>2.6315</v>
      </c>
      <c r="I32" s="188">
        <v>3.1052</v>
      </c>
      <c r="J32" s="189">
        <v>8.0106403192095721E-2</v>
      </c>
      <c r="K32" s="170">
        <f>H33-F33</f>
        <v>0.30810000000000004</v>
      </c>
      <c r="L32" s="171">
        <f t="shared" si="0"/>
        <v>0.15405000000000002</v>
      </c>
      <c r="M32" s="135">
        <f t="shared" si="2"/>
        <v>2.8564259999999999</v>
      </c>
      <c r="N32" s="840">
        <f t="shared" si="1"/>
        <v>2.6000000000081513E-5</v>
      </c>
    </row>
    <row r="33" spans="1:14" ht="13.8" thickBot="1">
      <c r="A33" s="178" t="str">
        <f>[2]Liste!B32</f>
        <v>ALİAĞA</v>
      </c>
      <c r="B33" s="178" t="str">
        <f>[2]Liste!C32</f>
        <v>TÜPRAŞ</v>
      </c>
      <c r="C33" s="178" t="str">
        <f>[2]Liste!D32</f>
        <v>F.Oil</v>
      </c>
      <c r="D33" s="179"/>
      <c r="E33" s="179"/>
      <c r="F33" s="179">
        <v>1.5951</v>
      </c>
      <c r="G33" s="179">
        <v>1.8822000000000001</v>
      </c>
      <c r="H33" s="179">
        <v>1.9032</v>
      </c>
      <c r="I33" s="179">
        <v>2.2458</v>
      </c>
      <c r="J33" s="180">
        <v>0.16188524590163933</v>
      </c>
      <c r="K33" s="170">
        <f>H34-F34</f>
        <v>0.32840000000000003</v>
      </c>
      <c r="L33" s="171">
        <f t="shared" si="0"/>
        <v>0.16420000000000001</v>
      </c>
      <c r="M33" s="135">
        <f t="shared" si="2"/>
        <v>1.8822179999999999</v>
      </c>
      <c r="N33" s="840">
        <f t="shared" si="1"/>
        <v>1.7999999999851468E-5</v>
      </c>
    </row>
    <row r="34" spans="1:14" ht="13.8" thickBot="1">
      <c r="A34" s="178" t="str">
        <f>[2]Liste!B33</f>
        <v>ALİAĞA</v>
      </c>
      <c r="B34" s="178" t="str">
        <f>[2]Liste!C33</f>
        <v>TÜPRAŞ</v>
      </c>
      <c r="C34" s="178" t="str">
        <f>[2]Liste!D33</f>
        <v xml:space="preserve">Kalorifer Yakıtı </v>
      </c>
      <c r="D34" s="179"/>
      <c r="E34" s="179"/>
      <c r="F34" s="179">
        <v>1.8526</v>
      </c>
      <c r="G34" s="179">
        <v>2.1861000000000002</v>
      </c>
      <c r="H34" s="179">
        <v>2.181</v>
      </c>
      <c r="I34" s="179">
        <v>2.5735999999999999</v>
      </c>
      <c r="J34" s="180">
        <v>0.15057313159101327</v>
      </c>
      <c r="K34" s="170" t="e">
        <f>#REF!-#REF!</f>
        <v>#REF!</v>
      </c>
      <c r="L34" s="171" t="e">
        <f t="shared" si="0"/>
        <v>#REF!</v>
      </c>
      <c r="M34" s="135">
        <f t="shared" si="2"/>
        <v>2.1860680000000001</v>
      </c>
      <c r="N34" s="840">
        <f t="shared" si="1"/>
        <v>-3.2000000000032003E-5</v>
      </c>
    </row>
    <row r="35" spans="1:14" s="186" customFormat="1" ht="13.8" thickBot="1">
      <c r="A35" s="190" t="s">
        <v>163</v>
      </c>
      <c r="B35" s="190" t="s">
        <v>164</v>
      </c>
      <c r="C35" s="190" t="str">
        <f>[2]Liste!D34</f>
        <v>Motorin</v>
      </c>
      <c r="D35" s="191"/>
      <c r="E35" s="191"/>
      <c r="F35" s="191">
        <v>3.3809</v>
      </c>
      <c r="G35" s="191">
        <v>3.9895</v>
      </c>
      <c r="H35" s="191">
        <v>3.6459000000000001</v>
      </c>
      <c r="I35" s="191">
        <v>4.3022</v>
      </c>
      <c r="J35" s="192">
        <v>7.2684385199813573E-2</v>
      </c>
      <c r="K35" s="193" t="e">
        <f>#REF!-#REF!</f>
        <v>#REF!</v>
      </c>
      <c r="L35" s="194" t="e">
        <f t="shared" si="0"/>
        <v>#REF!</v>
      </c>
      <c r="M35" s="135">
        <f t="shared" si="2"/>
        <v>3.9894619999999996</v>
      </c>
      <c r="N35" s="840">
        <f t="shared" si="1"/>
        <v>-3.8000000000426581E-5</v>
      </c>
    </row>
    <row r="36" spans="1:14" ht="13.8" thickBot="1">
      <c r="A36" s="160" t="str">
        <f>[2]Liste!B36</f>
        <v>KIRIKKALE</v>
      </c>
      <c r="B36" s="160" t="str">
        <f>[2]Liste!C36</f>
        <v>TÜPRAŞ</v>
      </c>
      <c r="C36" s="160" t="str">
        <f>[2]Liste!D36</f>
        <v xml:space="preserve">K.Benzin 95 </v>
      </c>
      <c r="D36" s="162"/>
      <c r="E36" s="162"/>
      <c r="F36" s="162">
        <v>3.7578</v>
      </c>
      <c r="G36" s="162">
        <v>4.4341999999999997</v>
      </c>
      <c r="H36" s="162">
        <v>4.0179999999999998</v>
      </c>
      <c r="I36" s="162">
        <v>4.7412000000000001</v>
      </c>
      <c r="J36" s="167">
        <v>6.4758586361373771E-2</v>
      </c>
      <c r="K36" s="170">
        <f>H36-F36</f>
        <v>0.26019999999999976</v>
      </c>
      <c r="L36" s="171">
        <f t="shared" si="0"/>
        <v>0.13009999999999988</v>
      </c>
      <c r="M36" s="135">
        <f t="shared" si="2"/>
        <v>4.4342039999999994</v>
      </c>
      <c r="N36" s="840">
        <f t="shared" si="1"/>
        <v>3.9999999996709334E-6</v>
      </c>
    </row>
    <row r="37" spans="1:14" ht="13.8" thickBot="1">
      <c r="A37" s="160" t="str">
        <f>[2]Liste!B37</f>
        <v>KIRIKKALE</v>
      </c>
      <c r="B37" s="160" t="str">
        <f>[2]Liste!C37</f>
        <v>TÜPRAŞ</v>
      </c>
      <c r="C37" s="160" t="str">
        <f>[2]Liste!D37</f>
        <v>K.Benzin 95 prem</v>
      </c>
      <c r="D37" s="162"/>
      <c r="E37" s="162"/>
      <c r="F37" s="162">
        <v>3.8210999999999999</v>
      </c>
      <c r="G37" s="162">
        <v>4.5088999999999997</v>
      </c>
      <c r="H37" s="162">
        <v>4.1100000000000003</v>
      </c>
      <c r="I37" s="162">
        <v>4.8498000000000001</v>
      </c>
      <c r="J37" s="167">
        <v>7.0291970802919823E-2</v>
      </c>
      <c r="K37" s="170">
        <f>H37-F37</f>
        <v>0.28890000000000038</v>
      </c>
      <c r="L37" s="171">
        <f t="shared" si="0"/>
        <v>0.14445000000000019</v>
      </c>
      <c r="M37" s="135">
        <f t="shared" si="2"/>
        <v>4.5088979999999994</v>
      </c>
      <c r="N37" s="840">
        <f t="shared" si="1"/>
        <v>-2.0000000002795559E-6</v>
      </c>
    </row>
    <row r="38" spans="1:14" ht="13.8" thickBot="1">
      <c r="A38" s="160" t="str">
        <f>[2]Liste!B38</f>
        <v>KIRIKKALE</v>
      </c>
      <c r="B38" s="160" t="str">
        <f>[2]Liste!C38</f>
        <v>TÜPRAŞ</v>
      </c>
      <c r="C38" s="160" t="str">
        <f>[2]Liste!D38</f>
        <v xml:space="preserve">Motorin </v>
      </c>
      <c r="D38" s="162"/>
      <c r="E38" s="162"/>
      <c r="F38" s="162">
        <v>3.4224000000000001</v>
      </c>
      <c r="G38" s="162">
        <v>4.0384000000000002</v>
      </c>
      <c r="H38" s="162">
        <v>3.677</v>
      </c>
      <c r="I38" s="162">
        <v>4.3388999999999998</v>
      </c>
      <c r="J38" s="167">
        <v>6.9241229262986148E-2</v>
      </c>
      <c r="K38" s="176">
        <f>H38-F38</f>
        <v>0.25459999999999994</v>
      </c>
      <c r="L38" s="177">
        <f t="shared" si="0"/>
        <v>0.12729999999999997</v>
      </c>
      <c r="M38" s="135">
        <f t="shared" si="2"/>
        <v>4.0384320000000002</v>
      </c>
      <c r="N38" s="840">
        <f t="shared" si="1"/>
        <v>3.2000000000032003E-5</v>
      </c>
    </row>
    <row r="39" spans="1:14" ht="13.8" thickBot="1">
      <c r="A39" s="160" t="str">
        <f>[2]Liste!B41</f>
        <v>KIRIKKALE</v>
      </c>
      <c r="B39" s="160" t="str">
        <f>[2]Liste!C41</f>
        <v>TÜPRAŞ</v>
      </c>
      <c r="C39" s="160" t="str">
        <f>[2]Liste!D41</f>
        <v xml:space="preserve">UFO Motorin </v>
      </c>
      <c r="D39" s="162"/>
      <c r="E39" s="162"/>
      <c r="F39" s="162">
        <v>3.4249000000000001</v>
      </c>
      <c r="G39" s="162">
        <v>4.0414000000000003</v>
      </c>
      <c r="H39" s="162">
        <v>3.7240000000000002</v>
      </c>
      <c r="I39" s="162">
        <v>4.3943000000000003</v>
      </c>
      <c r="J39" s="167">
        <v>8.031686358754031E-2</v>
      </c>
      <c r="K39" s="170">
        <f>H40-F40</f>
        <v>0.21950000000000003</v>
      </c>
      <c r="L39" s="171">
        <f t="shared" si="0"/>
        <v>0.10975000000000001</v>
      </c>
      <c r="M39" s="135">
        <f t="shared" si="2"/>
        <v>4.0413819999999996</v>
      </c>
      <c r="N39" s="840">
        <f t="shared" si="1"/>
        <v>-1.8000000000739647E-5</v>
      </c>
    </row>
    <row r="40" spans="1:14" ht="13.8" thickBot="1">
      <c r="A40" s="160" t="str">
        <f>[2]Liste!B39</f>
        <v>KIRIKKALE</v>
      </c>
      <c r="B40" s="160" t="str">
        <f>[2]Liste!C39</f>
        <v>TÜPRAŞ</v>
      </c>
      <c r="C40" s="160" t="str">
        <f>[2]Liste!D39</f>
        <v xml:space="preserve">Gaz Yağı </v>
      </c>
      <c r="D40" s="162"/>
      <c r="E40" s="162"/>
      <c r="F40" s="162">
        <v>2.7639999999999998</v>
      </c>
      <c r="G40" s="162">
        <v>3.2614999999999998</v>
      </c>
      <c r="H40" s="162">
        <v>2.9834999999999998</v>
      </c>
      <c r="I40" s="162">
        <v>3.5205000000000002</v>
      </c>
      <c r="J40" s="167">
        <v>7.357130886542651E-2</v>
      </c>
      <c r="K40" s="170" t="e">
        <f>#REF!-#REF!</f>
        <v>#REF!</v>
      </c>
      <c r="L40" s="171" t="e">
        <f t="shared" si="0"/>
        <v>#REF!</v>
      </c>
      <c r="M40" s="135">
        <f t="shared" si="2"/>
        <v>3.2615199999999995</v>
      </c>
      <c r="N40" s="840">
        <f t="shared" si="1"/>
        <v>1.9999999999686935E-5</v>
      </c>
    </row>
    <row r="41" spans="1:14" ht="13.8" thickBot="1">
      <c r="A41" s="160" t="str">
        <f>[2]Liste!B40</f>
        <v>KIRIKKALE</v>
      </c>
      <c r="B41" s="160" t="str">
        <f>[2]Liste!C40</f>
        <v>TÜPRAŞ</v>
      </c>
      <c r="C41" s="160" t="str">
        <f>[2]Liste!D40</f>
        <v>Yüksek Kükürtlü F.Oil</v>
      </c>
      <c r="D41" s="162"/>
      <c r="E41" s="162"/>
      <c r="F41" s="162">
        <v>1.5488999999999999</v>
      </c>
      <c r="G41" s="162">
        <v>1.8277000000000001</v>
      </c>
      <c r="H41" s="162">
        <v>1.8645</v>
      </c>
      <c r="I41" s="162">
        <v>2.2000999999999999</v>
      </c>
      <c r="J41" s="167">
        <v>0.16926790024135163</v>
      </c>
      <c r="K41" s="168" t="s">
        <v>165</v>
      </c>
      <c r="L41" s="169" t="s">
        <v>165</v>
      </c>
      <c r="M41" s="135">
        <f t="shared" si="2"/>
        <v>1.8277019999999999</v>
      </c>
      <c r="N41" s="840">
        <f t="shared" si="1"/>
        <v>1.9999999998354667E-6</v>
      </c>
    </row>
    <row r="42" spans="1:14" ht="13.8" thickBot="1">
      <c r="A42" s="195" t="str">
        <f>[2]Liste!B42</f>
        <v>SAMSUN</v>
      </c>
      <c r="B42" s="195" t="str">
        <f>[2]Liste!C42</f>
        <v>SHELL</v>
      </c>
      <c r="C42" s="195" t="str">
        <f>[2]Liste!D42</f>
        <v xml:space="preserve">K.Benzin 95 </v>
      </c>
      <c r="D42" s="196"/>
      <c r="E42" s="196"/>
      <c r="F42" s="196">
        <v>3.7915999999999999</v>
      </c>
      <c r="G42" s="196">
        <v>4.4741</v>
      </c>
      <c r="H42" s="196">
        <v>4.0369999999999999</v>
      </c>
      <c r="I42" s="196">
        <v>4.7637</v>
      </c>
      <c r="J42" s="197">
        <v>6.0787713648749131E-2</v>
      </c>
      <c r="K42" s="168">
        <f t="shared" ref="K42:K52" si="4">H42-F42</f>
        <v>0.24540000000000006</v>
      </c>
      <c r="L42" s="169">
        <f t="shared" ref="L42:L52" si="5">K42/$I$4</f>
        <v>0.12270000000000003</v>
      </c>
      <c r="M42" s="135">
        <f t="shared" si="2"/>
        <v>4.4740879999999992</v>
      </c>
      <c r="N42" s="840">
        <f t="shared" si="1"/>
        <v>-1.2000000000789157E-5</v>
      </c>
    </row>
    <row r="43" spans="1:14" ht="13.8" thickBot="1">
      <c r="A43" s="195" t="str">
        <f>[2]Liste!B43</f>
        <v>SAMSUN</v>
      </c>
      <c r="B43" s="195" t="str">
        <f>[2]Liste!C43</f>
        <v>SHELL</v>
      </c>
      <c r="C43" s="195" t="str">
        <f>[2]Liste!D43</f>
        <v xml:space="preserve">Motorin </v>
      </c>
      <c r="D43" s="196"/>
      <c r="E43" s="196"/>
      <c r="F43" s="196">
        <v>3.4483999999999999</v>
      </c>
      <c r="G43" s="196">
        <v>4.0690999999999997</v>
      </c>
      <c r="H43" s="196">
        <v>3.6804999999999999</v>
      </c>
      <c r="I43" s="196">
        <v>4.343</v>
      </c>
      <c r="J43" s="197">
        <v>6.3062083955984227E-2</v>
      </c>
      <c r="K43" s="176">
        <f t="shared" si="4"/>
        <v>0.23209999999999997</v>
      </c>
      <c r="L43" s="177">
        <f t="shared" si="5"/>
        <v>0.11604999999999999</v>
      </c>
      <c r="M43" s="135">
        <f t="shared" si="2"/>
        <v>4.0691119999999996</v>
      </c>
      <c r="N43" s="840">
        <f t="shared" si="1"/>
        <v>1.1999999999900979E-5</v>
      </c>
    </row>
    <row r="44" spans="1:14" ht="13.8" thickBot="1">
      <c r="A44" s="195" t="str">
        <f>[2]Liste!B44</f>
        <v>SAMSUN</v>
      </c>
      <c r="B44" s="195" t="str">
        <f>[2]Liste!C44</f>
        <v>LUKOIL</v>
      </c>
      <c r="C44" s="195" t="str">
        <f>[2]Liste!D44</f>
        <v xml:space="preserve">K.Benzin 95 </v>
      </c>
      <c r="D44" s="196"/>
      <c r="E44" s="196"/>
      <c r="F44" s="196">
        <v>3.7656000000000001</v>
      </c>
      <c r="G44" s="196">
        <v>4.4433999999999996</v>
      </c>
      <c r="H44" s="196">
        <v>4.0369999999999999</v>
      </c>
      <c r="I44" s="196">
        <v>4.7637</v>
      </c>
      <c r="J44" s="197">
        <v>6.7228139707703694E-2</v>
      </c>
      <c r="K44" s="168">
        <f t="shared" si="4"/>
        <v>0.27139999999999986</v>
      </c>
      <c r="L44" s="169">
        <f t="shared" si="5"/>
        <v>0.13569999999999993</v>
      </c>
      <c r="M44" s="135">
        <f t="shared" si="2"/>
        <v>4.4434079999999998</v>
      </c>
      <c r="N44" s="840">
        <f t="shared" si="1"/>
        <v>8.0000000002300453E-6</v>
      </c>
    </row>
    <row r="45" spans="1:14" ht="13.8" thickBot="1">
      <c r="A45" s="195" t="str">
        <f>[2]Liste!B45</f>
        <v>SAMSUN</v>
      </c>
      <c r="B45" s="195" t="str">
        <f>[2]Liste!C45</f>
        <v>LUKOIL</v>
      </c>
      <c r="C45" s="195" t="str">
        <f>[2]Liste!D45</f>
        <v xml:space="preserve">Motorin </v>
      </c>
      <c r="D45" s="196"/>
      <c r="E45" s="196"/>
      <c r="F45" s="196">
        <v>3.4123999999999999</v>
      </c>
      <c r="G45" s="196">
        <v>4.0266000000000002</v>
      </c>
      <c r="H45" s="196">
        <v>3.6804999999999999</v>
      </c>
      <c r="I45" s="196">
        <v>4.343</v>
      </c>
      <c r="J45" s="197">
        <v>7.284336367341393E-2</v>
      </c>
      <c r="K45" s="172">
        <f t="shared" si="4"/>
        <v>0.2681</v>
      </c>
      <c r="L45" s="173">
        <f t="shared" si="5"/>
        <v>0.13405</v>
      </c>
      <c r="M45" s="135">
        <f t="shared" si="2"/>
        <v>4.0266319999999993</v>
      </c>
      <c r="N45" s="840">
        <f t="shared" si="1"/>
        <v>3.1999999999143824E-5</v>
      </c>
    </row>
    <row r="46" spans="1:14" ht="13.8" thickBot="1">
      <c r="A46" s="195" t="str">
        <f>[2]Liste!B46</f>
        <v>SAMSUN</v>
      </c>
      <c r="B46" s="195" t="str">
        <f>[2]Liste!C46</f>
        <v>LUKOIL</v>
      </c>
      <c r="C46" s="195" t="str">
        <f>[2]Liste!D46</f>
        <v xml:space="preserve">UFO Motorin </v>
      </c>
      <c r="D46" s="196"/>
      <c r="E46" s="196"/>
      <c r="F46" s="196">
        <v>3.4148999999999998</v>
      </c>
      <c r="G46" s="196">
        <v>4.0296000000000003</v>
      </c>
      <c r="H46" s="196">
        <v>3.7280000000000002</v>
      </c>
      <c r="I46" s="196">
        <v>4.399</v>
      </c>
      <c r="J46" s="197">
        <v>8.3986051502145997E-2</v>
      </c>
      <c r="K46" s="168">
        <f t="shared" si="4"/>
        <v>0.31310000000000038</v>
      </c>
      <c r="L46" s="169">
        <f t="shared" si="5"/>
        <v>0.15655000000000019</v>
      </c>
      <c r="M46" s="135">
        <f t="shared" si="2"/>
        <v>4.0295819999999996</v>
      </c>
      <c r="N46" s="840">
        <f t="shared" si="1"/>
        <v>-1.8000000000739647E-5</v>
      </c>
    </row>
    <row r="47" spans="1:14" ht="13.8" thickBot="1">
      <c r="A47" s="160" t="str">
        <f>[2]Liste!B47</f>
        <v>M.EREĞLİSİ</v>
      </c>
      <c r="B47" s="160" t="str">
        <f>[2]Liste!C47</f>
        <v>OPET</v>
      </c>
      <c r="C47" s="160" t="str">
        <f>[2]Liste!D47</f>
        <v xml:space="preserve">K.Benzin 95 </v>
      </c>
      <c r="D47" s="162"/>
      <c r="E47" s="162"/>
      <c r="F47" s="162">
        <v>3.7625999999999999</v>
      </c>
      <c r="G47" s="162">
        <v>4.4398999999999997</v>
      </c>
      <c r="H47" s="162">
        <v>4.0199999999999996</v>
      </c>
      <c r="I47" s="162">
        <v>4.7435999999999998</v>
      </c>
      <c r="J47" s="198">
        <v>6.4029850746268546E-2</v>
      </c>
      <c r="K47" s="172">
        <f t="shared" si="4"/>
        <v>0.25739999999999963</v>
      </c>
      <c r="L47" s="173">
        <f t="shared" si="5"/>
        <v>0.12869999999999981</v>
      </c>
      <c r="M47" s="135">
        <f t="shared" si="2"/>
        <v>4.4398679999999997</v>
      </c>
      <c r="N47" s="840">
        <f t="shared" si="1"/>
        <v>-3.2000000000032003E-5</v>
      </c>
    </row>
    <row r="48" spans="1:14" ht="13.8" thickBot="1">
      <c r="A48" s="160" t="str">
        <f>[2]Liste!B48</f>
        <v>M.EREĞLİSİ</v>
      </c>
      <c r="B48" s="160" t="str">
        <f>[2]Liste!C48</f>
        <v>OPET</v>
      </c>
      <c r="C48" s="160" t="str">
        <f>[2]Liste!D48</f>
        <v xml:space="preserve">Motorin </v>
      </c>
      <c r="D48" s="162"/>
      <c r="E48" s="162"/>
      <c r="F48" s="162">
        <v>3.4024000000000001</v>
      </c>
      <c r="G48" s="162">
        <v>4.0148000000000001</v>
      </c>
      <c r="H48" s="162">
        <v>3.6659999999999999</v>
      </c>
      <c r="I48" s="162">
        <v>4.3258999999999999</v>
      </c>
      <c r="J48" s="198">
        <v>7.1903982542280365E-2</v>
      </c>
      <c r="K48" s="168">
        <f t="shared" si="4"/>
        <v>0.26359999999999983</v>
      </c>
      <c r="L48" s="169">
        <f t="shared" si="5"/>
        <v>0.13179999999999992</v>
      </c>
      <c r="M48" s="135">
        <f t="shared" si="2"/>
        <v>4.0148320000000002</v>
      </c>
      <c r="N48" s="840">
        <f t="shared" si="1"/>
        <v>3.2000000000032003E-5</v>
      </c>
    </row>
    <row r="49" spans="1:14" ht="13.8" thickBot="1">
      <c r="A49" s="160" t="str">
        <f>[2]Liste!B49</f>
        <v>M.EREĞLİSİ</v>
      </c>
      <c r="B49" s="160" t="str">
        <f>[2]Liste!C49</f>
        <v>OPET</v>
      </c>
      <c r="C49" s="160" t="str">
        <f>[2]Liste!D49</f>
        <v xml:space="preserve">UFO Motorin </v>
      </c>
      <c r="D49" s="162"/>
      <c r="E49" s="162"/>
      <c r="F49" s="162">
        <v>3.4049</v>
      </c>
      <c r="G49" s="162">
        <v>4.0178000000000003</v>
      </c>
      <c r="H49" s="162">
        <v>3.7132000000000001</v>
      </c>
      <c r="I49" s="162">
        <v>4.3815999999999997</v>
      </c>
      <c r="J49" s="198">
        <v>8.3028115910804723E-2</v>
      </c>
      <c r="K49" s="172">
        <f t="shared" si="4"/>
        <v>0.30830000000000002</v>
      </c>
      <c r="L49" s="173">
        <f t="shared" si="5"/>
        <v>0.15415000000000001</v>
      </c>
      <c r="M49" s="135">
        <f t="shared" si="2"/>
        <v>4.0177819999999995</v>
      </c>
      <c r="N49" s="840">
        <f t="shared" si="1"/>
        <v>-1.8000000000739647E-5</v>
      </c>
    </row>
    <row r="50" spans="1:14" ht="13.8" thickBot="1">
      <c r="A50" s="195" t="str">
        <f>[2]Liste!B50</f>
        <v>GİRESUN</v>
      </c>
      <c r="B50" s="195" t="str">
        <f>[2]Liste!C50</f>
        <v>OPET</v>
      </c>
      <c r="C50" s="195" t="str">
        <f>[2]Liste!D50</f>
        <v xml:space="preserve">K.Benzin 95 </v>
      </c>
      <c r="D50" s="196"/>
      <c r="E50" s="196"/>
      <c r="F50" s="196">
        <v>3.7706</v>
      </c>
      <c r="G50" s="196">
        <v>4.4493</v>
      </c>
      <c r="H50" s="196">
        <v>4.0369999999999999</v>
      </c>
      <c r="I50" s="196">
        <v>4.7637</v>
      </c>
      <c r="J50" s="197">
        <v>6.5989596234827808E-2</v>
      </c>
      <c r="K50" s="168">
        <f t="shared" si="4"/>
        <v>0.26639999999999997</v>
      </c>
      <c r="L50" s="169">
        <f t="shared" si="5"/>
        <v>0.13319999999999999</v>
      </c>
      <c r="M50" s="135">
        <f t="shared" si="2"/>
        <v>4.4493079999999994</v>
      </c>
      <c r="N50" s="840">
        <f t="shared" si="1"/>
        <v>7.9999999993418669E-6</v>
      </c>
    </row>
    <row r="51" spans="1:14" ht="13.8" thickBot="1">
      <c r="A51" s="195" t="str">
        <f>[2]Liste!B51</f>
        <v>GİRESUN</v>
      </c>
      <c r="B51" s="195" t="str">
        <f>[2]Liste!C51</f>
        <v>OPET</v>
      </c>
      <c r="C51" s="195" t="str">
        <f>[2]Liste!D51</f>
        <v xml:space="preserve">Motorin </v>
      </c>
      <c r="D51" s="196"/>
      <c r="E51" s="196"/>
      <c r="F51" s="196">
        <v>3.4074</v>
      </c>
      <c r="G51" s="196">
        <v>4.0206999999999997</v>
      </c>
      <c r="H51" s="196">
        <v>3.6804999999999999</v>
      </c>
      <c r="I51" s="196">
        <v>4.343</v>
      </c>
      <c r="J51" s="197">
        <v>7.4201874745279173E-2</v>
      </c>
      <c r="K51" s="199"/>
      <c r="L51" s="200"/>
      <c r="M51" s="135">
        <f t="shared" si="2"/>
        <v>4.0207319999999998</v>
      </c>
      <c r="N51" s="840">
        <f t="shared" si="1"/>
        <v>3.2000000000032003E-5</v>
      </c>
    </row>
    <row r="52" spans="1:14" ht="13.8" thickBot="1">
      <c r="A52" s="195" t="str">
        <f>[2]Liste!B52</f>
        <v>GİRESUN</v>
      </c>
      <c r="B52" s="195" t="str">
        <f>[2]Liste!C52</f>
        <v>OPET</v>
      </c>
      <c r="C52" s="195" t="str">
        <f>[2]Liste!D52</f>
        <v xml:space="preserve">UFO Motorin </v>
      </c>
      <c r="D52" s="196"/>
      <c r="E52" s="196"/>
      <c r="F52" s="196">
        <v>3.4098999999999999</v>
      </c>
      <c r="G52" s="196">
        <v>4.0236999999999998</v>
      </c>
      <c r="H52" s="196">
        <v>3.7280000000000002</v>
      </c>
      <c r="I52" s="196">
        <v>4.399</v>
      </c>
      <c r="J52" s="197">
        <v>8.5327253218884236E-2</v>
      </c>
      <c r="K52" s="172">
        <f t="shared" si="4"/>
        <v>0.31810000000000027</v>
      </c>
      <c r="L52" s="173">
        <f t="shared" si="5"/>
        <v>0.15905000000000014</v>
      </c>
      <c r="M52" s="135">
        <f t="shared" si="2"/>
        <v>4.023682</v>
      </c>
      <c r="N52" s="840">
        <f t="shared" si="1"/>
        <v>-1.7999999999851468E-5</v>
      </c>
    </row>
    <row r="53" spans="1:14" ht="13.8" thickBot="1">
      <c r="A53" s="160" t="str">
        <f>[2]Liste!B53</f>
        <v>ANTALYA</v>
      </c>
      <c r="B53" s="160" t="str">
        <f>[2]Liste!C53</f>
        <v>SHELL/Lukoil</v>
      </c>
      <c r="C53" s="160" t="str">
        <f>[2]Liste!D53</f>
        <v xml:space="preserve">K.Benzin 95 </v>
      </c>
      <c r="D53" s="162"/>
      <c r="E53" s="162"/>
      <c r="F53" s="162">
        <v>3.7726000000000002</v>
      </c>
      <c r="G53" s="162">
        <v>4.4516999999999998</v>
      </c>
      <c r="H53" s="162">
        <v>4.03</v>
      </c>
      <c r="I53" s="162">
        <v>4.7553999999999998</v>
      </c>
      <c r="J53" s="167">
        <v>6.3870967741935458E-2</v>
      </c>
      <c r="K53" s="201"/>
      <c r="L53" s="201"/>
      <c r="M53" s="135">
        <f t="shared" si="2"/>
        <v>4.4516679999999997</v>
      </c>
      <c r="N53" s="840">
        <f t="shared" si="1"/>
        <v>-3.2000000000032003E-5</v>
      </c>
    </row>
    <row r="54" spans="1:14" ht="13.8" thickBot="1">
      <c r="A54" s="160" t="str">
        <f>[2]Liste!B54</f>
        <v>ANTALYA</v>
      </c>
      <c r="B54" s="160" t="str">
        <f>[2]Liste!C54</f>
        <v>SHELL/Lukoil</v>
      </c>
      <c r="C54" s="160" t="str">
        <f>[2]Liste!D54</f>
        <v>K.Benzin 95 prem</v>
      </c>
      <c r="D54" s="162"/>
      <c r="E54" s="162"/>
      <c r="F54" s="162">
        <v>3.8281000000000001</v>
      </c>
      <c r="G54" s="162">
        <v>4.5171999999999999</v>
      </c>
      <c r="H54" s="162">
        <v>4.0869999999999997</v>
      </c>
      <c r="I54" s="162">
        <v>4.8227000000000002</v>
      </c>
      <c r="J54" s="167">
        <v>6.3347198434059115E-2</v>
      </c>
      <c r="K54" s="201"/>
      <c r="L54" s="201"/>
      <c r="M54" s="135">
        <f t="shared" si="2"/>
        <v>4.5171580000000002</v>
      </c>
      <c r="N54" s="840">
        <f t="shared" si="1"/>
        <v>-4.1999999999653426E-5</v>
      </c>
    </row>
    <row r="55" spans="1:14" ht="13.8" thickBot="1">
      <c r="A55" s="160" t="str">
        <f>[2]Liste!B55</f>
        <v>ANTALYA</v>
      </c>
      <c r="B55" s="160" t="str">
        <f>[2]Liste!C55</f>
        <v>SHELL/Lukoil</v>
      </c>
      <c r="C55" s="160" t="str">
        <f>[2]Liste!D55</f>
        <v xml:space="preserve">Motorin </v>
      </c>
      <c r="D55" s="162"/>
      <c r="E55" s="162"/>
      <c r="F55" s="162">
        <v>3.4194</v>
      </c>
      <c r="G55" s="162">
        <v>4.0349000000000004</v>
      </c>
      <c r="H55" s="162">
        <v>3.6604000000000001</v>
      </c>
      <c r="I55" s="162">
        <v>4.3193000000000001</v>
      </c>
      <c r="J55" s="167">
        <v>6.5839798929078763E-2</v>
      </c>
      <c r="K55" s="201"/>
      <c r="L55" s="201"/>
      <c r="M55" s="135">
        <f t="shared" si="2"/>
        <v>4.0348920000000001</v>
      </c>
      <c r="N55" s="840">
        <f t="shared" si="1"/>
        <v>-8.0000000002300453E-6</v>
      </c>
    </row>
    <row r="56" spans="1:14" ht="13.8" thickBot="1">
      <c r="A56" s="160" t="str">
        <f>[2]Liste!B56</f>
        <v>ANTALYA</v>
      </c>
      <c r="B56" s="160" t="str">
        <f>[2]Liste!C56</f>
        <v>SHELL/Lukoil</v>
      </c>
      <c r="C56" s="160" t="str">
        <f>[2]Liste!D56</f>
        <v xml:space="preserve">UFO Motorin </v>
      </c>
      <c r="D56" s="162"/>
      <c r="E56" s="162"/>
      <c r="F56" s="162">
        <v>3.4218999999999999</v>
      </c>
      <c r="G56" s="162">
        <v>4.0377999999999998</v>
      </c>
      <c r="H56" s="162">
        <v>3.7054</v>
      </c>
      <c r="I56" s="162">
        <v>4.3723999999999998</v>
      </c>
      <c r="J56" s="167">
        <v>7.6509958439034964E-2</v>
      </c>
      <c r="K56" s="201"/>
      <c r="L56" s="201"/>
      <c r="M56" s="135">
        <f t="shared" si="2"/>
        <v>4.0378419999999995</v>
      </c>
      <c r="N56" s="840">
        <f t="shared" si="1"/>
        <v>4.1999999999653426E-5</v>
      </c>
    </row>
    <row r="57" spans="1:14" ht="13.8" thickBot="1"/>
    <row r="58" spans="1:14" ht="18.75" customHeight="1">
      <c r="A58" s="202" t="s">
        <v>166</v>
      </c>
      <c r="B58" s="203"/>
      <c r="C58" s="203"/>
      <c r="D58" s="203"/>
      <c r="E58" s="203"/>
      <c r="F58" s="203"/>
      <c r="G58" s="203"/>
      <c r="H58" s="203"/>
      <c r="I58" s="203"/>
      <c r="J58" s="204"/>
    </row>
    <row r="59" spans="1:14">
      <c r="A59" s="205"/>
      <c r="B59" s="206"/>
      <c r="C59" s="206"/>
      <c r="D59" s="206"/>
      <c r="E59" s="206"/>
      <c r="F59" s="206"/>
      <c r="G59" s="206"/>
      <c r="H59" s="206"/>
      <c r="I59" s="206"/>
      <c r="J59" s="207"/>
    </row>
    <row r="60" spans="1:14">
      <c r="A60" s="205"/>
      <c r="B60" s="206"/>
      <c r="C60" s="206"/>
      <c r="D60" s="206"/>
      <c r="E60" s="206"/>
      <c r="F60" s="206"/>
      <c r="G60" s="206"/>
      <c r="H60" s="206"/>
      <c r="I60" s="206"/>
      <c r="J60" s="207"/>
    </row>
    <row r="61" spans="1:14">
      <c r="A61" s="205"/>
      <c r="B61" s="206"/>
      <c r="C61" s="206"/>
      <c r="D61" s="206"/>
      <c r="E61" s="206"/>
      <c r="F61" s="206"/>
      <c r="G61" s="206"/>
      <c r="H61" s="206"/>
      <c r="I61" s="206"/>
      <c r="J61" s="207"/>
    </row>
    <row r="62" spans="1:14" ht="13.8" thickBot="1">
      <c r="A62" s="208"/>
      <c r="B62" s="209"/>
      <c r="C62" s="209"/>
      <c r="D62" s="209"/>
      <c r="E62" s="209"/>
      <c r="F62" s="209"/>
      <c r="G62" s="209"/>
      <c r="H62" s="209"/>
      <c r="I62" s="209"/>
      <c r="J62" s="210"/>
    </row>
  </sheetData>
  <mergeCells count="1">
    <mergeCell ref="A6:J6"/>
  </mergeCells>
  <pageMargins left="0.54" right="0.17" top="0.5" bottom="0.16" header="0.5" footer="0.2"/>
  <pageSetup paperSize="9" scale="75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ommandButton1">
          <controlPr autoLine="0" r:id="rId5">
            <anchor moveWithCells="1">
              <from>
                <xdr:col>8</xdr:col>
                <xdr:colOff>266700</xdr:colOff>
                <xdr:row>60</xdr:row>
                <xdr:rowOff>0</xdr:rowOff>
              </from>
              <to>
                <xdr:col>9</xdr:col>
                <xdr:colOff>495300</xdr:colOff>
                <xdr:row>61</xdr:row>
                <xdr:rowOff>137160</xdr:rowOff>
              </to>
            </anchor>
          </controlPr>
        </control>
      </mc:Choice>
      <mc:Fallback>
        <control shapeId="71681" r:id="rId4" name="CommandButton1"/>
      </mc:Fallback>
    </mc:AlternateContent>
  </control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S383"/>
  <sheetViews>
    <sheetView zoomScale="85" zoomScaleNormal="85" workbookViewId="0">
      <selection activeCell="E8" sqref="E8"/>
    </sheetView>
  </sheetViews>
  <sheetFormatPr defaultColWidth="9.109375" defaultRowHeight="13.8"/>
  <cols>
    <col min="1" max="1" width="28.5546875" style="2" customWidth="1"/>
    <col min="2" max="2" width="11.33203125" style="2" customWidth="1"/>
    <col min="3" max="3" width="11.88671875" style="2" customWidth="1"/>
    <col min="4" max="4" width="9.6640625" style="2" customWidth="1"/>
    <col min="5" max="5" width="10.33203125" style="2" customWidth="1"/>
    <col min="6" max="6" width="10.44140625" style="2" customWidth="1"/>
    <col min="7" max="7" width="10.33203125" style="2" customWidth="1"/>
    <col min="8" max="8" width="10.44140625" style="2" customWidth="1"/>
    <col min="9" max="9" width="10" style="2" customWidth="1"/>
    <col min="10" max="13" width="9.6640625" style="2" customWidth="1"/>
    <col min="14" max="14" width="9.6640625" style="3" customWidth="1"/>
    <col min="15" max="15" width="9.6640625" style="4" customWidth="1"/>
    <col min="16" max="16" width="11.33203125" style="2" customWidth="1"/>
    <col min="17" max="16384" width="9.109375" style="2"/>
  </cols>
  <sheetData>
    <row r="1" spans="1:19" ht="14.4" thickBot="1"/>
    <row r="2" spans="1:19" ht="33" customHeight="1" thickBot="1">
      <c r="A2" s="5"/>
      <c r="B2" s="2372" t="s">
        <v>34</v>
      </c>
      <c r="C2" s="2373"/>
      <c r="D2" s="2313" t="s">
        <v>133</v>
      </c>
      <c r="E2" s="2314"/>
      <c r="F2" s="2314"/>
      <c r="G2" s="2314"/>
      <c r="H2" s="2314"/>
      <c r="I2" s="2314"/>
      <c r="J2" s="2314"/>
      <c r="K2" s="2314"/>
      <c r="L2" s="2314"/>
      <c r="M2" s="2314"/>
      <c r="N2" s="2314"/>
      <c r="O2" s="2314"/>
      <c r="P2" s="2315"/>
      <c r="Q2" s="6" t="s">
        <v>294</v>
      </c>
    </row>
    <row r="3" spans="1:19" ht="30.75" customHeight="1" thickBot="1">
      <c r="A3" s="7"/>
      <c r="B3" s="8" t="s">
        <v>87</v>
      </c>
      <c r="C3" s="8" t="s">
        <v>0</v>
      </c>
      <c r="D3" s="9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1" t="s">
        <v>13</v>
      </c>
      <c r="Q3" s="12" t="s">
        <v>14</v>
      </c>
    </row>
    <row r="4" spans="1:19" ht="22.5" customHeight="1" thickBot="1">
      <c r="A4" s="13" t="s">
        <v>28</v>
      </c>
      <c r="B4" s="14">
        <f>B7+B8+B13</f>
        <v>0</v>
      </c>
      <c r="C4" s="15">
        <f t="shared" ref="C4:P4" si="0">C7+C8+C13</f>
        <v>0</v>
      </c>
      <c r="D4" s="16">
        <f t="shared" si="0"/>
        <v>0</v>
      </c>
      <c r="E4" s="17">
        <f t="shared" si="0"/>
        <v>0</v>
      </c>
      <c r="F4" s="17">
        <f t="shared" si="0"/>
        <v>0</v>
      </c>
      <c r="G4" s="17">
        <f t="shared" si="0"/>
        <v>0</v>
      </c>
      <c r="H4" s="17">
        <f t="shared" si="0"/>
        <v>0</v>
      </c>
      <c r="I4" s="17">
        <f t="shared" si="0"/>
        <v>0</v>
      </c>
      <c r="J4" s="17">
        <f t="shared" si="0"/>
        <v>0</v>
      </c>
      <c r="K4" s="17">
        <f t="shared" si="0"/>
        <v>0</v>
      </c>
      <c r="L4" s="17">
        <f t="shared" si="0"/>
        <v>0</v>
      </c>
      <c r="M4" s="17">
        <f t="shared" si="0"/>
        <v>0</v>
      </c>
      <c r="N4" s="17">
        <f t="shared" si="0"/>
        <v>0</v>
      </c>
      <c r="O4" s="15">
        <f t="shared" si="0"/>
        <v>0</v>
      </c>
      <c r="P4" s="14">
        <f t="shared" si="0"/>
        <v>0</v>
      </c>
      <c r="Q4" s="18" t="str">
        <f t="shared" ref="Q4:Q19" si="1">IF(P4=0,"-",P4/C4-1)</f>
        <v>-</v>
      </c>
    </row>
    <row r="5" spans="1:19" ht="16.5" customHeight="1">
      <c r="A5" s="19" t="s">
        <v>15</v>
      </c>
      <c r="B5" s="20"/>
      <c r="C5" s="21"/>
      <c r="D5" s="22"/>
      <c r="E5" s="23"/>
      <c r="F5" s="23"/>
      <c r="G5" s="23"/>
      <c r="H5" s="24"/>
      <c r="I5" s="24"/>
      <c r="J5" s="24"/>
      <c r="K5" s="24"/>
      <c r="L5" s="24"/>
      <c r="M5" s="24"/>
      <c r="N5" s="24"/>
      <c r="O5" s="25"/>
      <c r="P5" s="20">
        <f t="shared" ref="P5:P12" si="2">SUM(D5:O5)</f>
        <v>0</v>
      </c>
      <c r="Q5" s="26" t="str">
        <f t="shared" si="1"/>
        <v>-</v>
      </c>
      <c r="R5" s="27"/>
      <c r="S5" s="27"/>
    </row>
    <row r="6" spans="1:19" ht="16.5" customHeight="1">
      <c r="A6" s="28" t="s">
        <v>16</v>
      </c>
      <c r="B6" s="29"/>
      <c r="C6" s="30"/>
      <c r="D6" s="31"/>
      <c r="E6" s="32"/>
      <c r="F6" s="32"/>
      <c r="G6" s="32"/>
      <c r="H6" s="33"/>
      <c r="I6" s="33"/>
      <c r="J6" s="33"/>
      <c r="K6" s="33"/>
      <c r="L6" s="33"/>
      <c r="M6" s="33"/>
      <c r="N6" s="33"/>
      <c r="O6" s="34"/>
      <c r="P6" s="29">
        <f t="shared" si="2"/>
        <v>0</v>
      </c>
      <c r="Q6" s="35" t="str">
        <f t="shared" si="1"/>
        <v>-</v>
      </c>
    </row>
    <row r="7" spans="1:19" ht="15" customHeight="1">
      <c r="A7" s="36" t="s">
        <v>27</v>
      </c>
      <c r="B7" s="37">
        <f>+B5+B6</f>
        <v>0</v>
      </c>
      <c r="C7" s="38">
        <f>+C6+C5</f>
        <v>0</v>
      </c>
      <c r="D7" s="39">
        <f>SUM(D5:D6)</f>
        <v>0</v>
      </c>
      <c r="E7" s="40">
        <f t="shared" ref="E7:O7" si="3">SUM(E5:E6)</f>
        <v>0</v>
      </c>
      <c r="F7" s="40">
        <f t="shared" si="3"/>
        <v>0</v>
      </c>
      <c r="G7" s="40">
        <f t="shared" si="3"/>
        <v>0</v>
      </c>
      <c r="H7" s="40">
        <f t="shared" si="3"/>
        <v>0</v>
      </c>
      <c r="I7" s="40">
        <f t="shared" si="3"/>
        <v>0</v>
      </c>
      <c r="J7" s="40">
        <f t="shared" si="3"/>
        <v>0</v>
      </c>
      <c r="K7" s="40">
        <f t="shared" si="3"/>
        <v>0</v>
      </c>
      <c r="L7" s="40">
        <f t="shared" si="3"/>
        <v>0</v>
      </c>
      <c r="M7" s="40">
        <f t="shared" si="3"/>
        <v>0</v>
      </c>
      <c r="N7" s="40">
        <f t="shared" si="3"/>
        <v>0</v>
      </c>
      <c r="O7" s="38">
        <f t="shared" si="3"/>
        <v>0</v>
      </c>
      <c r="P7" s="37">
        <f t="shared" si="2"/>
        <v>0</v>
      </c>
      <c r="Q7" s="41" t="str">
        <f t="shared" si="1"/>
        <v>-</v>
      </c>
    </row>
    <row r="8" spans="1:19" ht="16.5" customHeight="1">
      <c r="A8" s="42" t="s">
        <v>17</v>
      </c>
      <c r="B8" s="43"/>
      <c r="C8" s="44"/>
      <c r="D8" s="45"/>
      <c r="E8" s="46"/>
      <c r="F8" s="46"/>
      <c r="G8" s="46"/>
      <c r="H8" s="46"/>
      <c r="I8" s="46"/>
      <c r="J8" s="46"/>
      <c r="K8" s="46"/>
      <c r="L8" s="46"/>
      <c r="M8" s="46"/>
      <c r="N8" s="46"/>
      <c r="O8" s="47"/>
      <c r="P8" s="48">
        <f t="shared" si="2"/>
        <v>0</v>
      </c>
      <c r="Q8" s="35" t="str">
        <f t="shared" si="1"/>
        <v>-</v>
      </c>
    </row>
    <row r="9" spans="1:19" ht="16.5" customHeight="1">
      <c r="A9" s="49" t="s">
        <v>81</v>
      </c>
      <c r="B9" s="37"/>
      <c r="C9" s="119"/>
      <c r="D9" s="39"/>
      <c r="E9" s="40"/>
      <c r="F9" s="40"/>
      <c r="G9" s="40"/>
      <c r="H9" s="40"/>
      <c r="I9" s="40"/>
      <c r="J9" s="40"/>
      <c r="K9" s="40"/>
      <c r="L9" s="40"/>
      <c r="M9" s="40"/>
      <c r="N9" s="40"/>
      <c r="O9" s="38"/>
      <c r="P9" s="56">
        <f t="shared" si="2"/>
        <v>0</v>
      </c>
      <c r="Q9" s="57" t="str">
        <f t="shared" si="1"/>
        <v>-</v>
      </c>
    </row>
    <row r="10" spans="1:19" ht="16.5" customHeight="1">
      <c r="A10" s="58" t="s">
        <v>82</v>
      </c>
      <c r="B10" s="43"/>
      <c r="C10" s="44"/>
      <c r="D10" s="45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7"/>
      <c r="P10" s="48">
        <f t="shared" si="2"/>
        <v>0</v>
      </c>
      <c r="Q10" s="35" t="str">
        <f t="shared" si="1"/>
        <v>-</v>
      </c>
    </row>
    <row r="11" spans="1:19" ht="16.5" customHeight="1">
      <c r="A11" s="49" t="s">
        <v>83</v>
      </c>
      <c r="B11" s="50"/>
      <c r="C11" s="51"/>
      <c r="D11" s="52"/>
      <c r="E11" s="53"/>
      <c r="F11" s="54"/>
      <c r="G11" s="53"/>
      <c r="H11" s="53"/>
      <c r="I11" s="53"/>
      <c r="J11" s="53"/>
      <c r="K11" s="53"/>
      <c r="L11" s="53"/>
      <c r="M11" s="53"/>
      <c r="N11" s="53"/>
      <c r="O11" s="55"/>
      <c r="P11" s="56">
        <f t="shared" si="2"/>
        <v>0</v>
      </c>
      <c r="Q11" s="57" t="str">
        <f t="shared" si="1"/>
        <v>-</v>
      </c>
    </row>
    <row r="12" spans="1:19" ht="16.5" customHeight="1">
      <c r="A12" s="58" t="s">
        <v>84</v>
      </c>
      <c r="B12" s="29"/>
      <c r="C12" s="30"/>
      <c r="D12" s="59"/>
      <c r="E12" s="33"/>
      <c r="F12" s="33"/>
      <c r="G12" s="33"/>
      <c r="H12" s="33"/>
      <c r="I12" s="32"/>
      <c r="J12" s="32"/>
      <c r="K12" s="33"/>
      <c r="L12" s="33"/>
      <c r="M12" s="33"/>
      <c r="N12" s="33"/>
      <c r="O12" s="34"/>
      <c r="P12" s="48">
        <f t="shared" si="2"/>
        <v>0</v>
      </c>
      <c r="Q12" s="35" t="str">
        <f t="shared" si="1"/>
        <v>-</v>
      </c>
      <c r="S12" s="3"/>
    </row>
    <row r="13" spans="1:19" ht="15" customHeight="1" thickBot="1">
      <c r="A13" s="60" t="s">
        <v>18</v>
      </c>
      <c r="B13" s="61">
        <f>SUM(B9:B12)</f>
        <v>0</v>
      </c>
      <c r="C13" s="62">
        <f>SUM(C9:C12)</f>
        <v>0</v>
      </c>
      <c r="D13" s="63">
        <f>SUM(D9:D12)</f>
        <v>0</v>
      </c>
      <c r="E13" s="64">
        <f t="shared" ref="E13:P13" si="4">SUM(E9:E12)</f>
        <v>0</v>
      </c>
      <c r="F13" s="64">
        <f t="shared" si="4"/>
        <v>0</v>
      </c>
      <c r="G13" s="64">
        <f t="shared" si="4"/>
        <v>0</v>
      </c>
      <c r="H13" s="64">
        <f t="shared" si="4"/>
        <v>0</v>
      </c>
      <c r="I13" s="64">
        <f t="shared" si="4"/>
        <v>0</v>
      </c>
      <c r="J13" s="64">
        <f t="shared" si="4"/>
        <v>0</v>
      </c>
      <c r="K13" s="64">
        <f t="shared" si="4"/>
        <v>0</v>
      </c>
      <c r="L13" s="64">
        <f t="shared" si="4"/>
        <v>0</v>
      </c>
      <c r="M13" s="64">
        <f t="shared" si="4"/>
        <v>0</v>
      </c>
      <c r="N13" s="64">
        <f t="shared" si="4"/>
        <v>0</v>
      </c>
      <c r="O13" s="62">
        <f t="shared" si="4"/>
        <v>0</v>
      </c>
      <c r="P13" s="61">
        <f t="shared" si="4"/>
        <v>0</v>
      </c>
      <c r="Q13" s="65" t="str">
        <f t="shared" si="1"/>
        <v>-</v>
      </c>
    </row>
    <row r="14" spans="1:19" ht="22.5" customHeight="1" thickBot="1">
      <c r="A14" s="13" t="s">
        <v>29</v>
      </c>
      <c r="B14" s="66">
        <f>+B15+B16</f>
        <v>0</v>
      </c>
      <c r="C14" s="67">
        <f t="shared" ref="C14:P14" si="5">SUM(C15:C16)</f>
        <v>0</v>
      </c>
      <c r="D14" s="68">
        <f t="shared" si="5"/>
        <v>0</v>
      </c>
      <c r="E14" s="69">
        <f t="shared" si="5"/>
        <v>0</v>
      </c>
      <c r="F14" s="69">
        <f t="shared" si="5"/>
        <v>0</v>
      </c>
      <c r="G14" s="69">
        <f t="shared" si="5"/>
        <v>0</v>
      </c>
      <c r="H14" s="69">
        <f t="shared" si="5"/>
        <v>0</v>
      </c>
      <c r="I14" s="69">
        <f t="shared" si="5"/>
        <v>0</v>
      </c>
      <c r="J14" s="69">
        <f t="shared" si="5"/>
        <v>0</v>
      </c>
      <c r="K14" s="69">
        <f t="shared" si="5"/>
        <v>0</v>
      </c>
      <c r="L14" s="69">
        <f t="shared" si="5"/>
        <v>0</v>
      </c>
      <c r="M14" s="69">
        <f t="shared" si="5"/>
        <v>0</v>
      </c>
      <c r="N14" s="69">
        <f t="shared" si="5"/>
        <v>0</v>
      </c>
      <c r="O14" s="70">
        <f t="shared" si="5"/>
        <v>0</v>
      </c>
      <c r="P14" s="66">
        <f t="shared" si="5"/>
        <v>0</v>
      </c>
      <c r="Q14" s="71" t="str">
        <f t="shared" si="1"/>
        <v>-</v>
      </c>
    </row>
    <row r="15" spans="1:19" ht="16.5" customHeight="1">
      <c r="A15" s="72" t="s">
        <v>19</v>
      </c>
      <c r="B15" s="73"/>
      <c r="C15" s="74"/>
      <c r="D15" s="75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7"/>
      <c r="P15" s="78">
        <f>SUM(D15:O15)</f>
        <v>0</v>
      </c>
      <c r="Q15" s="79" t="str">
        <f t="shared" si="1"/>
        <v>-</v>
      </c>
    </row>
    <row r="16" spans="1:19" ht="16.5" customHeight="1" thickBot="1">
      <c r="A16" s="80" t="s">
        <v>20</v>
      </c>
      <c r="B16" s="81"/>
      <c r="C16" s="82"/>
      <c r="D16" s="83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5"/>
      <c r="P16" s="86">
        <f>SUM(D16:O16)</f>
        <v>0</v>
      </c>
      <c r="Q16" s="87" t="str">
        <f t="shared" si="1"/>
        <v>-</v>
      </c>
    </row>
    <row r="17" spans="1:17" ht="22.5" customHeight="1" thickBot="1">
      <c r="A17" s="13" t="s">
        <v>30</v>
      </c>
      <c r="B17" s="14">
        <f t="shared" ref="B17:P17" si="6">SUM(B18:B19)</f>
        <v>0</v>
      </c>
      <c r="C17" s="67">
        <f t="shared" si="6"/>
        <v>0</v>
      </c>
      <c r="D17" s="68">
        <f t="shared" si="6"/>
        <v>0</v>
      </c>
      <c r="E17" s="69">
        <f t="shared" si="6"/>
        <v>0</v>
      </c>
      <c r="F17" s="69">
        <f t="shared" si="6"/>
        <v>0</v>
      </c>
      <c r="G17" s="69">
        <f t="shared" si="6"/>
        <v>0</v>
      </c>
      <c r="H17" s="69">
        <f t="shared" si="6"/>
        <v>0</v>
      </c>
      <c r="I17" s="69">
        <f t="shared" si="6"/>
        <v>0</v>
      </c>
      <c r="J17" s="69">
        <f t="shared" si="6"/>
        <v>0</v>
      </c>
      <c r="K17" s="69">
        <f t="shared" si="6"/>
        <v>0</v>
      </c>
      <c r="L17" s="69">
        <f t="shared" si="6"/>
        <v>0</v>
      </c>
      <c r="M17" s="69">
        <f t="shared" si="6"/>
        <v>0</v>
      </c>
      <c r="N17" s="69">
        <f t="shared" si="6"/>
        <v>0</v>
      </c>
      <c r="O17" s="70">
        <f t="shared" si="6"/>
        <v>0</v>
      </c>
      <c r="P17" s="66">
        <f t="shared" si="6"/>
        <v>0</v>
      </c>
      <c r="Q17" s="71" t="str">
        <f t="shared" si="1"/>
        <v>-</v>
      </c>
    </row>
    <row r="18" spans="1:17" ht="16.5" customHeight="1">
      <c r="A18" s="72" t="s">
        <v>106</v>
      </c>
      <c r="B18" s="73"/>
      <c r="C18" s="74"/>
      <c r="D18" s="75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7"/>
      <c r="P18" s="78">
        <f>SUM(D18:O18)</f>
        <v>0</v>
      </c>
      <c r="Q18" s="79" t="str">
        <f t="shared" si="1"/>
        <v>-</v>
      </c>
    </row>
    <row r="19" spans="1:17" ht="16.5" customHeight="1" thickBot="1">
      <c r="A19" s="122" t="s">
        <v>105</v>
      </c>
      <c r="B19" s="123"/>
      <c r="C19" s="124"/>
      <c r="D19" s="125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7"/>
      <c r="P19" s="128">
        <f>SUM(D19:O19)</f>
        <v>0</v>
      </c>
      <c r="Q19" s="129" t="str">
        <f t="shared" si="1"/>
        <v>-</v>
      </c>
    </row>
    <row r="20" spans="1:17" ht="16.5" customHeight="1" thickBot="1">
      <c r="C20" s="3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9"/>
    </row>
    <row r="21" spans="1:17" ht="22.5" customHeight="1" thickBot="1">
      <c r="A21" s="13" t="s">
        <v>86</v>
      </c>
      <c r="B21" s="14"/>
      <c r="C21" s="15"/>
      <c r="D21" s="16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20"/>
      <c r="P21" s="14">
        <f>SUM(D21:O21)</f>
        <v>0</v>
      </c>
      <c r="Q21" s="18" t="str">
        <f>IF(P21=0,"-",P21/C21-1)</f>
        <v>-</v>
      </c>
    </row>
    <row r="22" spans="1:17" s="93" customFormat="1" ht="14.25" customHeight="1" thickBot="1">
      <c r="A22" s="90"/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2"/>
    </row>
    <row r="23" spans="1:17" s="93" customFormat="1" ht="23.25" customHeight="1" thickBot="1">
      <c r="A23" s="13" t="s">
        <v>31</v>
      </c>
      <c r="B23" s="14">
        <f>+B4+B14+B17+B21</f>
        <v>0</v>
      </c>
      <c r="C23" s="15">
        <f t="shared" ref="C23:P23" si="7">+C4+C14+C17+C21</f>
        <v>0</v>
      </c>
      <c r="D23" s="16">
        <f t="shared" si="7"/>
        <v>0</v>
      </c>
      <c r="E23" s="17">
        <f t="shared" si="7"/>
        <v>0</v>
      </c>
      <c r="F23" s="17">
        <f t="shared" si="7"/>
        <v>0</v>
      </c>
      <c r="G23" s="17">
        <f>+G4+G14+G17+G21</f>
        <v>0</v>
      </c>
      <c r="H23" s="17">
        <f t="shared" si="7"/>
        <v>0</v>
      </c>
      <c r="I23" s="17">
        <f t="shared" si="7"/>
        <v>0</v>
      </c>
      <c r="J23" s="17">
        <f t="shared" si="7"/>
        <v>0</v>
      </c>
      <c r="K23" s="17">
        <f t="shared" si="7"/>
        <v>0</v>
      </c>
      <c r="L23" s="17">
        <f t="shared" si="7"/>
        <v>0</v>
      </c>
      <c r="M23" s="17">
        <f t="shared" si="7"/>
        <v>0</v>
      </c>
      <c r="N23" s="17">
        <f t="shared" si="7"/>
        <v>0</v>
      </c>
      <c r="O23" s="15">
        <f t="shared" si="7"/>
        <v>0</v>
      </c>
      <c r="P23" s="14">
        <f t="shared" si="7"/>
        <v>0</v>
      </c>
      <c r="Q23" s="18" t="str">
        <f>IF(P23=0,"-",P23/C23-1)</f>
        <v>-</v>
      </c>
    </row>
    <row r="25" spans="1:17" ht="14.4" thickBot="1"/>
    <row r="26" spans="1:17" ht="18.600000000000001" thickBot="1">
      <c r="A26" s="5"/>
      <c r="B26" s="2372" t="s">
        <v>34</v>
      </c>
      <c r="C26" s="2373"/>
      <c r="D26" s="2313" t="s">
        <v>90</v>
      </c>
      <c r="E26" s="2314"/>
      <c r="F26" s="2314"/>
      <c r="G26" s="2314"/>
      <c r="H26" s="2314"/>
      <c r="I26" s="2314"/>
      <c r="J26" s="2314"/>
      <c r="K26" s="2314"/>
      <c r="L26" s="2314"/>
      <c r="M26" s="2314"/>
      <c r="N26" s="2314"/>
      <c r="O26" s="2314"/>
      <c r="P26" s="2315"/>
      <c r="Q26" s="6" t="s">
        <v>294</v>
      </c>
    </row>
    <row r="27" spans="1:17" ht="28.2" thickBot="1">
      <c r="A27" s="7"/>
      <c r="B27" s="8" t="s">
        <v>87</v>
      </c>
      <c r="C27" s="8" t="s">
        <v>0</v>
      </c>
      <c r="D27" s="9" t="s">
        <v>1</v>
      </c>
      <c r="E27" s="10" t="s">
        <v>2</v>
      </c>
      <c r="F27" s="10" t="s">
        <v>3</v>
      </c>
      <c r="G27" s="10" t="s">
        <v>4</v>
      </c>
      <c r="H27" s="10" t="s">
        <v>5</v>
      </c>
      <c r="I27" s="10" t="s">
        <v>6</v>
      </c>
      <c r="J27" s="10" t="s">
        <v>7</v>
      </c>
      <c r="K27" s="10" t="s">
        <v>8</v>
      </c>
      <c r="L27" s="10" t="s">
        <v>9</v>
      </c>
      <c r="M27" s="10" t="s">
        <v>10</v>
      </c>
      <c r="N27" s="10" t="s">
        <v>11</v>
      </c>
      <c r="O27" s="10" t="s">
        <v>12</v>
      </c>
      <c r="P27" s="11" t="s">
        <v>13</v>
      </c>
      <c r="Q27" s="12" t="s">
        <v>14</v>
      </c>
    </row>
    <row r="28" spans="1:17" ht="14.4" thickBot="1">
      <c r="A28" s="13" t="s">
        <v>28</v>
      </c>
      <c r="B28" s="14">
        <f>B31+B32+B37</f>
        <v>0</v>
      </c>
      <c r="C28" s="15">
        <f t="shared" ref="C28:P28" si="8">C31+C32+C37</f>
        <v>0</v>
      </c>
      <c r="D28" s="16">
        <f t="shared" si="8"/>
        <v>0</v>
      </c>
      <c r="E28" s="17">
        <f t="shared" si="8"/>
        <v>0</v>
      </c>
      <c r="F28" s="17">
        <f t="shared" si="8"/>
        <v>0</v>
      </c>
      <c r="G28" s="17">
        <f t="shared" si="8"/>
        <v>0</v>
      </c>
      <c r="H28" s="17">
        <f t="shared" si="8"/>
        <v>0</v>
      </c>
      <c r="I28" s="17">
        <f t="shared" si="8"/>
        <v>0</v>
      </c>
      <c r="J28" s="17">
        <f t="shared" si="8"/>
        <v>0</v>
      </c>
      <c r="K28" s="17">
        <f t="shared" si="8"/>
        <v>0</v>
      </c>
      <c r="L28" s="17">
        <f t="shared" si="8"/>
        <v>0</v>
      </c>
      <c r="M28" s="17">
        <f t="shared" si="8"/>
        <v>0</v>
      </c>
      <c r="N28" s="17">
        <f t="shared" si="8"/>
        <v>0</v>
      </c>
      <c r="O28" s="15">
        <f t="shared" si="8"/>
        <v>0</v>
      </c>
      <c r="P28" s="14">
        <f t="shared" si="8"/>
        <v>0</v>
      </c>
      <c r="Q28" s="18" t="str">
        <f t="shared" ref="Q28:Q43" si="9">IF(P28=0,"-",P28/C28-1)</f>
        <v>-</v>
      </c>
    </row>
    <row r="29" spans="1:17">
      <c r="A29" s="19" t="s">
        <v>15</v>
      </c>
      <c r="B29" s="20"/>
      <c r="C29" s="21"/>
      <c r="D29" s="22"/>
      <c r="E29" s="23"/>
      <c r="F29" s="23"/>
      <c r="G29" s="23"/>
      <c r="H29" s="24"/>
      <c r="I29" s="24"/>
      <c r="J29" s="24"/>
      <c r="K29" s="24"/>
      <c r="L29" s="24"/>
      <c r="M29" s="24"/>
      <c r="N29" s="24"/>
      <c r="O29" s="25"/>
      <c r="P29" s="20">
        <f t="shared" ref="P29:P36" si="10">SUM(D29:O29)</f>
        <v>0</v>
      </c>
      <c r="Q29" s="26" t="str">
        <f t="shared" si="9"/>
        <v>-</v>
      </c>
    </row>
    <row r="30" spans="1:17">
      <c r="A30" s="28" t="s">
        <v>16</v>
      </c>
      <c r="B30" s="29"/>
      <c r="C30" s="30"/>
      <c r="D30" s="31"/>
      <c r="E30" s="32"/>
      <c r="F30" s="32"/>
      <c r="G30" s="32"/>
      <c r="H30" s="33"/>
      <c r="I30" s="33"/>
      <c r="J30" s="33"/>
      <c r="K30" s="33"/>
      <c r="L30" s="33"/>
      <c r="M30" s="33"/>
      <c r="N30" s="33"/>
      <c r="O30" s="34"/>
      <c r="P30" s="29">
        <f t="shared" si="10"/>
        <v>0</v>
      </c>
      <c r="Q30" s="35" t="str">
        <f t="shared" si="9"/>
        <v>-</v>
      </c>
    </row>
    <row r="31" spans="1:17">
      <c r="A31" s="36" t="s">
        <v>27</v>
      </c>
      <c r="B31" s="37">
        <f>+B29+B30</f>
        <v>0</v>
      </c>
      <c r="C31" s="38">
        <f>+C30+C29</f>
        <v>0</v>
      </c>
      <c r="D31" s="39">
        <f t="shared" ref="D31:O31" si="11">SUM(D29:D30)</f>
        <v>0</v>
      </c>
      <c r="E31" s="40">
        <f t="shared" si="11"/>
        <v>0</v>
      </c>
      <c r="F31" s="40">
        <f t="shared" si="11"/>
        <v>0</v>
      </c>
      <c r="G31" s="40">
        <f t="shared" si="11"/>
        <v>0</v>
      </c>
      <c r="H31" s="40">
        <f t="shared" si="11"/>
        <v>0</v>
      </c>
      <c r="I31" s="40">
        <f t="shared" si="11"/>
        <v>0</v>
      </c>
      <c r="J31" s="40">
        <f t="shared" si="11"/>
        <v>0</v>
      </c>
      <c r="K31" s="40">
        <f t="shared" si="11"/>
        <v>0</v>
      </c>
      <c r="L31" s="40">
        <f t="shared" si="11"/>
        <v>0</v>
      </c>
      <c r="M31" s="40">
        <f t="shared" si="11"/>
        <v>0</v>
      </c>
      <c r="N31" s="40">
        <f t="shared" si="11"/>
        <v>0</v>
      </c>
      <c r="O31" s="38">
        <f t="shared" si="11"/>
        <v>0</v>
      </c>
      <c r="P31" s="37">
        <f t="shared" si="10"/>
        <v>0</v>
      </c>
      <c r="Q31" s="41" t="str">
        <f t="shared" si="9"/>
        <v>-</v>
      </c>
    </row>
    <row r="32" spans="1:17">
      <c r="A32" s="42" t="s">
        <v>17</v>
      </c>
      <c r="B32" s="43"/>
      <c r="C32" s="44"/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7"/>
      <c r="P32" s="48">
        <f t="shared" si="10"/>
        <v>0</v>
      </c>
      <c r="Q32" s="35" t="str">
        <f t="shared" si="9"/>
        <v>-</v>
      </c>
    </row>
    <row r="33" spans="1:17">
      <c r="A33" s="49" t="s">
        <v>81</v>
      </c>
      <c r="B33" s="37"/>
      <c r="C33" s="119"/>
      <c r="D33" s="39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38"/>
      <c r="P33" s="56">
        <f t="shared" si="10"/>
        <v>0</v>
      </c>
      <c r="Q33" s="57" t="str">
        <f t="shared" si="9"/>
        <v>-</v>
      </c>
    </row>
    <row r="34" spans="1:17">
      <c r="A34" s="58" t="s">
        <v>82</v>
      </c>
      <c r="B34" s="43"/>
      <c r="C34" s="44"/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7"/>
      <c r="P34" s="48">
        <f t="shared" si="10"/>
        <v>0</v>
      </c>
      <c r="Q34" s="35" t="str">
        <f t="shared" si="9"/>
        <v>-</v>
      </c>
    </row>
    <row r="35" spans="1:17">
      <c r="A35" s="49" t="s">
        <v>83</v>
      </c>
      <c r="B35" s="50"/>
      <c r="C35" s="51"/>
      <c r="D35" s="52"/>
      <c r="E35" s="53"/>
      <c r="F35" s="54"/>
      <c r="G35" s="53"/>
      <c r="H35" s="53"/>
      <c r="I35" s="53"/>
      <c r="J35" s="53"/>
      <c r="K35" s="53"/>
      <c r="L35" s="53"/>
      <c r="M35" s="53"/>
      <c r="N35" s="53"/>
      <c r="O35" s="55"/>
      <c r="P35" s="56">
        <f t="shared" si="10"/>
        <v>0</v>
      </c>
      <c r="Q35" s="57" t="str">
        <f t="shared" si="9"/>
        <v>-</v>
      </c>
    </row>
    <row r="36" spans="1:17">
      <c r="A36" s="58" t="s">
        <v>84</v>
      </c>
      <c r="B36" s="29"/>
      <c r="C36" s="30"/>
      <c r="D36" s="59"/>
      <c r="E36" s="33"/>
      <c r="F36" s="33"/>
      <c r="G36" s="33"/>
      <c r="H36" s="33"/>
      <c r="I36" s="32"/>
      <c r="J36" s="32"/>
      <c r="K36" s="33"/>
      <c r="L36" s="33"/>
      <c r="M36" s="33"/>
      <c r="N36" s="33"/>
      <c r="O36" s="34"/>
      <c r="P36" s="48">
        <f t="shared" si="10"/>
        <v>0</v>
      </c>
      <c r="Q36" s="35" t="str">
        <f t="shared" si="9"/>
        <v>-</v>
      </c>
    </row>
    <row r="37" spans="1:17" ht="14.4" thickBot="1">
      <c r="A37" s="60" t="s">
        <v>18</v>
      </c>
      <c r="B37" s="61">
        <f>SUM(B33:B36)</f>
        <v>0</v>
      </c>
      <c r="C37" s="62">
        <f>SUM(C33:C36)</f>
        <v>0</v>
      </c>
      <c r="D37" s="63">
        <f>SUM(D33:D36)</f>
        <v>0</v>
      </c>
      <c r="E37" s="64">
        <f t="shared" ref="E37:P37" si="12">SUM(E33:E36)</f>
        <v>0</v>
      </c>
      <c r="F37" s="64">
        <f t="shared" si="12"/>
        <v>0</v>
      </c>
      <c r="G37" s="64">
        <f t="shared" si="12"/>
        <v>0</v>
      </c>
      <c r="H37" s="64">
        <f t="shared" si="12"/>
        <v>0</v>
      </c>
      <c r="I37" s="64">
        <f t="shared" si="12"/>
        <v>0</v>
      </c>
      <c r="J37" s="64">
        <f t="shared" si="12"/>
        <v>0</v>
      </c>
      <c r="K37" s="64">
        <f t="shared" si="12"/>
        <v>0</v>
      </c>
      <c r="L37" s="64">
        <f t="shared" si="12"/>
        <v>0</v>
      </c>
      <c r="M37" s="64">
        <f t="shared" si="12"/>
        <v>0</v>
      </c>
      <c r="N37" s="64">
        <f t="shared" si="12"/>
        <v>0</v>
      </c>
      <c r="O37" s="62">
        <f t="shared" si="12"/>
        <v>0</v>
      </c>
      <c r="P37" s="61">
        <f t="shared" si="12"/>
        <v>0</v>
      </c>
      <c r="Q37" s="65" t="str">
        <f t="shared" si="9"/>
        <v>-</v>
      </c>
    </row>
    <row r="38" spans="1:17" ht="14.4" thickBot="1">
      <c r="A38" s="13" t="s">
        <v>29</v>
      </c>
      <c r="B38" s="66">
        <f>+B39+B40</f>
        <v>0</v>
      </c>
      <c r="C38" s="67">
        <f t="shared" ref="C38:P38" si="13">SUM(C39:C40)</f>
        <v>0</v>
      </c>
      <c r="D38" s="68">
        <f t="shared" si="13"/>
        <v>0</v>
      </c>
      <c r="E38" s="69">
        <f t="shared" si="13"/>
        <v>0</v>
      </c>
      <c r="F38" s="69">
        <f t="shared" si="13"/>
        <v>0</v>
      </c>
      <c r="G38" s="69">
        <f t="shared" si="13"/>
        <v>0</v>
      </c>
      <c r="H38" s="69">
        <f t="shared" si="13"/>
        <v>0</v>
      </c>
      <c r="I38" s="69">
        <f t="shared" si="13"/>
        <v>0</v>
      </c>
      <c r="J38" s="69">
        <f t="shared" si="13"/>
        <v>0</v>
      </c>
      <c r="K38" s="69">
        <f t="shared" si="13"/>
        <v>0</v>
      </c>
      <c r="L38" s="69">
        <f t="shared" si="13"/>
        <v>0</v>
      </c>
      <c r="M38" s="69">
        <f t="shared" si="13"/>
        <v>0</v>
      </c>
      <c r="N38" s="69">
        <f t="shared" si="13"/>
        <v>0</v>
      </c>
      <c r="O38" s="70">
        <f t="shared" si="13"/>
        <v>0</v>
      </c>
      <c r="P38" s="66">
        <f t="shared" si="13"/>
        <v>0</v>
      </c>
      <c r="Q38" s="71" t="str">
        <f t="shared" si="9"/>
        <v>-</v>
      </c>
    </row>
    <row r="39" spans="1:17">
      <c r="A39" s="72" t="s">
        <v>19</v>
      </c>
      <c r="B39" s="73"/>
      <c r="C39" s="74"/>
      <c r="D39" s="75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7"/>
      <c r="P39" s="78">
        <f>SUM(D39:O39)</f>
        <v>0</v>
      </c>
      <c r="Q39" s="79" t="str">
        <f t="shared" si="9"/>
        <v>-</v>
      </c>
    </row>
    <row r="40" spans="1:17" ht="14.4" thickBot="1">
      <c r="A40" s="80" t="s">
        <v>20</v>
      </c>
      <c r="B40" s="81"/>
      <c r="C40" s="82"/>
      <c r="D40" s="83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5"/>
      <c r="P40" s="86">
        <f>SUM(D40:O40)</f>
        <v>0</v>
      </c>
      <c r="Q40" s="87" t="str">
        <f t="shared" si="9"/>
        <v>-</v>
      </c>
    </row>
    <row r="41" spans="1:17" ht="14.4" thickBot="1">
      <c r="A41" s="13" t="s">
        <v>30</v>
      </c>
      <c r="B41" s="14">
        <f t="shared" ref="B41:P41" si="14">SUM(B42:B43)</f>
        <v>0</v>
      </c>
      <c r="C41" s="67">
        <f t="shared" si="14"/>
        <v>0</v>
      </c>
      <c r="D41" s="68">
        <f t="shared" si="14"/>
        <v>0</v>
      </c>
      <c r="E41" s="69">
        <f t="shared" si="14"/>
        <v>0</v>
      </c>
      <c r="F41" s="69">
        <f t="shared" si="14"/>
        <v>0</v>
      </c>
      <c r="G41" s="69">
        <f t="shared" si="14"/>
        <v>0</v>
      </c>
      <c r="H41" s="69">
        <f t="shared" si="14"/>
        <v>0</v>
      </c>
      <c r="I41" s="69">
        <f t="shared" si="14"/>
        <v>0</v>
      </c>
      <c r="J41" s="69">
        <f t="shared" si="14"/>
        <v>0</v>
      </c>
      <c r="K41" s="69">
        <f t="shared" si="14"/>
        <v>0</v>
      </c>
      <c r="L41" s="69">
        <f t="shared" si="14"/>
        <v>0</v>
      </c>
      <c r="M41" s="69">
        <f t="shared" si="14"/>
        <v>0</v>
      </c>
      <c r="N41" s="69">
        <f t="shared" si="14"/>
        <v>0</v>
      </c>
      <c r="O41" s="70">
        <f t="shared" si="14"/>
        <v>0</v>
      </c>
      <c r="P41" s="66">
        <f t="shared" si="14"/>
        <v>0</v>
      </c>
      <c r="Q41" s="71" t="str">
        <f t="shared" si="9"/>
        <v>-</v>
      </c>
    </row>
    <row r="42" spans="1:17">
      <c r="A42" s="72" t="s">
        <v>106</v>
      </c>
      <c r="B42" s="73"/>
      <c r="C42" s="74"/>
      <c r="D42" s="75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7"/>
      <c r="P42" s="78">
        <f>SUM(D42:O42)</f>
        <v>0</v>
      </c>
      <c r="Q42" s="79" t="str">
        <f t="shared" si="9"/>
        <v>-</v>
      </c>
    </row>
    <row r="43" spans="1:17" ht="14.4" thickBot="1">
      <c r="A43" s="122" t="s">
        <v>105</v>
      </c>
      <c r="B43" s="123"/>
      <c r="C43" s="124"/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7"/>
      <c r="P43" s="128">
        <f>SUM(D43:O43)</f>
        <v>0</v>
      </c>
      <c r="Q43" s="129" t="str">
        <f t="shared" si="9"/>
        <v>-</v>
      </c>
    </row>
    <row r="44" spans="1:17" ht="14.4" thickBot="1">
      <c r="C44" s="3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9"/>
    </row>
    <row r="45" spans="1:17" ht="14.4" thickBot="1">
      <c r="A45" s="13" t="s">
        <v>86</v>
      </c>
      <c r="B45" s="14"/>
      <c r="C45" s="15"/>
      <c r="D45" s="16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20"/>
      <c r="P45" s="14">
        <f>SUM(D45:O45)</f>
        <v>0</v>
      </c>
      <c r="Q45" s="18" t="str">
        <f>IF(P45=0,"-",P45/C45-1)</f>
        <v>-</v>
      </c>
    </row>
    <row r="46" spans="1:17" ht="14.4" thickBot="1">
      <c r="A46" s="90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2"/>
    </row>
    <row r="47" spans="1:17" ht="14.4" thickBot="1">
      <c r="A47" s="13" t="s">
        <v>31</v>
      </c>
      <c r="B47" s="14">
        <f t="shared" ref="B47:G47" si="15">+B28+B38+B41+B45</f>
        <v>0</v>
      </c>
      <c r="C47" s="15">
        <f t="shared" si="15"/>
        <v>0</v>
      </c>
      <c r="D47" s="16">
        <f t="shared" si="15"/>
        <v>0</v>
      </c>
      <c r="E47" s="17">
        <f t="shared" si="15"/>
        <v>0</v>
      </c>
      <c r="F47" s="17">
        <f t="shared" si="15"/>
        <v>0</v>
      </c>
      <c r="G47" s="17">
        <f t="shared" si="15"/>
        <v>0</v>
      </c>
      <c r="H47" s="17">
        <f t="shared" ref="H47:P47" si="16">+H28+H38+H41+H45</f>
        <v>0</v>
      </c>
      <c r="I47" s="17">
        <f t="shared" si="16"/>
        <v>0</v>
      </c>
      <c r="J47" s="17">
        <f t="shared" si="16"/>
        <v>0</v>
      </c>
      <c r="K47" s="17">
        <f t="shared" si="16"/>
        <v>0</v>
      </c>
      <c r="L47" s="17">
        <f t="shared" si="16"/>
        <v>0</v>
      </c>
      <c r="M47" s="17">
        <f t="shared" si="16"/>
        <v>0</v>
      </c>
      <c r="N47" s="17">
        <f t="shared" si="16"/>
        <v>0</v>
      </c>
      <c r="O47" s="15">
        <f t="shared" si="16"/>
        <v>0</v>
      </c>
      <c r="P47" s="14">
        <f t="shared" si="16"/>
        <v>0</v>
      </c>
      <c r="Q47" s="18" t="str">
        <f>IF(P47=0,"-",P47/C47-1)</f>
        <v>-</v>
      </c>
    </row>
    <row r="49" spans="1:17" ht="14.4" thickBot="1"/>
    <row r="50" spans="1:17" ht="18.600000000000001" thickBot="1">
      <c r="A50" s="5"/>
      <c r="B50" s="2372" t="s">
        <v>34</v>
      </c>
      <c r="C50" s="2373"/>
      <c r="D50" s="2313" t="s">
        <v>91</v>
      </c>
      <c r="E50" s="2314"/>
      <c r="F50" s="2314"/>
      <c r="G50" s="2314"/>
      <c r="H50" s="2314"/>
      <c r="I50" s="2314"/>
      <c r="J50" s="2314"/>
      <c r="K50" s="2314"/>
      <c r="L50" s="2314"/>
      <c r="M50" s="2314"/>
      <c r="N50" s="2314"/>
      <c r="O50" s="2314"/>
      <c r="P50" s="2315"/>
      <c r="Q50" s="6" t="s">
        <v>294</v>
      </c>
    </row>
    <row r="51" spans="1:17" ht="28.2" thickBot="1">
      <c r="A51" s="7"/>
      <c r="B51" s="8" t="s">
        <v>87</v>
      </c>
      <c r="C51" s="8" t="s">
        <v>0</v>
      </c>
      <c r="D51" s="9" t="s">
        <v>1</v>
      </c>
      <c r="E51" s="10" t="s">
        <v>2</v>
      </c>
      <c r="F51" s="10" t="s">
        <v>3</v>
      </c>
      <c r="G51" s="10" t="s">
        <v>4</v>
      </c>
      <c r="H51" s="10" t="s">
        <v>5</v>
      </c>
      <c r="I51" s="10" t="s">
        <v>6</v>
      </c>
      <c r="J51" s="10" t="s">
        <v>7</v>
      </c>
      <c r="K51" s="10" t="s">
        <v>8</v>
      </c>
      <c r="L51" s="10" t="s">
        <v>9</v>
      </c>
      <c r="M51" s="10" t="s">
        <v>10</v>
      </c>
      <c r="N51" s="10" t="s">
        <v>11</v>
      </c>
      <c r="O51" s="10" t="s">
        <v>12</v>
      </c>
      <c r="P51" s="11" t="s">
        <v>13</v>
      </c>
      <c r="Q51" s="12" t="s">
        <v>14</v>
      </c>
    </row>
    <row r="52" spans="1:17" ht="14.4" thickBot="1">
      <c r="A52" s="13" t="s">
        <v>28</v>
      </c>
      <c r="B52" s="14">
        <f>B55+B56+B61</f>
        <v>0</v>
      </c>
      <c r="C52" s="15">
        <f t="shared" ref="C52:P52" si="17">C55+C56+C61</f>
        <v>0</v>
      </c>
      <c r="D52" s="16">
        <f t="shared" si="17"/>
        <v>0</v>
      </c>
      <c r="E52" s="17">
        <f t="shared" si="17"/>
        <v>0</v>
      </c>
      <c r="F52" s="17">
        <f t="shared" si="17"/>
        <v>0</v>
      </c>
      <c r="G52" s="17">
        <f t="shared" si="17"/>
        <v>0</v>
      </c>
      <c r="H52" s="17">
        <f t="shared" si="17"/>
        <v>0</v>
      </c>
      <c r="I52" s="17">
        <f t="shared" si="17"/>
        <v>0</v>
      </c>
      <c r="J52" s="17">
        <f t="shared" si="17"/>
        <v>0</v>
      </c>
      <c r="K52" s="17">
        <f t="shared" si="17"/>
        <v>0</v>
      </c>
      <c r="L52" s="17">
        <f t="shared" si="17"/>
        <v>0</v>
      </c>
      <c r="M52" s="17">
        <f t="shared" si="17"/>
        <v>0</v>
      </c>
      <c r="N52" s="17">
        <f t="shared" si="17"/>
        <v>0</v>
      </c>
      <c r="O52" s="15">
        <f t="shared" si="17"/>
        <v>0</v>
      </c>
      <c r="P52" s="14">
        <f t="shared" si="17"/>
        <v>0</v>
      </c>
      <c r="Q52" s="18" t="str">
        <f t="shared" ref="Q52:Q67" si="18">IF(P52=0,"-",P52/C52-1)</f>
        <v>-</v>
      </c>
    </row>
    <row r="53" spans="1:17">
      <c r="A53" s="19" t="s">
        <v>15</v>
      </c>
      <c r="B53" s="20"/>
      <c r="C53" s="21"/>
      <c r="D53" s="22"/>
      <c r="E53" s="23"/>
      <c r="F53" s="23"/>
      <c r="G53" s="23"/>
      <c r="H53" s="24"/>
      <c r="I53" s="24"/>
      <c r="J53" s="24"/>
      <c r="K53" s="24"/>
      <c r="L53" s="24"/>
      <c r="M53" s="24"/>
      <c r="N53" s="24"/>
      <c r="O53" s="25"/>
      <c r="P53" s="20">
        <f t="shared" ref="P53:P60" si="19">SUM(D53:O53)</f>
        <v>0</v>
      </c>
      <c r="Q53" s="26" t="str">
        <f t="shared" si="18"/>
        <v>-</v>
      </c>
    </row>
    <row r="54" spans="1:17">
      <c r="A54" s="28" t="s">
        <v>16</v>
      </c>
      <c r="B54" s="29"/>
      <c r="C54" s="30"/>
      <c r="D54" s="31"/>
      <c r="E54" s="32"/>
      <c r="F54" s="32"/>
      <c r="G54" s="32"/>
      <c r="H54" s="33"/>
      <c r="I54" s="33"/>
      <c r="J54" s="33"/>
      <c r="K54" s="33"/>
      <c r="L54" s="33"/>
      <c r="M54" s="33"/>
      <c r="N54" s="33"/>
      <c r="O54" s="34"/>
      <c r="P54" s="29">
        <f t="shared" si="19"/>
        <v>0</v>
      </c>
      <c r="Q54" s="35" t="str">
        <f t="shared" si="18"/>
        <v>-</v>
      </c>
    </row>
    <row r="55" spans="1:17">
      <c r="A55" s="36" t="s">
        <v>27</v>
      </c>
      <c r="B55" s="37">
        <f>+B53+B54</f>
        <v>0</v>
      </c>
      <c r="C55" s="38">
        <f>+C54+C53</f>
        <v>0</v>
      </c>
      <c r="D55" s="39">
        <f t="shared" ref="D55:O55" si="20">SUM(D53:D54)</f>
        <v>0</v>
      </c>
      <c r="E55" s="40">
        <f t="shared" si="20"/>
        <v>0</v>
      </c>
      <c r="F55" s="40">
        <f t="shared" si="20"/>
        <v>0</v>
      </c>
      <c r="G55" s="40">
        <f t="shared" si="20"/>
        <v>0</v>
      </c>
      <c r="H55" s="40">
        <f t="shared" si="20"/>
        <v>0</v>
      </c>
      <c r="I55" s="40">
        <f t="shared" si="20"/>
        <v>0</v>
      </c>
      <c r="J55" s="40">
        <f t="shared" si="20"/>
        <v>0</v>
      </c>
      <c r="K55" s="40">
        <f t="shared" si="20"/>
        <v>0</v>
      </c>
      <c r="L55" s="40">
        <f t="shared" si="20"/>
        <v>0</v>
      </c>
      <c r="M55" s="40">
        <f t="shared" si="20"/>
        <v>0</v>
      </c>
      <c r="N55" s="40">
        <f t="shared" si="20"/>
        <v>0</v>
      </c>
      <c r="O55" s="38">
        <f t="shared" si="20"/>
        <v>0</v>
      </c>
      <c r="P55" s="37">
        <f t="shared" si="19"/>
        <v>0</v>
      </c>
      <c r="Q55" s="41" t="str">
        <f t="shared" si="18"/>
        <v>-</v>
      </c>
    </row>
    <row r="56" spans="1:17">
      <c r="A56" s="42" t="s">
        <v>17</v>
      </c>
      <c r="B56" s="43"/>
      <c r="C56" s="44"/>
      <c r="D56" s="45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7"/>
      <c r="P56" s="48">
        <f t="shared" si="19"/>
        <v>0</v>
      </c>
      <c r="Q56" s="35" t="str">
        <f t="shared" si="18"/>
        <v>-</v>
      </c>
    </row>
    <row r="57" spans="1:17">
      <c r="A57" s="49" t="s">
        <v>81</v>
      </c>
      <c r="B57" s="37"/>
      <c r="C57" s="119"/>
      <c r="D57" s="39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38"/>
      <c r="P57" s="56">
        <f t="shared" si="19"/>
        <v>0</v>
      </c>
      <c r="Q57" s="57" t="str">
        <f t="shared" si="18"/>
        <v>-</v>
      </c>
    </row>
    <row r="58" spans="1:17">
      <c r="A58" s="58" t="s">
        <v>82</v>
      </c>
      <c r="B58" s="43"/>
      <c r="C58" s="44"/>
      <c r="D58" s="45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7"/>
      <c r="P58" s="48">
        <f t="shared" si="19"/>
        <v>0</v>
      </c>
      <c r="Q58" s="35" t="str">
        <f t="shared" si="18"/>
        <v>-</v>
      </c>
    </row>
    <row r="59" spans="1:17">
      <c r="A59" s="49" t="s">
        <v>83</v>
      </c>
      <c r="B59" s="50"/>
      <c r="C59" s="51"/>
      <c r="D59" s="52"/>
      <c r="E59" s="53"/>
      <c r="F59" s="54"/>
      <c r="G59" s="53"/>
      <c r="H59" s="53"/>
      <c r="I59" s="53"/>
      <c r="J59" s="53"/>
      <c r="K59" s="53"/>
      <c r="L59" s="53"/>
      <c r="M59" s="53"/>
      <c r="N59" s="53"/>
      <c r="O59" s="55"/>
      <c r="P59" s="56">
        <f t="shared" si="19"/>
        <v>0</v>
      </c>
      <c r="Q59" s="57" t="str">
        <f t="shared" si="18"/>
        <v>-</v>
      </c>
    </row>
    <row r="60" spans="1:17">
      <c r="A60" s="58" t="s">
        <v>84</v>
      </c>
      <c r="B60" s="29"/>
      <c r="C60" s="30"/>
      <c r="D60" s="59"/>
      <c r="E60" s="33"/>
      <c r="F60" s="33"/>
      <c r="G60" s="33"/>
      <c r="H60" s="33"/>
      <c r="I60" s="32"/>
      <c r="J60" s="32"/>
      <c r="K60" s="33"/>
      <c r="L60" s="33"/>
      <c r="M60" s="33"/>
      <c r="N60" s="33"/>
      <c r="O60" s="34"/>
      <c r="P60" s="48">
        <f t="shared" si="19"/>
        <v>0</v>
      </c>
      <c r="Q60" s="35" t="str">
        <f t="shared" si="18"/>
        <v>-</v>
      </c>
    </row>
    <row r="61" spans="1:17" ht="14.4" thickBot="1">
      <c r="A61" s="60" t="s">
        <v>18</v>
      </c>
      <c r="B61" s="61">
        <f>SUM(B57:B60)</f>
        <v>0</v>
      </c>
      <c r="C61" s="62">
        <f>SUM(C57:C60)</f>
        <v>0</v>
      </c>
      <c r="D61" s="63">
        <f>SUM(D57:D60)</f>
        <v>0</v>
      </c>
      <c r="E61" s="64">
        <f t="shared" ref="E61:P61" si="21">SUM(E57:E60)</f>
        <v>0</v>
      </c>
      <c r="F61" s="64">
        <f t="shared" si="21"/>
        <v>0</v>
      </c>
      <c r="G61" s="64">
        <f t="shared" si="21"/>
        <v>0</v>
      </c>
      <c r="H61" s="64">
        <f t="shared" si="21"/>
        <v>0</v>
      </c>
      <c r="I61" s="64">
        <f t="shared" si="21"/>
        <v>0</v>
      </c>
      <c r="J61" s="64">
        <f t="shared" si="21"/>
        <v>0</v>
      </c>
      <c r="K61" s="64">
        <f t="shared" si="21"/>
        <v>0</v>
      </c>
      <c r="L61" s="64">
        <f t="shared" si="21"/>
        <v>0</v>
      </c>
      <c r="M61" s="64">
        <f t="shared" si="21"/>
        <v>0</v>
      </c>
      <c r="N61" s="64">
        <f t="shared" si="21"/>
        <v>0</v>
      </c>
      <c r="O61" s="62">
        <f t="shared" si="21"/>
        <v>0</v>
      </c>
      <c r="P61" s="61">
        <f t="shared" si="21"/>
        <v>0</v>
      </c>
      <c r="Q61" s="65" t="str">
        <f t="shared" si="18"/>
        <v>-</v>
      </c>
    </row>
    <row r="62" spans="1:17" ht="14.4" thickBot="1">
      <c r="A62" s="13" t="s">
        <v>29</v>
      </c>
      <c r="B62" s="66">
        <f>+B63+B64</f>
        <v>0</v>
      </c>
      <c r="C62" s="67">
        <f t="shared" ref="C62:P62" si="22">SUM(C63:C64)</f>
        <v>0</v>
      </c>
      <c r="D62" s="68">
        <f t="shared" si="22"/>
        <v>0</v>
      </c>
      <c r="E62" s="69">
        <f t="shared" si="22"/>
        <v>0</v>
      </c>
      <c r="F62" s="69">
        <f t="shared" si="22"/>
        <v>0</v>
      </c>
      <c r="G62" s="69">
        <f t="shared" si="22"/>
        <v>0</v>
      </c>
      <c r="H62" s="69">
        <f t="shared" si="22"/>
        <v>0</v>
      </c>
      <c r="I62" s="69">
        <f t="shared" si="22"/>
        <v>0</v>
      </c>
      <c r="J62" s="69">
        <f t="shared" si="22"/>
        <v>0</v>
      </c>
      <c r="K62" s="69">
        <f t="shared" si="22"/>
        <v>0</v>
      </c>
      <c r="L62" s="69">
        <f t="shared" si="22"/>
        <v>0</v>
      </c>
      <c r="M62" s="69">
        <f t="shared" si="22"/>
        <v>0</v>
      </c>
      <c r="N62" s="69">
        <f t="shared" si="22"/>
        <v>0</v>
      </c>
      <c r="O62" s="70">
        <f t="shared" si="22"/>
        <v>0</v>
      </c>
      <c r="P62" s="66">
        <f t="shared" si="22"/>
        <v>0</v>
      </c>
      <c r="Q62" s="71" t="str">
        <f t="shared" si="18"/>
        <v>-</v>
      </c>
    </row>
    <row r="63" spans="1:17">
      <c r="A63" s="72" t="s">
        <v>19</v>
      </c>
      <c r="B63" s="73"/>
      <c r="C63" s="74"/>
      <c r="D63" s="75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7"/>
      <c r="P63" s="78">
        <f>SUM(D63:O63)</f>
        <v>0</v>
      </c>
      <c r="Q63" s="79" t="str">
        <f t="shared" si="18"/>
        <v>-</v>
      </c>
    </row>
    <row r="64" spans="1:17" ht="14.4" thickBot="1">
      <c r="A64" s="80" t="s">
        <v>20</v>
      </c>
      <c r="B64" s="81"/>
      <c r="C64" s="82"/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5"/>
      <c r="P64" s="86">
        <f>SUM(D64:O64)</f>
        <v>0</v>
      </c>
      <c r="Q64" s="87" t="str">
        <f t="shared" si="18"/>
        <v>-</v>
      </c>
    </row>
    <row r="65" spans="1:17" ht="14.4" thickBot="1">
      <c r="A65" s="13" t="s">
        <v>30</v>
      </c>
      <c r="B65" s="14">
        <f t="shared" ref="B65:P65" si="23">SUM(B66:B67)</f>
        <v>0</v>
      </c>
      <c r="C65" s="67">
        <f t="shared" si="23"/>
        <v>0</v>
      </c>
      <c r="D65" s="68">
        <f t="shared" si="23"/>
        <v>0</v>
      </c>
      <c r="E65" s="69">
        <f t="shared" si="23"/>
        <v>0</v>
      </c>
      <c r="F65" s="69">
        <f t="shared" si="23"/>
        <v>0</v>
      </c>
      <c r="G65" s="69">
        <f t="shared" si="23"/>
        <v>0</v>
      </c>
      <c r="H65" s="69">
        <f t="shared" si="23"/>
        <v>0</v>
      </c>
      <c r="I65" s="69">
        <f t="shared" si="23"/>
        <v>0</v>
      </c>
      <c r="J65" s="69">
        <f t="shared" si="23"/>
        <v>0</v>
      </c>
      <c r="K65" s="69">
        <f t="shared" si="23"/>
        <v>0</v>
      </c>
      <c r="L65" s="69">
        <f t="shared" si="23"/>
        <v>0</v>
      </c>
      <c r="M65" s="69">
        <f t="shared" si="23"/>
        <v>0</v>
      </c>
      <c r="N65" s="69">
        <f t="shared" si="23"/>
        <v>0</v>
      </c>
      <c r="O65" s="70">
        <f t="shared" si="23"/>
        <v>0</v>
      </c>
      <c r="P65" s="66">
        <f t="shared" si="23"/>
        <v>0</v>
      </c>
      <c r="Q65" s="71" t="str">
        <f t="shared" si="18"/>
        <v>-</v>
      </c>
    </row>
    <row r="66" spans="1:17">
      <c r="A66" s="72" t="s">
        <v>106</v>
      </c>
      <c r="B66" s="73"/>
      <c r="C66" s="74"/>
      <c r="D66" s="75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7"/>
      <c r="P66" s="78">
        <f>SUM(D66:O66)</f>
        <v>0</v>
      </c>
      <c r="Q66" s="79" t="str">
        <f t="shared" si="18"/>
        <v>-</v>
      </c>
    </row>
    <row r="67" spans="1:17" ht="14.4" thickBot="1">
      <c r="A67" s="122" t="s">
        <v>105</v>
      </c>
      <c r="B67" s="123"/>
      <c r="C67" s="124"/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7"/>
      <c r="P67" s="128">
        <f>SUM(D67:O67)</f>
        <v>0</v>
      </c>
      <c r="Q67" s="129" t="str">
        <f t="shared" si="18"/>
        <v>-</v>
      </c>
    </row>
    <row r="68" spans="1:17" ht="14.4" thickBot="1">
      <c r="C68" s="3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9"/>
    </row>
    <row r="69" spans="1:17" ht="14.4" thickBot="1">
      <c r="A69" s="13" t="s">
        <v>86</v>
      </c>
      <c r="B69" s="14"/>
      <c r="C69" s="15"/>
      <c r="D69" s="16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20"/>
      <c r="P69" s="14">
        <f>SUM(D69:O69)</f>
        <v>0</v>
      </c>
      <c r="Q69" s="18" t="str">
        <f>IF(P69=0,"-",P69/C69-1)</f>
        <v>-</v>
      </c>
    </row>
    <row r="70" spans="1:17" ht="14.4" thickBot="1">
      <c r="A70" s="90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2"/>
    </row>
    <row r="71" spans="1:17" ht="14.4" thickBot="1">
      <c r="A71" s="13" t="s">
        <v>31</v>
      </c>
      <c r="B71" s="14">
        <f t="shared" ref="B71:G71" si="24">+B52+B62+B65+B69</f>
        <v>0</v>
      </c>
      <c r="C71" s="15">
        <f t="shared" si="24"/>
        <v>0</v>
      </c>
      <c r="D71" s="16">
        <f t="shared" si="24"/>
        <v>0</v>
      </c>
      <c r="E71" s="17">
        <f t="shared" si="24"/>
        <v>0</v>
      </c>
      <c r="F71" s="17">
        <f t="shared" si="24"/>
        <v>0</v>
      </c>
      <c r="G71" s="17">
        <f t="shared" si="24"/>
        <v>0</v>
      </c>
      <c r="H71" s="17">
        <f t="shared" ref="H71:P71" si="25">+H52+H62+H65+H69</f>
        <v>0</v>
      </c>
      <c r="I71" s="17">
        <f t="shared" si="25"/>
        <v>0</v>
      </c>
      <c r="J71" s="17">
        <f t="shared" si="25"/>
        <v>0</v>
      </c>
      <c r="K71" s="17">
        <f t="shared" si="25"/>
        <v>0</v>
      </c>
      <c r="L71" s="17">
        <f t="shared" si="25"/>
        <v>0</v>
      </c>
      <c r="M71" s="17">
        <f t="shared" si="25"/>
        <v>0</v>
      </c>
      <c r="N71" s="17">
        <f t="shared" si="25"/>
        <v>0</v>
      </c>
      <c r="O71" s="15">
        <f t="shared" si="25"/>
        <v>0</v>
      </c>
      <c r="P71" s="14">
        <f t="shared" si="25"/>
        <v>0</v>
      </c>
      <c r="Q71" s="18" t="str">
        <f>IF(P71=0,"-",P71/C71-1)</f>
        <v>-</v>
      </c>
    </row>
    <row r="73" spans="1:17" ht="14.4" thickBot="1"/>
    <row r="74" spans="1:17" ht="18.600000000000001" thickBot="1">
      <c r="A74" s="5"/>
      <c r="B74" s="2372" t="s">
        <v>34</v>
      </c>
      <c r="C74" s="2373"/>
      <c r="D74" s="2313" t="s">
        <v>92</v>
      </c>
      <c r="E74" s="2314"/>
      <c r="F74" s="2314"/>
      <c r="G74" s="2314"/>
      <c r="H74" s="2314"/>
      <c r="I74" s="2314"/>
      <c r="J74" s="2314"/>
      <c r="K74" s="2314"/>
      <c r="L74" s="2314"/>
      <c r="M74" s="2314"/>
      <c r="N74" s="2314"/>
      <c r="O74" s="2314"/>
      <c r="P74" s="2315"/>
      <c r="Q74" s="6" t="s">
        <v>294</v>
      </c>
    </row>
    <row r="75" spans="1:17" ht="28.2" thickBot="1">
      <c r="A75" s="7"/>
      <c r="B75" s="8" t="s">
        <v>87</v>
      </c>
      <c r="C75" s="8" t="s">
        <v>0</v>
      </c>
      <c r="D75" s="9" t="s">
        <v>1</v>
      </c>
      <c r="E75" s="10" t="s">
        <v>2</v>
      </c>
      <c r="F75" s="10" t="s">
        <v>3</v>
      </c>
      <c r="G75" s="10" t="s">
        <v>4</v>
      </c>
      <c r="H75" s="10" t="s">
        <v>5</v>
      </c>
      <c r="I75" s="10" t="s">
        <v>6</v>
      </c>
      <c r="J75" s="10" t="s">
        <v>7</v>
      </c>
      <c r="K75" s="10" t="s">
        <v>8</v>
      </c>
      <c r="L75" s="10" t="s">
        <v>9</v>
      </c>
      <c r="M75" s="10" t="s">
        <v>10</v>
      </c>
      <c r="N75" s="10" t="s">
        <v>11</v>
      </c>
      <c r="O75" s="10" t="s">
        <v>12</v>
      </c>
      <c r="P75" s="11" t="s">
        <v>13</v>
      </c>
      <c r="Q75" s="12" t="s">
        <v>14</v>
      </c>
    </row>
    <row r="76" spans="1:17" ht="14.4" thickBot="1">
      <c r="A76" s="13" t="s">
        <v>28</v>
      </c>
      <c r="B76" s="14">
        <f>B79+B80+B85</f>
        <v>0</v>
      </c>
      <c r="C76" s="15">
        <f t="shared" ref="C76:P76" si="26">C79+C80+C85</f>
        <v>0</v>
      </c>
      <c r="D76" s="16">
        <f t="shared" si="26"/>
        <v>0</v>
      </c>
      <c r="E76" s="17">
        <f t="shared" si="26"/>
        <v>0</v>
      </c>
      <c r="F76" s="17">
        <f t="shared" si="26"/>
        <v>0</v>
      </c>
      <c r="G76" s="17">
        <f t="shared" si="26"/>
        <v>0</v>
      </c>
      <c r="H76" s="17">
        <f t="shared" si="26"/>
        <v>0</v>
      </c>
      <c r="I76" s="17">
        <f t="shared" si="26"/>
        <v>0</v>
      </c>
      <c r="J76" s="17">
        <f t="shared" si="26"/>
        <v>0</v>
      </c>
      <c r="K76" s="17">
        <f t="shared" si="26"/>
        <v>0</v>
      </c>
      <c r="L76" s="17">
        <f t="shared" si="26"/>
        <v>0</v>
      </c>
      <c r="M76" s="17">
        <f t="shared" si="26"/>
        <v>0</v>
      </c>
      <c r="N76" s="17">
        <f t="shared" si="26"/>
        <v>0</v>
      </c>
      <c r="O76" s="15">
        <f t="shared" si="26"/>
        <v>0</v>
      </c>
      <c r="P76" s="14">
        <f t="shared" si="26"/>
        <v>0</v>
      </c>
      <c r="Q76" s="18" t="str">
        <f t="shared" ref="Q76:Q91" si="27">IF(P76=0,"-",P76/C76-1)</f>
        <v>-</v>
      </c>
    </row>
    <row r="77" spans="1:17">
      <c r="A77" s="19" t="s">
        <v>15</v>
      </c>
      <c r="B77" s="20"/>
      <c r="C77" s="21"/>
      <c r="D77" s="22"/>
      <c r="E77" s="23"/>
      <c r="F77" s="23"/>
      <c r="G77" s="23"/>
      <c r="H77" s="24"/>
      <c r="I77" s="24"/>
      <c r="J77" s="24"/>
      <c r="K77" s="24"/>
      <c r="L77" s="24"/>
      <c r="M77" s="24"/>
      <c r="N77" s="24"/>
      <c r="O77" s="25"/>
      <c r="P77" s="20">
        <f t="shared" ref="P77:P84" si="28">SUM(D77:O77)</f>
        <v>0</v>
      </c>
      <c r="Q77" s="26" t="str">
        <f t="shared" si="27"/>
        <v>-</v>
      </c>
    </row>
    <row r="78" spans="1:17">
      <c r="A78" s="28" t="s">
        <v>16</v>
      </c>
      <c r="B78" s="29"/>
      <c r="C78" s="30"/>
      <c r="D78" s="31"/>
      <c r="E78" s="32"/>
      <c r="F78" s="32"/>
      <c r="G78" s="32"/>
      <c r="H78" s="33"/>
      <c r="I78" s="33"/>
      <c r="J78" s="33"/>
      <c r="K78" s="33"/>
      <c r="L78" s="33"/>
      <c r="M78" s="33"/>
      <c r="N78" s="33"/>
      <c r="O78" s="34"/>
      <c r="P78" s="29">
        <f t="shared" si="28"/>
        <v>0</v>
      </c>
      <c r="Q78" s="35" t="str">
        <f t="shared" si="27"/>
        <v>-</v>
      </c>
    </row>
    <row r="79" spans="1:17">
      <c r="A79" s="36" t="s">
        <v>27</v>
      </c>
      <c r="B79" s="37">
        <f>+B77+B78</f>
        <v>0</v>
      </c>
      <c r="C79" s="38">
        <f>+C78+C77</f>
        <v>0</v>
      </c>
      <c r="D79" s="39">
        <f t="shared" ref="D79:O79" si="29">SUM(D77:D78)</f>
        <v>0</v>
      </c>
      <c r="E79" s="40">
        <f t="shared" si="29"/>
        <v>0</v>
      </c>
      <c r="F79" s="40">
        <f t="shared" si="29"/>
        <v>0</v>
      </c>
      <c r="G79" s="40">
        <f t="shared" si="29"/>
        <v>0</v>
      </c>
      <c r="H79" s="40">
        <f t="shared" si="29"/>
        <v>0</v>
      </c>
      <c r="I79" s="40">
        <f t="shared" si="29"/>
        <v>0</v>
      </c>
      <c r="J79" s="40">
        <f t="shared" si="29"/>
        <v>0</v>
      </c>
      <c r="K79" s="40">
        <f t="shared" si="29"/>
        <v>0</v>
      </c>
      <c r="L79" s="40">
        <f t="shared" si="29"/>
        <v>0</v>
      </c>
      <c r="M79" s="40">
        <f t="shared" si="29"/>
        <v>0</v>
      </c>
      <c r="N79" s="40">
        <f t="shared" si="29"/>
        <v>0</v>
      </c>
      <c r="O79" s="38">
        <f t="shared" si="29"/>
        <v>0</v>
      </c>
      <c r="P79" s="37">
        <f t="shared" si="28"/>
        <v>0</v>
      </c>
      <c r="Q79" s="41" t="str">
        <f t="shared" si="27"/>
        <v>-</v>
      </c>
    </row>
    <row r="80" spans="1:17">
      <c r="A80" s="42" t="s">
        <v>17</v>
      </c>
      <c r="B80" s="43"/>
      <c r="C80" s="44"/>
      <c r="D80" s="45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7"/>
      <c r="P80" s="48">
        <f t="shared" si="28"/>
        <v>0</v>
      </c>
      <c r="Q80" s="35" t="str">
        <f t="shared" si="27"/>
        <v>-</v>
      </c>
    </row>
    <row r="81" spans="1:17">
      <c r="A81" s="49" t="s">
        <v>81</v>
      </c>
      <c r="B81" s="37"/>
      <c r="C81" s="119"/>
      <c r="D81" s="39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38"/>
      <c r="P81" s="56">
        <f t="shared" si="28"/>
        <v>0</v>
      </c>
      <c r="Q81" s="57" t="str">
        <f t="shared" si="27"/>
        <v>-</v>
      </c>
    </row>
    <row r="82" spans="1:17">
      <c r="A82" s="58" t="s">
        <v>82</v>
      </c>
      <c r="B82" s="43"/>
      <c r="C82" s="44"/>
      <c r="D82" s="45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  <c r="P82" s="48">
        <f t="shared" si="28"/>
        <v>0</v>
      </c>
      <c r="Q82" s="35" t="str">
        <f t="shared" si="27"/>
        <v>-</v>
      </c>
    </row>
    <row r="83" spans="1:17">
      <c r="A83" s="49" t="s">
        <v>83</v>
      </c>
      <c r="B83" s="50"/>
      <c r="C83" s="51"/>
      <c r="D83" s="52"/>
      <c r="E83" s="53"/>
      <c r="F83" s="54"/>
      <c r="G83" s="53"/>
      <c r="H83" s="53"/>
      <c r="I83" s="53"/>
      <c r="J83" s="53"/>
      <c r="K83" s="53"/>
      <c r="L83" s="53"/>
      <c r="M83" s="53"/>
      <c r="N83" s="53"/>
      <c r="O83" s="55"/>
      <c r="P83" s="56">
        <f t="shared" si="28"/>
        <v>0</v>
      </c>
      <c r="Q83" s="57" t="str">
        <f t="shared" si="27"/>
        <v>-</v>
      </c>
    </row>
    <row r="84" spans="1:17">
      <c r="A84" s="58" t="s">
        <v>84</v>
      </c>
      <c r="B84" s="29"/>
      <c r="C84" s="30"/>
      <c r="D84" s="59"/>
      <c r="E84" s="33"/>
      <c r="F84" s="33"/>
      <c r="G84" s="33"/>
      <c r="H84" s="33"/>
      <c r="I84" s="32"/>
      <c r="J84" s="32"/>
      <c r="K84" s="33"/>
      <c r="L84" s="33"/>
      <c r="M84" s="33"/>
      <c r="N84" s="33"/>
      <c r="O84" s="34"/>
      <c r="P84" s="48">
        <f t="shared" si="28"/>
        <v>0</v>
      </c>
      <c r="Q84" s="35" t="str">
        <f t="shared" si="27"/>
        <v>-</v>
      </c>
    </row>
    <row r="85" spans="1:17" ht="14.4" thickBot="1">
      <c r="A85" s="60" t="s">
        <v>18</v>
      </c>
      <c r="B85" s="61">
        <f>SUM(B81:B84)</f>
        <v>0</v>
      </c>
      <c r="C85" s="62">
        <f>SUM(C81:C84)</f>
        <v>0</v>
      </c>
      <c r="D85" s="63">
        <f>SUM(D81:D84)</f>
        <v>0</v>
      </c>
      <c r="E85" s="64">
        <f t="shared" ref="E85:P85" si="30">SUM(E81:E84)</f>
        <v>0</v>
      </c>
      <c r="F85" s="64">
        <f t="shared" si="30"/>
        <v>0</v>
      </c>
      <c r="G85" s="64">
        <f t="shared" si="30"/>
        <v>0</v>
      </c>
      <c r="H85" s="64">
        <f t="shared" si="30"/>
        <v>0</v>
      </c>
      <c r="I85" s="64">
        <f t="shared" si="30"/>
        <v>0</v>
      </c>
      <c r="J85" s="64">
        <f t="shared" si="30"/>
        <v>0</v>
      </c>
      <c r="K85" s="64">
        <f t="shared" si="30"/>
        <v>0</v>
      </c>
      <c r="L85" s="64">
        <f t="shared" si="30"/>
        <v>0</v>
      </c>
      <c r="M85" s="64">
        <f t="shared" si="30"/>
        <v>0</v>
      </c>
      <c r="N85" s="64">
        <f t="shared" si="30"/>
        <v>0</v>
      </c>
      <c r="O85" s="62">
        <f t="shared" si="30"/>
        <v>0</v>
      </c>
      <c r="P85" s="61">
        <f t="shared" si="30"/>
        <v>0</v>
      </c>
      <c r="Q85" s="65" t="str">
        <f t="shared" si="27"/>
        <v>-</v>
      </c>
    </row>
    <row r="86" spans="1:17" ht="14.4" thickBot="1">
      <c r="A86" s="13" t="s">
        <v>29</v>
      </c>
      <c r="B86" s="66">
        <f>+B87+B88</f>
        <v>0</v>
      </c>
      <c r="C86" s="67">
        <f t="shared" ref="C86:P86" si="31">SUM(C87:C88)</f>
        <v>0</v>
      </c>
      <c r="D86" s="68">
        <f t="shared" si="31"/>
        <v>0</v>
      </c>
      <c r="E86" s="69">
        <f t="shared" si="31"/>
        <v>0</v>
      </c>
      <c r="F86" s="69">
        <f t="shared" si="31"/>
        <v>0</v>
      </c>
      <c r="G86" s="69">
        <f t="shared" si="31"/>
        <v>0</v>
      </c>
      <c r="H86" s="69">
        <f t="shared" si="31"/>
        <v>0</v>
      </c>
      <c r="I86" s="69">
        <f t="shared" si="31"/>
        <v>0</v>
      </c>
      <c r="J86" s="69">
        <f t="shared" si="31"/>
        <v>0</v>
      </c>
      <c r="K86" s="69">
        <f t="shared" si="31"/>
        <v>0</v>
      </c>
      <c r="L86" s="69">
        <f t="shared" si="31"/>
        <v>0</v>
      </c>
      <c r="M86" s="69">
        <f t="shared" si="31"/>
        <v>0</v>
      </c>
      <c r="N86" s="69">
        <f t="shared" si="31"/>
        <v>0</v>
      </c>
      <c r="O86" s="70">
        <f t="shared" si="31"/>
        <v>0</v>
      </c>
      <c r="P86" s="66">
        <f t="shared" si="31"/>
        <v>0</v>
      </c>
      <c r="Q86" s="71" t="str">
        <f t="shared" si="27"/>
        <v>-</v>
      </c>
    </row>
    <row r="87" spans="1:17">
      <c r="A87" s="72" t="s">
        <v>19</v>
      </c>
      <c r="B87" s="73"/>
      <c r="C87" s="74"/>
      <c r="D87" s="75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7"/>
      <c r="P87" s="78">
        <f>SUM(D87:O87)</f>
        <v>0</v>
      </c>
      <c r="Q87" s="79" t="str">
        <f t="shared" si="27"/>
        <v>-</v>
      </c>
    </row>
    <row r="88" spans="1:17" ht="14.4" thickBot="1">
      <c r="A88" s="80" t="s">
        <v>20</v>
      </c>
      <c r="B88" s="81"/>
      <c r="C88" s="82"/>
      <c r="D88" s="83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5"/>
      <c r="P88" s="86">
        <f>SUM(D88:O88)</f>
        <v>0</v>
      </c>
      <c r="Q88" s="87" t="str">
        <f t="shared" si="27"/>
        <v>-</v>
      </c>
    </row>
    <row r="89" spans="1:17" ht="14.4" thickBot="1">
      <c r="A89" s="13" t="s">
        <v>30</v>
      </c>
      <c r="B89" s="14">
        <f t="shared" ref="B89:P89" si="32">SUM(B90:B91)</f>
        <v>0</v>
      </c>
      <c r="C89" s="67">
        <f t="shared" si="32"/>
        <v>0</v>
      </c>
      <c r="D89" s="68">
        <f t="shared" si="32"/>
        <v>0</v>
      </c>
      <c r="E89" s="69">
        <f t="shared" si="32"/>
        <v>0</v>
      </c>
      <c r="F89" s="69">
        <f t="shared" si="32"/>
        <v>0</v>
      </c>
      <c r="G89" s="69">
        <f t="shared" si="32"/>
        <v>0</v>
      </c>
      <c r="H89" s="69">
        <f t="shared" si="32"/>
        <v>0</v>
      </c>
      <c r="I89" s="69">
        <f t="shared" si="32"/>
        <v>0</v>
      </c>
      <c r="J89" s="69">
        <f t="shared" si="32"/>
        <v>0</v>
      </c>
      <c r="K89" s="69">
        <f t="shared" si="32"/>
        <v>0</v>
      </c>
      <c r="L89" s="69">
        <f t="shared" si="32"/>
        <v>0</v>
      </c>
      <c r="M89" s="69">
        <f t="shared" si="32"/>
        <v>0</v>
      </c>
      <c r="N89" s="69">
        <f t="shared" si="32"/>
        <v>0</v>
      </c>
      <c r="O89" s="70">
        <f t="shared" si="32"/>
        <v>0</v>
      </c>
      <c r="P89" s="66">
        <f t="shared" si="32"/>
        <v>0</v>
      </c>
      <c r="Q89" s="71" t="str">
        <f t="shared" si="27"/>
        <v>-</v>
      </c>
    </row>
    <row r="90" spans="1:17">
      <c r="A90" s="72" t="s">
        <v>106</v>
      </c>
      <c r="B90" s="73"/>
      <c r="C90" s="74"/>
      <c r="D90" s="75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7"/>
      <c r="P90" s="78">
        <f>SUM(D90:O90)</f>
        <v>0</v>
      </c>
      <c r="Q90" s="79" t="str">
        <f t="shared" si="27"/>
        <v>-</v>
      </c>
    </row>
    <row r="91" spans="1:17" ht="14.4" thickBot="1">
      <c r="A91" s="122" t="s">
        <v>105</v>
      </c>
      <c r="B91" s="123"/>
      <c r="C91" s="124"/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7"/>
      <c r="P91" s="128">
        <f>SUM(D91:O91)</f>
        <v>0</v>
      </c>
      <c r="Q91" s="129" t="str">
        <f t="shared" si="27"/>
        <v>-</v>
      </c>
    </row>
    <row r="92" spans="1:17" ht="14.4" thickBot="1">
      <c r="C92" s="3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9"/>
    </row>
    <row r="93" spans="1:17" ht="14.4" thickBot="1">
      <c r="A93" s="13" t="s">
        <v>86</v>
      </c>
      <c r="B93" s="14"/>
      <c r="C93" s="15"/>
      <c r="D93" s="16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20"/>
      <c r="P93" s="14">
        <f>SUM(D93:O93)</f>
        <v>0</v>
      </c>
      <c r="Q93" s="18" t="str">
        <f>IF(P93=0,"-",P93/C93-1)</f>
        <v>-</v>
      </c>
    </row>
    <row r="94" spans="1:17" ht="14.4" thickBot="1">
      <c r="A94" s="90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2"/>
    </row>
    <row r="95" spans="1:17" ht="14.4" thickBot="1">
      <c r="A95" s="13" t="s">
        <v>31</v>
      </c>
      <c r="B95" s="14">
        <f t="shared" ref="B95:G95" si="33">+B76+B86+B89+B93</f>
        <v>0</v>
      </c>
      <c r="C95" s="15">
        <f t="shared" si="33"/>
        <v>0</v>
      </c>
      <c r="D95" s="16">
        <f t="shared" si="33"/>
        <v>0</v>
      </c>
      <c r="E95" s="17">
        <f t="shared" si="33"/>
        <v>0</v>
      </c>
      <c r="F95" s="17">
        <f t="shared" si="33"/>
        <v>0</v>
      </c>
      <c r="G95" s="17">
        <f t="shared" si="33"/>
        <v>0</v>
      </c>
      <c r="H95" s="17">
        <f t="shared" ref="H95:P95" si="34">+H76+H86+H89+H93</f>
        <v>0</v>
      </c>
      <c r="I95" s="17">
        <f t="shared" si="34"/>
        <v>0</v>
      </c>
      <c r="J95" s="17">
        <f t="shared" si="34"/>
        <v>0</v>
      </c>
      <c r="K95" s="17">
        <f t="shared" si="34"/>
        <v>0</v>
      </c>
      <c r="L95" s="17">
        <f t="shared" si="34"/>
        <v>0</v>
      </c>
      <c r="M95" s="17">
        <f t="shared" si="34"/>
        <v>0</v>
      </c>
      <c r="N95" s="17">
        <f t="shared" si="34"/>
        <v>0</v>
      </c>
      <c r="O95" s="15">
        <f t="shared" si="34"/>
        <v>0</v>
      </c>
      <c r="P95" s="14">
        <f t="shared" si="34"/>
        <v>0</v>
      </c>
      <c r="Q95" s="18" t="str">
        <f>IF(P95=0,"-",P95/C95-1)</f>
        <v>-</v>
      </c>
    </row>
    <row r="97" spans="1:17" ht="14.4" thickBot="1"/>
    <row r="98" spans="1:17" ht="18.600000000000001" thickBot="1">
      <c r="A98" s="5"/>
      <c r="B98" s="2372" t="s">
        <v>34</v>
      </c>
      <c r="C98" s="2373"/>
      <c r="D98" s="2313" t="s">
        <v>93</v>
      </c>
      <c r="E98" s="2314"/>
      <c r="F98" s="2314"/>
      <c r="G98" s="2314"/>
      <c r="H98" s="2314"/>
      <c r="I98" s="2314"/>
      <c r="J98" s="2314"/>
      <c r="K98" s="2314"/>
      <c r="L98" s="2314"/>
      <c r="M98" s="2314"/>
      <c r="N98" s="2314"/>
      <c r="O98" s="2314"/>
      <c r="P98" s="2315"/>
      <c r="Q98" s="6" t="s">
        <v>294</v>
      </c>
    </row>
    <row r="99" spans="1:17" ht="28.2" thickBot="1">
      <c r="A99" s="7"/>
      <c r="B99" s="8" t="s">
        <v>87</v>
      </c>
      <c r="C99" s="8" t="s">
        <v>0</v>
      </c>
      <c r="D99" s="9" t="s">
        <v>1</v>
      </c>
      <c r="E99" s="10" t="s">
        <v>2</v>
      </c>
      <c r="F99" s="10" t="s">
        <v>3</v>
      </c>
      <c r="G99" s="10" t="s">
        <v>4</v>
      </c>
      <c r="H99" s="10" t="s">
        <v>5</v>
      </c>
      <c r="I99" s="10" t="s">
        <v>6</v>
      </c>
      <c r="J99" s="10" t="s">
        <v>7</v>
      </c>
      <c r="K99" s="10" t="s">
        <v>8</v>
      </c>
      <c r="L99" s="10" t="s">
        <v>9</v>
      </c>
      <c r="M99" s="10" t="s">
        <v>10</v>
      </c>
      <c r="N99" s="10" t="s">
        <v>11</v>
      </c>
      <c r="O99" s="10" t="s">
        <v>12</v>
      </c>
      <c r="P99" s="11" t="s">
        <v>13</v>
      </c>
      <c r="Q99" s="12" t="s">
        <v>14</v>
      </c>
    </row>
    <row r="100" spans="1:17" ht="14.4" thickBot="1">
      <c r="A100" s="13" t="s">
        <v>28</v>
      </c>
      <c r="B100" s="14">
        <f>B103+B104+B109</f>
        <v>0</v>
      </c>
      <c r="C100" s="15">
        <f t="shared" ref="C100:P100" si="35">C103+C104+C109</f>
        <v>0</v>
      </c>
      <c r="D100" s="16">
        <f t="shared" si="35"/>
        <v>0</v>
      </c>
      <c r="E100" s="17">
        <f t="shared" si="35"/>
        <v>0</v>
      </c>
      <c r="F100" s="17">
        <f t="shared" si="35"/>
        <v>0</v>
      </c>
      <c r="G100" s="17">
        <f t="shared" si="35"/>
        <v>0</v>
      </c>
      <c r="H100" s="17">
        <f t="shared" si="35"/>
        <v>0</v>
      </c>
      <c r="I100" s="17">
        <f t="shared" si="35"/>
        <v>0</v>
      </c>
      <c r="J100" s="17">
        <f t="shared" si="35"/>
        <v>0</v>
      </c>
      <c r="K100" s="17">
        <f t="shared" si="35"/>
        <v>0</v>
      </c>
      <c r="L100" s="17">
        <f t="shared" si="35"/>
        <v>0</v>
      </c>
      <c r="M100" s="17">
        <f t="shared" si="35"/>
        <v>0</v>
      </c>
      <c r="N100" s="17">
        <f t="shared" si="35"/>
        <v>0</v>
      </c>
      <c r="O100" s="15">
        <f t="shared" si="35"/>
        <v>0</v>
      </c>
      <c r="P100" s="14">
        <f t="shared" si="35"/>
        <v>0</v>
      </c>
      <c r="Q100" s="18" t="str">
        <f t="shared" ref="Q100:Q115" si="36">IF(P100=0,"-",P100/C100-1)</f>
        <v>-</v>
      </c>
    </row>
    <row r="101" spans="1:17">
      <c r="A101" s="19" t="s">
        <v>15</v>
      </c>
      <c r="B101" s="20"/>
      <c r="C101" s="21"/>
      <c r="D101" s="22"/>
      <c r="E101" s="23"/>
      <c r="F101" s="23"/>
      <c r="G101" s="23"/>
      <c r="H101" s="24"/>
      <c r="I101" s="24"/>
      <c r="J101" s="24"/>
      <c r="K101" s="24"/>
      <c r="L101" s="24"/>
      <c r="M101" s="24"/>
      <c r="N101" s="24"/>
      <c r="O101" s="25"/>
      <c r="P101" s="20">
        <f t="shared" ref="P101:P108" si="37">SUM(D101:O101)</f>
        <v>0</v>
      </c>
      <c r="Q101" s="26" t="str">
        <f t="shared" si="36"/>
        <v>-</v>
      </c>
    </row>
    <row r="102" spans="1:17">
      <c r="A102" s="28" t="s">
        <v>16</v>
      </c>
      <c r="B102" s="29"/>
      <c r="C102" s="30"/>
      <c r="D102" s="31"/>
      <c r="E102" s="32"/>
      <c r="F102" s="32"/>
      <c r="G102" s="32"/>
      <c r="H102" s="33"/>
      <c r="I102" s="33"/>
      <c r="J102" s="33"/>
      <c r="K102" s="33"/>
      <c r="L102" s="33"/>
      <c r="M102" s="33"/>
      <c r="N102" s="33"/>
      <c r="O102" s="34"/>
      <c r="P102" s="29">
        <f t="shared" si="37"/>
        <v>0</v>
      </c>
      <c r="Q102" s="35" t="str">
        <f t="shared" si="36"/>
        <v>-</v>
      </c>
    </row>
    <row r="103" spans="1:17">
      <c r="A103" s="36" t="s">
        <v>27</v>
      </c>
      <c r="B103" s="37">
        <f>+B101+B102</f>
        <v>0</v>
      </c>
      <c r="C103" s="38">
        <f>+C102+C101</f>
        <v>0</v>
      </c>
      <c r="D103" s="39">
        <f t="shared" ref="D103:O103" si="38">SUM(D101:D102)</f>
        <v>0</v>
      </c>
      <c r="E103" s="40">
        <f t="shared" si="38"/>
        <v>0</v>
      </c>
      <c r="F103" s="40">
        <f t="shared" si="38"/>
        <v>0</v>
      </c>
      <c r="G103" s="40">
        <f t="shared" si="38"/>
        <v>0</v>
      </c>
      <c r="H103" s="40">
        <f t="shared" si="38"/>
        <v>0</v>
      </c>
      <c r="I103" s="40">
        <f t="shared" si="38"/>
        <v>0</v>
      </c>
      <c r="J103" s="40">
        <f t="shared" si="38"/>
        <v>0</v>
      </c>
      <c r="K103" s="40">
        <f t="shared" si="38"/>
        <v>0</v>
      </c>
      <c r="L103" s="40">
        <f t="shared" si="38"/>
        <v>0</v>
      </c>
      <c r="M103" s="40">
        <f t="shared" si="38"/>
        <v>0</v>
      </c>
      <c r="N103" s="40">
        <f t="shared" si="38"/>
        <v>0</v>
      </c>
      <c r="O103" s="38">
        <f t="shared" si="38"/>
        <v>0</v>
      </c>
      <c r="P103" s="37">
        <f t="shared" si="37"/>
        <v>0</v>
      </c>
      <c r="Q103" s="41" t="str">
        <f t="shared" si="36"/>
        <v>-</v>
      </c>
    </row>
    <row r="104" spans="1:17">
      <c r="A104" s="42" t="s">
        <v>17</v>
      </c>
      <c r="B104" s="43"/>
      <c r="C104" s="44"/>
      <c r="D104" s="45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7"/>
      <c r="P104" s="48">
        <f t="shared" si="37"/>
        <v>0</v>
      </c>
      <c r="Q104" s="35" t="str">
        <f t="shared" si="36"/>
        <v>-</v>
      </c>
    </row>
    <row r="105" spans="1:17">
      <c r="A105" s="49" t="s">
        <v>81</v>
      </c>
      <c r="B105" s="37"/>
      <c r="C105" s="119"/>
      <c r="D105" s="39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38"/>
      <c r="P105" s="56">
        <f t="shared" si="37"/>
        <v>0</v>
      </c>
      <c r="Q105" s="57" t="str">
        <f t="shared" si="36"/>
        <v>-</v>
      </c>
    </row>
    <row r="106" spans="1:17">
      <c r="A106" s="58" t="s">
        <v>82</v>
      </c>
      <c r="B106" s="43"/>
      <c r="C106" s="44"/>
      <c r="D106" s="45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  <c r="P106" s="48">
        <f t="shared" si="37"/>
        <v>0</v>
      </c>
      <c r="Q106" s="35" t="str">
        <f t="shared" si="36"/>
        <v>-</v>
      </c>
    </row>
    <row r="107" spans="1:17">
      <c r="A107" s="49" t="s">
        <v>83</v>
      </c>
      <c r="B107" s="50"/>
      <c r="C107" s="51"/>
      <c r="D107" s="52"/>
      <c r="E107" s="53"/>
      <c r="F107" s="54"/>
      <c r="G107" s="53"/>
      <c r="H107" s="53"/>
      <c r="I107" s="53"/>
      <c r="J107" s="53"/>
      <c r="K107" s="53"/>
      <c r="L107" s="53"/>
      <c r="M107" s="53"/>
      <c r="N107" s="53"/>
      <c r="O107" s="55"/>
      <c r="P107" s="56">
        <f t="shared" si="37"/>
        <v>0</v>
      </c>
      <c r="Q107" s="57" t="str">
        <f t="shared" si="36"/>
        <v>-</v>
      </c>
    </row>
    <row r="108" spans="1:17">
      <c r="A108" s="58" t="s">
        <v>84</v>
      </c>
      <c r="B108" s="29"/>
      <c r="C108" s="30"/>
      <c r="D108" s="59"/>
      <c r="E108" s="33"/>
      <c r="F108" s="33"/>
      <c r="G108" s="33"/>
      <c r="H108" s="33"/>
      <c r="I108" s="32"/>
      <c r="J108" s="32"/>
      <c r="K108" s="33"/>
      <c r="L108" s="33"/>
      <c r="M108" s="33"/>
      <c r="N108" s="33"/>
      <c r="O108" s="34"/>
      <c r="P108" s="48">
        <f t="shared" si="37"/>
        <v>0</v>
      </c>
      <c r="Q108" s="35" t="str">
        <f t="shared" si="36"/>
        <v>-</v>
      </c>
    </row>
    <row r="109" spans="1:17" ht="14.4" thickBot="1">
      <c r="A109" s="60" t="s">
        <v>18</v>
      </c>
      <c r="B109" s="61">
        <f>SUM(B105:B108)</f>
        <v>0</v>
      </c>
      <c r="C109" s="62">
        <f>SUM(C105:C108)</f>
        <v>0</v>
      </c>
      <c r="D109" s="63">
        <f>SUM(D105:D108)</f>
        <v>0</v>
      </c>
      <c r="E109" s="64">
        <f t="shared" ref="E109:P109" si="39">SUM(E105:E108)</f>
        <v>0</v>
      </c>
      <c r="F109" s="64">
        <f t="shared" si="39"/>
        <v>0</v>
      </c>
      <c r="G109" s="64">
        <f t="shared" si="39"/>
        <v>0</v>
      </c>
      <c r="H109" s="64">
        <f t="shared" si="39"/>
        <v>0</v>
      </c>
      <c r="I109" s="64">
        <f t="shared" si="39"/>
        <v>0</v>
      </c>
      <c r="J109" s="64">
        <f t="shared" si="39"/>
        <v>0</v>
      </c>
      <c r="K109" s="64">
        <f t="shared" si="39"/>
        <v>0</v>
      </c>
      <c r="L109" s="64">
        <f t="shared" si="39"/>
        <v>0</v>
      </c>
      <c r="M109" s="64">
        <f t="shared" si="39"/>
        <v>0</v>
      </c>
      <c r="N109" s="64">
        <f t="shared" si="39"/>
        <v>0</v>
      </c>
      <c r="O109" s="62">
        <f t="shared" si="39"/>
        <v>0</v>
      </c>
      <c r="P109" s="61">
        <f t="shared" si="39"/>
        <v>0</v>
      </c>
      <c r="Q109" s="65" t="str">
        <f t="shared" si="36"/>
        <v>-</v>
      </c>
    </row>
    <row r="110" spans="1:17" ht="14.4" thickBot="1">
      <c r="A110" s="13" t="s">
        <v>29</v>
      </c>
      <c r="B110" s="66">
        <f>+B111+B112</f>
        <v>0</v>
      </c>
      <c r="C110" s="67">
        <f t="shared" ref="C110:P110" si="40">SUM(C111:C112)</f>
        <v>0</v>
      </c>
      <c r="D110" s="68">
        <f t="shared" si="40"/>
        <v>0</v>
      </c>
      <c r="E110" s="69">
        <f t="shared" si="40"/>
        <v>0</v>
      </c>
      <c r="F110" s="69">
        <f t="shared" si="40"/>
        <v>0</v>
      </c>
      <c r="G110" s="69">
        <f t="shared" si="40"/>
        <v>0</v>
      </c>
      <c r="H110" s="69">
        <f t="shared" si="40"/>
        <v>0</v>
      </c>
      <c r="I110" s="69">
        <f t="shared" si="40"/>
        <v>0</v>
      </c>
      <c r="J110" s="69">
        <f t="shared" si="40"/>
        <v>0</v>
      </c>
      <c r="K110" s="69">
        <f t="shared" si="40"/>
        <v>0</v>
      </c>
      <c r="L110" s="69">
        <f t="shared" si="40"/>
        <v>0</v>
      </c>
      <c r="M110" s="69">
        <f t="shared" si="40"/>
        <v>0</v>
      </c>
      <c r="N110" s="69">
        <f t="shared" si="40"/>
        <v>0</v>
      </c>
      <c r="O110" s="70">
        <f t="shared" si="40"/>
        <v>0</v>
      </c>
      <c r="P110" s="66">
        <f t="shared" si="40"/>
        <v>0</v>
      </c>
      <c r="Q110" s="71" t="str">
        <f t="shared" si="36"/>
        <v>-</v>
      </c>
    </row>
    <row r="111" spans="1:17">
      <c r="A111" s="72" t="s">
        <v>19</v>
      </c>
      <c r="B111" s="73"/>
      <c r="C111" s="74"/>
      <c r="D111" s="75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7"/>
      <c r="P111" s="78">
        <f>SUM(D111:O111)</f>
        <v>0</v>
      </c>
      <c r="Q111" s="79" t="str">
        <f t="shared" si="36"/>
        <v>-</v>
      </c>
    </row>
    <row r="112" spans="1:17" ht="14.4" thickBot="1">
      <c r="A112" s="80" t="s">
        <v>20</v>
      </c>
      <c r="B112" s="81"/>
      <c r="C112" s="82"/>
      <c r="D112" s="83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5"/>
      <c r="P112" s="86">
        <f>SUM(D112:O112)</f>
        <v>0</v>
      </c>
      <c r="Q112" s="87" t="str">
        <f t="shared" si="36"/>
        <v>-</v>
      </c>
    </row>
    <row r="113" spans="1:17" ht="14.4" thickBot="1">
      <c r="A113" s="13" t="s">
        <v>30</v>
      </c>
      <c r="B113" s="14">
        <f t="shared" ref="B113:P113" si="41">SUM(B114:B115)</f>
        <v>0</v>
      </c>
      <c r="C113" s="67">
        <f t="shared" si="41"/>
        <v>0</v>
      </c>
      <c r="D113" s="68">
        <f t="shared" si="41"/>
        <v>0</v>
      </c>
      <c r="E113" s="69">
        <f t="shared" si="41"/>
        <v>0</v>
      </c>
      <c r="F113" s="69">
        <f t="shared" si="41"/>
        <v>0</v>
      </c>
      <c r="G113" s="69">
        <f t="shared" si="41"/>
        <v>0</v>
      </c>
      <c r="H113" s="69">
        <f t="shared" si="41"/>
        <v>0</v>
      </c>
      <c r="I113" s="69">
        <f t="shared" si="41"/>
        <v>0</v>
      </c>
      <c r="J113" s="69">
        <f t="shared" si="41"/>
        <v>0</v>
      </c>
      <c r="K113" s="69">
        <f t="shared" si="41"/>
        <v>0</v>
      </c>
      <c r="L113" s="69">
        <f t="shared" si="41"/>
        <v>0</v>
      </c>
      <c r="M113" s="69">
        <f t="shared" si="41"/>
        <v>0</v>
      </c>
      <c r="N113" s="69">
        <f t="shared" si="41"/>
        <v>0</v>
      </c>
      <c r="O113" s="70">
        <f t="shared" si="41"/>
        <v>0</v>
      </c>
      <c r="P113" s="66">
        <f t="shared" si="41"/>
        <v>0</v>
      </c>
      <c r="Q113" s="71" t="str">
        <f t="shared" si="36"/>
        <v>-</v>
      </c>
    </row>
    <row r="114" spans="1:17">
      <c r="A114" s="72" t="s">
        <v>106</v>
      </c>
      <c r="B114" s="73"/>
      <c r="C114" s="74"/>
      <c r="D114" s="75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7"/>
      <c r="P114" s="78">
        <f>SUM(D114:O114)</f>
        <v>0</v>
      </c>
      <c r="Q114" s="79" t="str">
        <f t="shared" si="36"/>
        <v>-</v>
      </c>
    </row>
    <row r="115" spans="1:17" ht="14.4" thickBot="1">
      <c r="A115" s="122" t="s">
        <v>105</v>
      </c>
      <c r="B115" s="123"/>
      <c r="C115" s="124"/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7"/>
      <c r="P115" s="128">
        <f>SUM(D115:O115)</f>
        <v>0</v>
      </c>
      <c r="Q115" s="129" t="str">
        <f t="shared" si="36"/>
        <v>-</v>
      </c>
    </row>
    <row r="116" spans="1:17" ht="14.4" thickBot="1">
      <c r="C116" s="3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9"/>
    </row>
    <row r="117" spans="1:17" ht="14.4" thickBot="1">
      <c r="A117" s="13" t="s">
        <v>86</v>
      </c>
      <c r="B117" s="14"/>
      <c r="C117" s="15"/>
      <c r="D117" s="16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20"/>
      <c r="P117" s="14">
        <f>SUM(D117:O117)</f>
        <v>0</v>
      </c>
      <c r="Q117" s="18" t="str">
        <f>IF(P117=0,"-",P117/C117-1)</f>
        <v>-</v>
      </c>
    </row>
    <row r="118" spans="1:17" ht="14.4" thickBot="1">
      <c r="A118" s="90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2"/>
    </row>
    <row r="119" spans="1:17" ht="14.4" thickBot="1">
      <c r="A119" s="13" t="s">
        <v>31</v>
      </c>
      <c r="B119" s="14">
        <f t="shared" ref="B119:G119" si="42">+B100+B110+B113+B117</f>
        <v>0</v>
      </c>
      <c r="C119" s="15">
        <f t="shared" si="42"/>
        <v>0</v>
      </c>
      <c r="D119" s="16">
        <f t="shared" si="42"/>
        <v>0</v>
      </c>
      <c r="E119" s="17">
        <f t="shared" si="42"/>
        <v>0</v>
      </c>
      <c r="F119" s="17">
        <f t="shared" si="42"/>
        <v>0</v>
      </c>
      <c r="G119" s="17">
        <f t="shared" si="42"/>
        <v>0</v>
      </c>
      <c r="H119" s="17">
        <f t="shared" ref="H119:P119" si="43">+H100+H110+H113+H117</f>
        <v>0</v>
      </c>
      <c r="I119" s="17">
        <f t="shared" si="43"/>
        <v>0</v>
      </c>
      <c r="J119" s="17">
        <f t="shared" si="43"/>
        <v>0</v>
      </c>
      <c r="K119" s="17">
        <f t="shared" si="43"/>
        <v>0</v>
      </c>
      <c r="L119" s="17">
        <f t="shared" si="43"/>
        <v>0</v>
      </c>
      <c r="M119" s="17">
        <f t="shared" si="43"/>
        <v>0</v>
      </c>
      <c r="N119" s="17">
        <f t="shared" si="43"/>
        <v>0</v>
      </c>
      <c r="O119" s="15">
        <f t="shared" si="43"/>
        <v>0</v>
      </c>
      <c r="P119" s="14">
        <f t="shared" si="43"/>
        <v>0</v>
      </c>
      <c r="Q119" s="18" t="str">
        <f>IF(P119=0,"-",P119/C119-1)</f>
        <v>-</v>
      </c>
    </row>
    <row r="121" spans="1:17" ht="14.4" thickBot="1"/>
    <row r="122" spans="1:17" ht="18.600000000000001" thickBot="1">
      <c r="A122" s="5"/>
      <c r="B122" s="2372" t="s">
        <v>34</v>
      </c>
      <c r="C122" s="2373"/>
      <c r="D122" s="2313" t="s">
        <v>94</v>
      </c>
      <c r="E122" s="2314"/>
      <c r="F122" s="2314"/>
      <c r="G122" s="2314"/>
      <c r="H122" s="2314"/>
      <c r="I122" s="2314"/>
      <c r="J122" s="2314"/>
      <c r="K122" s="2314"/>
      <c r="L122" s="2314"/>
      <c r="M122" s="2314"/>
      <c r="N122" s="2314"/>
      <c r="O122" s="2314"/>
      <c r="P122" s="2315"/>
      <c r="Q122" s="6" t="s">
        <v>294</v>
      </c>
    </row>
    <row r="123" spans="1:17" ht="28.2" thickBot="1">
      <c r="A123" s="7"/>
      <c r="B123" s="8" t="s">
        <v>87</v>
      </c>
      <c r="C123" s="8" t="s">
        <v>0</v>
      </c>
      <c r="D123" s="9" t="s">
        <v>1</v>
      </c>
      <c r="E123" s="10" t="s">
        <v>2</v>
      </c>
      <c r="F123" s="10" t="s">
        <v>3</v>
      </c>
      <c r="G123" s="10" t="s">
        <v>4</v>
      </c>
      <c r="H123" s="10" t="s">
        <v>5</v>
      </c>
      <c r="I123" s="10" t="s">
        <v>6</v>
      </c>
      <c r="J123" s="10" t="s">
        <v>7</v>
      </c>
      <c r="K123" s="10" t="s">
        <v>8</v>
      </c>
      <c r="L123" s="10" t="s">
        <v>9</v>
      </c>
      <c r="M123" s="10" t="s">
        <v>10</v>
      </c>
      <c r="N123" s="10" t="s">
        <v>11</v>
      </c>
      <c r="O123" s="10" t="s">
        <v>12</v>
      </c>
      <c r="P123" s="11" t="s">
        <v>13</v>
      </c>
      <c r="Q123" s="12" t="s">
        <v>14</v>
      </c>
    </row>
    <row r="124" spans="1:17" ht="14.4" thickBot="1">
      <c r="A124" s="13" t="s">
        <v>28</v>
      </c>
      <c r="B124" s="14">
        <f>B127+B128+B133</f>
        <v>0</v>
      </c>
      <c r="C124" s="15">
        <f t="shared" ref="C124:P124" si="44">C127+C128+C133</f>
        <v>0</v>
      </c>
      <c r="D124" s="16">
        <f t="shared" si="44"/>
        <v>0</v>
      </c>
      <c r="E124" s="17">
        <f t="shared" si="44"/>
        <v>0</v>
      </c>
      <c r="F124" s="17">
        <f t="shared" si="44"/>
        <v>0</v>
      </c>
      <c r="G124" s="17">
        <f t="shared" si="44"/>
        <v>0</v>
      </c>
      <c r="H124" s="17">
        <f t="shared" si="44"/>
        <v>0</v>
      </c>
      <c r="I124" s="17">
        <f t="shared" si="44"/>
        <v>0</v>
      </c>
      <c r="J124" s="17">
        <f t="shared" si="44"/>
        <v>0</v>
      </c>
      <c r="K124" s="17">
        <f t="shared" si="44"/>
        <v>0</v>
      </c>
      <c r="L124" s="17">
        <f t="shared" si="44"/>
        <v>0</v>
      </c>
      <c r="M124" s="17">
        <f t="shared" si="44"/>
        <v>0</v>
      </c>
      <c r="N124" s="17">
        <f t="shared" si="44"/>
        <v>0</v>
      </c>
      <c r="O124" s="15">
        <f t="shared" si="44"/>
        <v>0</v>
      </c>
      <c r="P124" s="14">
        <f t="shared" si="44"/>
        <v>0</v>
      </c>
      <c r="Q124" s="18" t="str">
        <f t="shared" ref="Q124:Q139" si="45">IF(P124=0,"-",P124/C124-1)</f>
        <v>-</v>
      </c>
    </row>
    <row r="125" spans="1:17">
      <c r="A125" s="19" t="s">
        <v>15</v>
      </c>
      <c r="B125" s="20"/>
      <c r="C125" s="21"/>
      <c r="D125" s="22"/>
      <c r="E125" s="23"/>
      <c r="F125" s="23"/>
      <c r="G125" s="23"/>
      <c r="H125" s="24"/>
      <c r="I125" s="24"/>
      <c r="J125" s="24"/>
      <c r="K125" s="24"/>
      <c r="L125" s="24"/>
      <c r="M125" s="24"/>
      <c r="N125" s="24"/>
      <c r="O125" s="25"/>
      <c r="P125" s="20">
        <f t="shared" ref="P125:P132" si="46">SUM(D125:O125)</f>
        <v>0</v>
      </c>
      <c r="Q125" s="26" t="str">
        <f t="shared" si="45"/>
        <v>-</v>
      </c>
    </row>
    <row r="126" spans="1:17">
      <c r="A126" s="28" t="s">
        <v>16</v>
      </c>
      <c r="B126" s="29"/>
      <c r="C126" s="30"/>
      <c r="D126" s="31"/>
      <c r="E126" s="32"/>
      <c r="F126" s="32"/>
      <c r="G126" s="32"/>
      <c r="H126" s="33"/>
      <c r="I126" s="33"/>
      <c r="J126" s="33"/>
      <c r="K126" s="33"/>
      <c r="L126" s="33"/>
      <c r="M126" s="33"/>
      <c r="N126" s="33"/>
      <c r="O126" s="34"/>
      <c r="P126" s="29">
        <f t="shared" si="46"/>
        <v>0</v>
      </c>
      <c r="Q126" s="35" t="str">
        <f t="shared" si="45"/>
        <v>-</v>
      </c>
    </row>
    <row r="127" spans="1:17">
      <c r="A127" s="36" t="s">
        <v>27</v>
      </c>
      <c r="B127" s="37">
        <f>+B125+B126</f>
        <v>0</v>
      </c>
      <c r="C127" s="38">
        <f>+C126+C125</f>
        <v>0</v>
      </c>
      <c r="D127" s="39">
        <f t="shared" ref="D127:O127" si="47">SUM(D125:D126)</f>
        <v>0</v>
      </c>
      <c r="E127" s="40">
        <f t="shared" si="47"/>
        <v>0</v>
      </c>
      <c r="F127" s="40">
        <f t="shared" si="47"/>
        <v>0</v>
      </c>
      <c r="G127" s="40">
        <f t="shared" si="47"/>
        <v>0</v>
      </c>
      <c r="H127" s="40">
        <f t="shared" si="47"/>
        <v>0</v>
      </c>
      <c r="I127" s="40">
        <f t="shared" si="47"/>
        <v>0</v>
      </c>
      <c r="J127" s="40">
        <f t="shared" si="47"/>
        <v>0</v>
      </c>
      <c r="K127" s="40">
        <f t="shared" si="47"/>
        <v>0</v>
      </c>
      <c r="L127" s="40">
        <f t="shared" si="47"/>
        <v>0</v>
      </c>
      <c r="M127" s="40">
        <f t="shared" si="47"/>
        <v>0</v>
      </c>
      <c r="N127" s="40">
        <f t="shared" si="47"/>
        <v>0</v>
      </c>
      <c r="O127" s="38">
        <f t="shared" si="47"/>
        <v>0</v>
      </c>
      <c r="P127" s="37">
        <f t="shared" si="46"/>
        <v>0</v>
      </c>
      <c r="Q127" s="41" t="str">
        <f t="shared" si="45"/>
        <v>-</v>
      </c>
    </row>
    <row r="128" spans="1:17">
      <c r="A128" s="42" t="s">
        <v>17</v>
      </c>
      <c r="B128" s="43"/>
      <c r="C128" s="44"/>
      <c r="D128" s="45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7"/>
      <c r="P128" s="48">
        <f t="shared" si="46"/>
        <v>0</v>
      </c>
      <c r="Q128" s="35" t="str">
        <f t="shared" si="45"/>
        <v>-</v>
      </c>
    </row>
    <row r="129" spans="1:17">
      <c r="A129" s="49" t="s">
        <v>81</v>
      </c>
      <c r="B129" s="37"/>
      <c r="C129" s="119"/>
      <c r="D129" s="39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38"/>
      <c r="P129" s="56">
        <f t="shared" si="46"/>
        <v>0</v>
      </c>
      <c r="Q129" s="57" t="str">
        <f t="shared" si="45"/>
        <v>-</v>
      </c>
    </row>
    <row r="130" spans="1:17">
      <c r="A130" s="58" t="s">
        <v>82</v>
      </c>
      <c r="B130" s="43"/>
      <c r="C130" s="44"/>
      <c r="D130" s="45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7"/>
      <c r="P130" s="48">
        <f t="shared" si="46"/>
        <v>0</v>
      </c>
      <c r="Q130" s="35" t="str">
        <f t="shared" si="45"/>
        <v>-</v>
      </c>
    </row>
    <row r="131" spans="1:17">
      <c r="A131" s="49" t="s">
        <v>83</v>
      </c>
      <c r="B131" s="50"/>
      <c r="C131" s="51"/>
      <c r="D131" s="52"/>
      <c r="E131" s="53"/>
      <c r="F131" s="54"/>
      <c r="G131" s="53"/>
      <c r="H131" s="53"/>
      <c r="I131" s="53"/>
      <c r="J131" s="53"/>
      <c r="K131" s="53"/>
      <c r="L131" s="53"/>
      <c r="M131" s="53"/>
      <c r="N131" s="53"/>
      <c r="O131" s="55"/>
      <c r="P131" s="56">
        <f t="shared" si="46"/>
        <v>0</v>
      </c>
      <c r="Q131" s="57" t="str">
        <f t="shared" si="45"/>
        <v>-</v>
      </c>
    </row>
    <row r="132" spans="1:17">
      <c r="A132" s="58" t="s">
        <v>84</v>
      </c>
      <c r="B132" s="29"/>
      <c r="C132" s="30"/>
      <c r="D132" s="59"/>
      <c r="E132" s="33"/>
      <c r="F132" s="33"/>
      <c r="G132" s="33"/>
      <c r="H132" s="33"/>
      <c r="I132" s="32"/>
      <c r="J132" s="32"/>
      <c r="K132" s="33"/>
      <c r="L132" s="33"/>
      <c r="M132" s="33"/>
      <c r="N132" s="33"/>
      <c r="O132" s="34"/>
      <c r="P132" s="48">
        <f t="shared" si="46"/>
        <v>0</v>
      </c>
      <c r="Q132" s="35" t="str">
        <f t="shared" si="45"/>
        <v>-</v>
      </c>
    </row>
    <row r="133" spans="1:17" ht="14.4" thickBot="1">
      <c r="A133" s="60" t="s">
        <v>18</v>
      </c>
      <c r="B133" s="61">
        <f>SUM(B129:B132)</f>
        <v>0</v>
      </c>
      <c r="C133" s="62">
        <f>SUM(C129:C132)</f>
        <v>0</v>
      </c>
      <c r="D133" s="63">
        <f>SUM(D129:D132)</f>
        <v>0</v>
      </c>
      <c r="E133" s="64">
        <f t="shared" ref="E133:P133" si="48">SUM(E129:E132)</f>
        <v>0</v>
      </c>
      <c r="F133" s="64">
        <f t="shared" si="48"/>
        <v>0</v>
      </c>
      <c r="G133" s="64">
        <f t="shared" si="48"/>
        <v>0</v>
      </c>
      <c r="H133" s="64">
        <f t="shared" si="48"/>
        <v>0</v>
      </c>
      <c r="I133" s="64">
        <f t="shared" si="48"/>
        <v>0</v>
      </c>
      <c r="J133" s="64">
        <f t="shared" si="48"/>
        <v>0</v>
      </c>
      <c r="K133" s="64">
        <f t="shared" si="48"/>
        <v>0</v>
      </c>
      <c r="L133" s="64">
        <f t="shared" si="48"/>
        <v>0</v>
      </c>
      <c r="M133" s="64">
        <f t="shared" si="48"/>
        <v>0</v>
      </c>
      <c r="N133" s="64">
        <f t="shared" si="48"/>
        <v>0</v>
      </c>
      <c r="O133" s="62">
        <f t="shared" si="48"/>
        <v>0</v>
      </c>
      <c r="P133" s="61">
        <f t="shared" si="48"/>
        <v>0</v>
      </c>
      <c r="Q133" s="65" t="str">
        <f t="shared" si="45"/>
        <v>-</v>
      </c>
    </row>
    <row r="134" spans="1:17" ht="14.4" thickBot="1">
      <c r="A134" s="13" t="s">
        <v>29</v>
      </c>
      <c r="B134" s="66">
        <f>+B135+B136</f>
        <v>0</v>
      </c>
      <c r="C134" s="67">
        <f t="shared" ref="C134:P134" si="49">SUM(C135:C136)</f>
        <v>0</v>
      </c>
      <c r="D134" s="68">
        <f t="shared" si="49"/>
        <v>0</v>
      </c>
      <c r="E134" s="69">
        <f t="shared" si="49"/>
        <v>0</v>
      </c>
      <c r="F134" s="69">
        <f t="shared" si="49"/>
        <v>0</v>
      </c>
      <c r="G134" s="69">
        <f t="shared" si="49"/>
        <v>0</v>
      </c>
      <c r="H134" s="69">
        <f t="shared" si="49"/>
        <v>0</v>
      </c>
      <c r="I134" s="69">
        <f t="shared" si="49"/>
        <v>0</v>
      </c>
      <c r="J134" s="69">
        <f t="shared" si="49"/>
        <v>0</v>
      </c>
      <c r="K134" s="69">
        <f t="shared" si="49"/>
        <v>0</v>
      </c>
      <c r="L134" s="69">
        <f t="shared" si="49"/>
        <v>0</v>
      </c>
      <c r="M134" s="69">
        <f t="shared" si="49"/>
        <v>0</v>
      </c>
      <c r="N134" s="69">
        <f t="shared" si="49"/>
        <v>0</v>
      </c>
      <c r="O134" s="70">
        <f t="shared" si="49"/>
        <v>0</v>
      </c>
      <c r="P134" s="66">
        <f t="shared" si="49"/>
        <v>0</v>
      </c>
      <c r="Q134" s="71" t="str">
        <f t="shared" si="45"/>
        <v>-</v>
      </c>
    </row>
    <row r="135" spans="1:17">
      <c r="A135" s="72" t="s">
        <v>19</v>
      </c>
      <c r="B135" s="73"/>
      <c r="C135" s="74"/>
      <c r="D135" s="75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7"/>
      <c r="P135" s="78">
        <f>SUM(D135:O135)</f>
        <v>0</v>
      </c>
      <c r="Q135" s="79" t="str">
        <f t="shared" si="45"/>
        <v>-</v>
      </c>
    </row>
    <row r="136" spans="1:17" ht="14.4" thickBot="1">
      <c r="A136" s="80" t="s">
        <v>20</v>
      </c>
      <c r="B136" s="81"/>
      <c r="C136" s="82"/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5"/>
      <c r="P136" s="86">
        <f>SUM(D136:O136)</f>
        <v>0</v>
      </c>
      <c r="Q136" s="87" t="str">
        <f t="shared" si="45"/>
        <v>-</v>
      </c>
    </row>
    <row r="137" spans="1:17" ht="14.4" thickBot="1">
      <c r="A137" s="13" t="s">
        <v>30</v>
      </c>
      <c r="B137" s="14">
        <f t="shared" ref="B137:P137" si="50">SUM(B138:B139)</f>
        <v>0</v>
      </c>
      <c r="C137" s="67">
        <f t="shared" si="50"/>
        <v>0</v>
      </c>
      <c r="D137" s="68">
        <f t="shared" si="50"/>
        <v>0</v>
      </c>
      <c r="E137" s="69">
        <f t="shared" si="50"/>
        <v>0</v>
      </c>
      <c r="F137" s="69">
        <f t="shared" si="50"/>
        <v>0</v>
      </c>
      <c r="G137" s="69">
        <f t="shared" si="50"/>
        <v>0</v>
      </c>
      <c r="H137" s="69">
        <f t="shared" si="50"/>
        <v>0</v>
      </c>
      <c r="I137" s="69">
        <f t="shared" si="50"/>
        <v>0</v>
      </c>
      <c r="J137" s="69">
        <f t="shared" si="50"/>
        <v>0</v>
      </c>
      <c r="K137" s="69">
        <f t="shared" si="50"/>
        <v>0</v>
      </c>
      <c r="L137" s="69">
        <f t="shared" si="50"/>
        <v>0</v>
      </c>
      <c r="M137" s="69">
        <f t="shared" si="50"/>
        <v>0</v>
      </c>
      <c r="N137" s="69">
        <f t="shared" si="50"/>
        <v>0</v>
      </c>
      <c r="O137" s="70">
        <f t="shared" si="50"/>
        <v>0</v>
      </c>
      <c r="P137" s="66">
        <f t="shared" si="50"/>
        <v>0</v>
      </c>
      <c r="Q137" s="71" t="str">
        <f t="shared" si="45"/>
        <v>-</v>
      </c>
    </row>
    <row r="138" spans="1:17">
      <c r="A138" s="72" t="s">
        <v>106</v>
      </c>
      <c r="B138" s="73"/>
      <c r="C138" s="74"/>
      <c r="D138" s="75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7"/>
      <c r="P138" s="78">
        <f>SUM(D138:O138)</f>
        <v>0</v>
      </c>
      <c r="Q138" s="79" t="str">
        <f t="shared" si="45"/>
        <v>-</v>
      </c>
    </row>
    <row r="139" spans="1:17" ht="14.4" thickBot="1">
      <c r="A139" s="122" t="s">
        <v>105</v>
      </c>
      <c r="B139" s="123"/>
      <c r="C139" s="124"/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7"/>
      <c r="P139" s="128">
        <f>SUM(D139:O139)</f>
        <v>0</v>
      </c>
      <c r="Q139" s="129" t="str">
        <f t="shared" si="45"/>
        <v>-</v>
      </c>
    </row>
    <row r="140" spans="1:17" ht="14.4" thickBot="1">
      <c r="C140" s="3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9"/>
    </row>
    <row r="141" spans="1:17" ht="14.4" thickBot="1">
      <c r="A141" s="13" t="s">
        <v>86</v>
      </c>
      <c r="B141" s="14"/>
      <c r="C141" s="15"/>
      <c r="D141" s="16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20"/>
      <c r="P141" s="14">
        <f>SUM(D141:O141)</f>
        <v>0</v>
      </c>
      <c r="Q141" s="18" t="str">
        <f>IF(P141=0,"-",P141/C141-1)</f>
        <v>-</v>
      </c>
    </row>
    <row r="142" spans="1:17" ht="14.4" thickBot="1">
      <c r="A142" s="90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2"/>
    </row>
    <row r="143" spans="1:17" ht="14.4" thickBot="1">
      <c r="A143" s="13" t="s">
        <v>31</v>
      </c>
      <c r="B143" s="14">
        <f t="shared" ref="B143:G143" si="51">+B124+B134+B137+B141</f>
        <v>0</v>
      </c>
      <c r="C143" s="15">
        <f t="shared" si="51"/>
        <v>0</v>
      </c>
      <c r="D143" s="16">
        <f t="shared" si="51"/>
        <v>0</v>
      </c>
      <c r="E143" s="17">
        <f t="shared" si="51"/>
        <v>0</v>
      </c>
      <c r="F143" s="17">
        <f t="shared" si="51"/>
        <v>0</v>
      </c>
      <c r="G143" s="17">
        <f t="shared" si="51"/>
        <v>0</v>
      </c>
      <c r="H143" s="17">
        <f t="shared" ref="H143:P143" si="52">+H124+H134+H137+H141</f>
        <v>0</v>
      </c>
      <c r="I143" s="17">
        <f t="shared" si="52"/>
        <v>0</v>
      </c>
      <c r="J143" s="17">
        <f t="shared" si="52"/>
        <v>0</v>
      </c>
      <c r="K143" s="17">
        <f t="shared" si="52"/>
        <v>0</v>
      </c>
      <c r="L143" s="17">
        <f t="shared" si="52"/>
        <v>0</v>
      </c>
      <c r="M143" s="17">
        <f t="shared" si="52"/>
        <v>0</v>
      </c>
      <c r="N143" s="17">
        <f t="shared" si="52"/>
        <v>0</v>
      </c>
      <c r="O143" s="15">
        <f t="shared" si="52"/>
        <v>0</v>
      </c>
      <c r="P143" s="14">
        <f t="shared" si="52"/>
        <v>0</v>
      </c>
      <c r="Q143" s="18" t="str">
        <f>IF(P143=0,"-",P143/C143-1)</f>
        <v>-</v>
      </c>
    </row>
    <row r="145" spans="1:17" ht="14.4" thickBot="1"/>
    <row r="146" spans="1:17" ht="18.600000000000001" thickBot="1">
      <c r="A146" s="5"/>
      <c r="B146" s="2372" t="s">
        <v>34</v>
      </c>
      <c r="C146" s="2373"/>
      <c r="D146" s="2313" t="s">
        <v>95</v>
      </c>
      <c r="E146" s="2314"/>
      <c r="F146" s="2314"/>
      <c r="G146" s="2314"/>
      <c r="H146" s="2314"/>
      <c r="I146" s="2314"/>
      <c r="J146" s="2314"/>
      <c r="K146" s="2314"/>
      <c r="L146" s="2314"/>
      <c r="M146" s="2314"/>
      <c r="N146" s="2314"/>
      <c r="O146" s="2314"/>
      <c r="P146" s="2315"/>
      <c r="Q146" s="6" t="s">
        <v>294</v>
      </c>
    </row>
    <row r="147" spans="1:17" ht="28.2" thickBot="1">
      <c r="A147" s="7"/>
      <c r="B147" s="8" t="s">
        <v>87</v>
      </c>
      <c r="C147" s="8" t="s">
        <v>0</v>
      </c>
      <c r="D147" s="9" t="s">
        <v>1</v>
      </c>
      <c r="E147" s="10" t="s">
        <v>2</v>
      </c>
      <c r="F147" s="10" t="s">
        <v>3</v>
      </c>
      <c r="G147" s="10" t="s">
        <v>4</v>
      </c>
      <c r="H147" s="10" t="s">
        <v>5</v>
      </c>
      <c r="I147" s="10" t="s">
        <v>6</v>
      </c>
      <c r="J147" s="10" t="s">
        <v>7</v>
      </c>
      <c r="K147" s="10" t="s">
        <v>8</v>
      </c>
      <c r="L147" s="10" t="s">
        <v>9</v>
      </c>
      <c r="M147" s="10" t="s">
        <v>10</v>
      </c>
      <c r="N147" s="10" t="s">
        <v>11</v>
      </c>
      <c r="O147" s="10" t="s">
        <v>12</v>
      </c>
      <c r="P147" s="11" t="s">
        <v>13</v>
      </c>
      <c r="Q147" s="12" t="s">
        <v>14</v>
      </c>
    </row>
    <row r="148" spans="1:17" ht="14.4" thickBot="1">
      <c r="A148" s="13" t="s">
        <v>28</v>
      </c>
      <c r="B148" s="14">
        <f>B151+B152+B157</f>
        <v>0</v>
      </c>
      <c r="C148" s="15">
        <f t="shared" ref="C148:P148" si="53">C151+C152+C157</f>
        <v>0</v>
      </c>
      <c r="D148" s="16">
        <f t="shared" si="53"/>
        <v>0</v>
      </c>
      <c r="E148" s="17">
        <f t="shared" si="53"/>
        <v>0</v>
      </c>
      <c r="F148" s="17">
        <f t="shared" si="53"/>
        <v>0</v>
      </c>
      <c r="G148" s="17">
        <f t="shared" si="53"/>
        <v>0</v>
      </c>
      <c r="H148" s="17">
        <f t="shared" si="53"/>
        <v>0</v>
      </c>
      <c r="I148" s="17">
        <f t="shared" si="53"/>
        <v>0</v>
      </c>
      <c r="J148" s="17">
        <f t="shared" si="53"/>
        <v>0</v>
      </c>
      <c r="K148" s="17">
        <f t="shared" si="53"/>
        <v>0</v>
      </c>
      <c r="L148" s="17">
        <f t="shared" si="53"/>
        <v>0</v>
      </c>
      <c r="M148" s="17">
        <f t="shared" si="53"/>
        <v>0</v>
      </c>
      <c r="N148" s="17">
        <f t="shared" si="53"/>
        <v>0</v>
      </c>
      <c r="O148" s="15">
        <f t="shared" si="53"/>
        <v>0</v>
      </c>
      <c r="P148" s="14">
        <f t="shared" si="53"/>
        <v>0</v>
      </c>
      <c r="Q148" s="18" t="str">
        <f t="shared" ref="Q148:Q163" si="54">IF(P148=0,"-",P148/C148-1)</f>
        <v>-</v>
      </c>
    </row>
    <row r="149" spans="1:17">
      <c r="A149" s="19" t="s">
        <v>15</v>
      </c>
      <c r="B149" s="20"/>
      <c r="C149" s="21"/>
      <c r="D149" s="22"/>
      <c r="E149" s="23"/>
      <c r="F149" s="23"/>
      <c r="G149" s="23"/>
      <c r="H149" s="24"/>
      <c r="I149" s="24"/>
      <c r="J149" s="24"/>
      <c r="K149" s="24"/>
      <c r="L149" s="24"/>
      <c r="M149" s="24"/>
      <c r="N149" s="24"/>
      <c r="O149" s="25"/>
      <c r="P149" s="20">
        <f t="shared" ref="P149:P156" si="55">SUM(D149:O149)</f>
        <v>0</v>
      </c>
      <c r="Q149" s="26" t="str">
        <f t="shared" si="54"/>
        <v>-</v>
      </c>
    </row>
    <row r="150" spans="1:17">
      <c r="A150" s="28" t="s">
        <v>16</v>
      </c>
      <c r="B150" s="29"/>
      <c r="C150" s="30"/>
      <c r="D150" s="31"/>
      <c r="E150" s="32"/>
      <c r="F150" s="32"/>
      <c r="G150" s="32"/>
      <c r="H150" s="33"/>
      <c r="I150" s="33"/>
      <c r="J150" s="33"/>
      <c r="K150" s="33"/>
      <c r="L150" s="33"/>
      <c r="M150" s="33"/>
      <c r="N150" s="33"/>
      <c r="O150" s="34"/>
      <c r="P150" s="29">
        <f t="shared" si="55"/>
        <v>0</v>
      </c>
      <c r="Q150" s="35" t="str">
        <f t="shared" si="54"/>
        <v>-</v>
      </c>
    </row>
    <row r="151" spans="1:17">
      <c r="A151" s="36" t="s">
        <v>27</v>
      </c>
      <c r="B151" s="37">
        <f>+B149+B150</f>
        <v>0</v>
      </c>
      <c r="C151" s="38">
        <f>+C150+C149</f>
        <v>0</v>
      </c>
      <c r="D151" s="39">
        <f t="shared" ref="D151:O151" si="56">SUM(D149:D150)</f>
        <v>0</v>
      </c>
      <c r="E151" s="40">
        <f t="shared" si="56"/>
        <v>0</v>
      </c>
      <c r="F151" s="40">
        <f t="shared" si="56"/>
        <v>0</v>
      </c>
      <c r="G151" s="40">
        <f t="shared" si="56"/>
        <v>0</v>
      </c>
      <c r="H151" s="40">
        <f t="shared" si="56"/>
        <v>0</v>
      </c>
      <c r="I151" s="40">
        <f t="shared" si="56"/>
        <v>0</v>
      </c>
      <c r="J151" s="40">
        <f t="shared" si="56"/>
        <v>0</v>
      </c>
      <c r="K151" s="40">
        <f t="shared" si="56"/>
        <v>0</v>
      </c>
      <c r="L151" s="40">
        <f t="shared" si="56"/>
        <v>0</v>
      </c>
      <c r="M151" s="40">
        <f t="shared" si="56"/>
        <v>0</v>
      </c>
      <c r="N151" s="40">
        <f t="shared" si="56"/>
        <v>0</v>
      </c>
      <c r="O151" s="38">
        <f t="shared" si="56"/>
        <v>0</v>
      </c>
      <c r="P151" s="37">
        <f t="shared" si="55"/>
        <v>0</v>
      </c>
      <c r="Q151" s="41" t="str">
        <f t="shared" si="54"/>
        <v>-</v>
      </c>
    </row>
    <row r="152" spans="1:17">
      <c r="A152" s="42" t="s">
        <v>17</v>
      </c>
      <c r="B152" s="43"/>
      <c r="C152" s="44"/>
      <c r="D152" s="45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7"/>
      <c r="P152" s="48">
        <f t="shared" si="55"/>
        <v>0</v>
      </c>
      <c r="Q152" s="35" t="str">
        <f t="shared" si="54"/>
        <v>-</v>
      </c>
    </row>
    <row r="153" spans="1:17">
      <c r="A153" s="49" t="s">
        <v>81</v>
      </c>
      <c r="B153" s="37"/>
      <c r="C153" s="119"/>
      <c r="D153" s="39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38"/>
      <c r="P153" s="56">
        <f t="shared" si="55"/>
        <v>0</v>
      </c>
      <c r="Q153" s="57" t="str">
        <f t="shared" si="54"/>
        <v>-</v>
      </c>
    </row>
    <row r="154" spans="1:17">
      <c r="A154" s="58" t="s">
        <v>82</v>
      </c>
      <c r="B154" s="43"/>
      <c r="C154" s="44"/>
      <c r="D154" s="45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7"/>
      <c r="P154" s="48">
        <f t="shared" si="55"/>
        <v>0</v>
      </c>
      <c r="Q154" s="35" t="str">
        <f t="shared" si="54"/>
        <v>-</v>
      </c>
    </row>
    <row r="155" spans="1:17">
      <c r="A155" s="49" t="s">
        <v>83</v>
      </c>
      <c r="B155" s="50"/>
      <c r="C155" s="51"/>
      <c r="D155" s="52"/>
      <c r="E155" s="53"/>
      <c r="F155" s="54"/>
      <c r="G155" s="53"/>
      <c r="H155" s="53"/>
      <c r="I155" s="53"/>
      <c r="J155" s="53"/>
      <c r="K155" s="53"/>
      <c r="L155" s="53"/>
      <c r="M155" s="53"/>
      <c r="N155" s="53"/>
      <c r="O155" s="55"/>
      <c r="P155" s="56">
        <f t="shared" si="55"/>
        <v>0</v>
      </c>
      <c r="Q155" s="57" t="str">
        <f t="shared" si="54"/>
        <v>-</v>
      </c>
    </row>
    <row r="156" spans="1:17">
      <c r="A156" s="58" t="s">
        <v>84</v>
      </c>
      <c r="B156" s="29"/>
      <c r="C156" s="30"/>
      <c r="D156" s="59"/>
      <c r="E156" s="33"/>
      <c r="F156" s="33"/>
      <c r="G156" s="33"/>
      <c r="H156" s="33"/>
      <c r="I156" s="32"/>
      <c r="J156" s="32"/>
      <c r="K156" s="33"/>
      <c r="L156" s="33"/>
      <c r="M156" s="33"/>
      <c r="N156" s="33"/>
      <c r="O156" s="34"/>
      <c r="P156" s="48">
        <f t="shared" si="55"/>
        <v>0</v>
      </c>
      <c r="Q156" s="35" t="str">
        <f t="shared" si="54"/>
        <v>-</v>
      </c>
    </row>
    <row r="157" spans="1:17" ht="14.4" thickBot="1">
      <c r="A157" s="60" t="s">
        <v>18</v>
      </c>
      <c r="B157" s="61">
        <f>SUM(B153:B156)</f>
        <v>0</v>
      </c>
      <c r="C157" s="62">
        <f>SUM(C153:C156)</f>
        <v>0</v>
      </c>
      <c r="D157" s="63">
        <f>SUM(D153:D156)</f>
        <v>0</v>
      </c>
      <c r="E157" s="64">
        <f t="shared" ref="E157:P157" si="57">SUM(E153:E156)</f>
        <v>0</v>
      </c>
      <c r="F157" s="64">
        <f t="shared" si="57"/>
        <v>0</v>
      </c>
      <c r="G157" s="64">
        <f t="shared" si="57"/>
        <v>0</v>
      </c>
      <c r="H157" s="64">
        <f t="shared" si="57"/>
        <v>0</v>
      </c>
      <c r="I157" s="64">
        <f t="shared" si="57"/>
        <v>0</v>
      </c>
      <c r="J157" s="64">
        <f t="shared" si="57"/>
        <v>0</v>
      </c>
      <c r="K157" s="64">
        <f t="shared" si="57"/>
        <v>0</v>
      </c>
      <c r="L157" s="64">
        <f t="shared" si="57"/>
        <v>0</v>
      </c>
      <c r="M157" s="64">
        <f t="shared" si="57"/>
        <v>0</v>
      </c>
      <c r="N157" s="64">
        <f t="shared" si="57"/>
        <v>0</v>
      </c>
      <c r="O157" s="62">
        <f t="shared" si="57"/>
        <v>0</v>
      </c>
      <c r="P157" s="61">
        <f t="shared" si="57"/>
        <v>0</v>
      </c>
      <c r="Q157" s="65" t="str">
        <f t="shared" si="54"/>
        <v>-</v>
      </c>
    </row>
    <row r="158" spans="1:17" ht="14.4" thickBot="1">
      <c r="A158" s="13" t="s">
        <v>29</v>
      </c>
      <c r="B158" s="66">
        <f>+B159+B160</f>
        <v>0</v>
      </c>
      <c r="C158" s="67">
        <f t="shared" ref="C158:P158" si="58">SUM(C159:C160)</f>
        <v>0</v>
      </c>
      <c r="D158" s="68">
        <f t="shared" si="58"/>
        <v>0</v>
      </c>
      <c r="E158" s="69">
        <f t="shared" si="58"/>
        <v>0</v>
      </c>
      <c r="F158" s="69">
        <f t="shared" si="58"/>
        <v>0</v>
      </c>
      <c r="G158" s="69">
        <f t="shared" si="58"/>
        <v>0</v>
      </c>
      <c r="H158" s="69">
        <f t="shared" si="58"/>
        <v>0</v>
      </c>
      <c r="I158" s="69">
        <f t="shared" si="58"/>
        <v>0</v>
      </c>
      <c r="J158" s="69">
        <f t="shared" si="58"/>
        <v>0</v>
      </c>
      <c r="K158" s="69">
        <f t="shared" si="58"/>
        <v>0</v>
      </c>
      <c r="L158" s="69">
        <f t="shared" si="58"/>
        <v>0</v>
      </c>
      <c r="M158" s="69">
        <f t="shared" si="58"/>
        <v>0</v>
      </c>
      <c r="N158" s="69">
        <f t="shared" si="58"/>
        <v>0</v>
      </c>
      <c r="O158" s="70">
        <f t="shared" si="58"/>
        <v>0</v>
      </c>
      <c r="P158" s="66">
        <f t="shared" si="58"/>
        <v>0</v>
      </c>
      <c r="Q158" s="71" t="str">
        <f t="shared" si="54"/>
        <v>-</v>
      </c>
    </row>
    <row r="159" spans="1:17">
      <c r="A159" s="72" t="s">
        <v>19</v>
      </c>
      <c r="B159" s="73"/>
      <c r="C159" s="74"/>
      <c r="D159" s="75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7"/>
      <c r="P159" s="78">
        <f>SUM(D159:O159)</f>
        <v>0</v>
      </c>
      <c r="Q159" s="79" t="str">
        <f t="shared" si="54"/>
        <v>-</v>
      </c>
    </row>
    <row r="160" spans="1:17" ht="14.4" thickBot="1">
      <c r="A160" s="80" t="s">
        <v>20</v>
      </c>
      <c r="B160" s="81"/>
      <c r="C160" s="82"/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5"/>
      <c r="P160" s="86">
        <f>SUM(D160:O160)</f>
        <v>0</v>
      </c>
      <c r="Q160" s="87" t="str">
        <f t="shared" si="54"/>
        <v>-</v>
      </c>
    </row>
    <row r="161" spans="1:17" ht="14.4" thickBot="1">
      <c r="A161" s="13" t="s">
        <v>30</v>
      </c>
      <c r="B161" s="14">
        <f t="shared" ref="B161:P161" si="59">SUM(B162:B163)</f>
        <v>0</v>
      </c>
      <c r="C161" s="67">
        <f t="shared" si="59"/>
        <v>0</v>
      </c>
      <c r="D161" s="68">
        <f t="shared" si="59"/>
        <v>0</v>
      </c>
      <c r="E161" s="69">
        <f t="shared" si="59"/>
        <v>0</v>
      </c>
      <c r="F161" s="69">
        <f t="shared" si="59"/>
        <v>0</v>
      </c>
      <c r="G161" s="69">
        <f t="shared" si="59"/>
        <v>0</v>
      </c>
      <c r="H161" s="69">
        <f t="shared" si="59"/>
        <v>0</v>
      </c>
      <c r="I161" s="69">
        <f t="shared" si="59"/>
        <v>0</v>
      </c>
      <c r="J161" s="69">
        <f t="shared" si="59"/>
        <v>0</v>
      </c>
      <c r="K161" s="69">
        <f t="shared" si="59"/>
        <v>0</v>
      </c>
      <c r="L161" s="69">
        <f t="shared" si="59"/>
        <v>0</v>
      </c>
      <c r="M161" s="69">
        <f t="shared" si="59"/>
        <v>0</v>
      </c>
      <c r="N161" s="69">
        <f t="shared" si="59"/>
        <v>0</v>
      </c>
      <c r="O161" s="70">
        <f t="shared" si="59"/>
        <v>0</v>
      </c>
      <c r="P161" s="66">
        <f t="shared" si="59"/>
        <v>0</v>
      </c>
      <c r="Q161" s="71" t="str">
        <f t="shared" si="54"/>
        <v>-</v>
      </c>
    </row>
    <row r="162" spans="1:17">
      <c r="A162" s="72" t="s">
        <v>106</v>
      </c>
      <c r="B162" s="73"/>
      <c r="C162" s="74"/>
      <c r="D162" s="75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7"/>
      <c r="P162" s="78">
        <f>SUM(D162:O162)</f>
        <v>0</v>
      </c>
      <c r="Q162" s="79" t="str">
        <f t="shared" si="54"/>
        <v>-</v>
      </c>
    </row>
    <row r="163" spans="1:17" ht="14.4" thickBot="1">
      <c r="A163" s="122" t="s">
        <v>105</v>
      </c>
      <c r="B163" s="123"/>
      <c r="C163" s="124"/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7"/>
      <c r="P163" s="128">
        <f>SUM(D163:O163)</f>
        <v>0</v>
      </c>
      <c r="Q163" s="129" t="str">
        <f t="shared" si="54"/>
        <v>-</v>
      </c>
    </row>
    <row r="164" spans="1:17" ht="14.4" thickBot="1">
      <c r="C164" s="3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9"/>
    </row>
    <row r="165" spans="1:17" ht="14.4" thickBot="1">
      <c r="A165" s="13" t="s">
        <v>86</v>
      </c>
      <c r="B165" s="14"/>
      <c r="C165" s="15"/>
      <c r="D165" s="16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20"/>
      <c r="P165" s="14">
        <f>SUM(D165:O165)</f>
        <v>0</v>
      </c>
      <c r="Q165" s="18" t="str">
        <f>IF(P165=0,"-",P165/C165-1)</f>
        <v>-</v>
      </c>
    </row>
    <row r="166" spans="1:17" ht="14.4" thickBot="1">
      <c r="A166" s="90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2"/>
    </row>
    <row r="167" spans="1:17" ht="14.4" thickBot="1">
      <c r="A167" s="13" t="s">
        <v>31</v>
      </c>
      <c r="B167" s="14">
        <f t="shared" ref="B167:G167" si="60">+B148+B158+B161+B165</f>
        <v>0</v>
      </c>
      <c r="C167" s="15">
        <f t="shared" si="60"/>
        <v>0</v>
      </c>
      <c r="D167" s="16">
        <f t="shared" si="60"/>
        <v>0</v>
      </c>
      <c r="E167" s="17">
        <f t="shared" si="60"/>
        <v>0</v>
      </c>
      <c r="F167" s="17">
        <f t="shared" si="60"/>
        <v>0</v>
      </c>
      <c r="G167" s="17">
        <f t="shared" si="60"/>
        <v>0</v>
      </c>
      <c r="H167" s="17">
        <f t="shared" ref="H167:P167" si="61">+H148+H158+H161+H165</f>
        <v>0</v>
      </c>
      <c r="I167" s="17">
        <f t="shared" si="61"/>
        <v>0</v>
      </c>
      <c r="J167" s="17">
        <f t="shared" si="61"/>
        <v>0</v>
      </c>
      <c r="K167" s="17">
        <f t="shared" si="61"/>
        <v>0</v>
      </c>
      <c r="L167" s="17">
        <f t="shared" si="61"/>
        <v>0</v>
      </c>
      <c r="M167" s="17">
        <f t="shared" si="61"/>
        <v>0</v>
      </c>
      <c r="N167" s="17">
        <f t="shared" si="61"/>
        <v>0</v>
      </c>
      <c r="O167" s="15">
        <f t="shared" si="61"/>
        <v>0</v>
      </c>
      <c r="P167" s="14">
        <f t="shared" si="61"/>
        <v>0</v>
      </c>
      <c r="Q167" s="18" t="str">
        <f>IF(P167=0,"-",P167/C167-1)</f>
        <v>-</v>
      </c>
    </row>
    <row r="169" spans="1:17" ht="14.4" thickBot="1"/>
    <row r="170" spans="1:17" ht="18.600000000000001" thickBot="1">
      <c r="A170" s="5"/>
      <c r="B170" s="2372" t="s">
        <v>34</v>
      </c>
      <c r="C170" s="2373"/>
      <c r="D170" s="2313" t="s">
        <v>96</v>
      </c>
      <c r="E170" s="2314"/>
      <c r="F170" s="2314"/>
      <c r="G170" s="2314"/>
      <c r="H170" s="2314"/>
      <c r="I170" s="2314"/>
      <c r="J170" s="2314"/>
      <c r="K170" s="2314"/>
      <c r="L170" s="2314"/>
      <c r="M170" s="2314"/>
      <c r="N170" s="2314"/>
      <c r="O170" s="2314"/>
      <c r="P170" s="2315"/>
      <c r="Q170" s="6" t="s">
        <v>294</v>
      </c>
    </row>
    <row r="171" spans="1:17" ht="28.2" thickBot="1">
      <c r="A171" s="7"/>
      <c r="B171" s="8" t="s">
        <v>87</v>
      </c>
      <c r="C171" s="8" t="s">
        <v>0</v>
      </c>
      <c r="D171" s="9" t="s">
        <v>1</v>
      </c>
      <c r="E171" s="10" t="s">
        <v>2</v>
      </c>
      <c r="F171" s="10" t="s">
        <v>3</v>
      </c>
      <c r="G171" s="10" t="s">
        <v>4</v>
      </c>
      <c r="H171" s="10" t="s">
        <v>5</v>
      </c>
      <c r="I171" s="10" t="s">
        <v>6</v>
      </c>
      <c r="J171" s="10" t="s">
        <v>7</v>
      </c>
      <c r="K171" s="10" t="s">
        <v>8</v>
      </c>
      <c r="L171" s="10" t="s">
        <v>9</v>
      </c>
      <c r="M171" s="10" t="s">
        <v>10</v>
      </c>
      <c r="N171" s="10" t="s">
        <v>11</v>
      </c>
      <c r="O171" s="10" t="s">
        <v>12</v>
      </c>
      <c r="P171" s="11" t="s">
        <v>13</v>
      </c>
      <c r="Q171" s="12" t="s">
        <v>14</v>
      </c>
    </row>
    <row r="172" spans="1:17" ht="14.4" thickBot="1">
      <c r="A172" s="13" t="s">
        <v>28</v>
      </c>
      <c r="B172" s="14">
        <f>B175+B176+B181</f>
        <v>0</v>
      </c>
      <c r="C172" s="15">
        <f t="shared" ref="C172:P172" si="62">C175+C176+C181</f>
        <v>0</v>
      </c>
      <c r="D172" s="16">
        <f t="shared" si="62"/>
        <v>0</v>
      </c>
      <c r="E172" s="17">
        <f t="shared" si="62"/>
        <v>0</v>
      </c>
      <c r="F172" s="17">
        <f t="shared" si="62"/>
        <v>0</v>
      </c>
      <c r="G172" s="17">
        <f t="shared" si="62"/>
        <v>0</v>
      </c>
      <c r="H172" s="17">
        <f t="shared" si="62"/>
        <v>0</v>
      </c>
      <c r="I172" s="17">
        <f t="shared" si="62"/>
        <v>0</v>
      </c>
      <c r="J172" s="17">
        <f t="shared" si="62"/>
        <v>0</v>
      </c>
      <c r="K172" s="17">
        <f t="shared" si="62"/>
        <v>0</v>
      </c>
      <c r="L172" s="17">
        <f t="shared" si="62"/>
        <v>0</v>
      </c>
      <c r="M172" s="17">
        <f t="shared" si="62"/>
        <v>0</v>
      </c>
      <c r="N172" s="17">
        <f t="shared" si="62"/>
        <v>0</v>
      </c>
      <c r="O172" s="15">
        <f t="shared" si="62"/>
        <v>0</v>
      </c>
      <c r="P172" s="14">
        <f t="shared" si="62"/>
        <v>0</v>
      </c>
      <c r="Q172" s="18" t="str">
        <f t="shared" ref="Q172:Q187" si="63">IF(P172=0,"-",P172/C172-1)</f>
        <v>-</v>
      </c>
    </row>
    <row r="173" spans="1:17">
      <c r="A173" s="19" t="s">
        <v>15</v>
      </c>
      <c r="B173" s="20"/>
      <c r="C173" s="21"/>
      <c r="D173" s="22"/>
      <c r="E173" s="23"/>
      <c r="F173" s="23"/>
      <c r="G173" s="23"/>
      <c r="H173" s="24"/>
      <c r="I173" s="24"/>
      <c r="J173" s="24"/>
      <c r="K173" s="24"/>
      <c r="L173" s="24"/>
      <c r="M173" s="24"/>
      <c r="N173" s="24"/>
      <c r="O173" s="25"/>
      <c r="P173" s="20">
        <f t="shared" ref="P173:P180" si="64">SUM(D173:O173)</f>
        <v>0</v>
      </c>
      <c r="Q173" s="26" t="str">
        <f t="shared" si="63"/>
        <v>-</v>
      </c>
    </row>
    <row r="174" spans="1:17">
      <c r="A174" s="28" t="s">
        <v>16</v>
      </c>
      <c r="B174" s="29"/>
      <c r="C174" s="30"/>
      <c r="D174" s="31"/>
      <c r="E174" s="32"/>
      <c r="F174" s="32"/>
      <c r="G174" s="32"/>
      <c r="H174" s="33"/>
      <c r="I174" s="33"/>
      <c r="J174" s="33"/>
      <c r="K174" s="33"/>
      <c r="L174" s="33"/>
      <c r="M174" s="33"/>
      <c r="N174" s="33"/>
      <c r="O174" s="34"/>
      <c r="P174" s="29">
        <f t="shared" si="64"/>
        <v>0</v>
      </c>
      <c r="Q174" s="35" t="str">
        <f t="shared" si="63"/>
        <v>-</v>
      </c>
    </row>
    <row r="175" spans="1:17">
      <c r="A175" s="36" t="s">
        <v>27</v>
      </c>
      <c r="B175" s="37">
        <f>+B173+B174</f>
        <v>0</v>
      </c>
      <c r="C175" s="38">
        <f>+C174+C173</f>
        <v>0</v>
      </c>
      <c r="D175" s="39">
        <f t="shared" ref="D175:O175" si="65">SUM(D173:D174)</f>
        <v>0</v>
      </c>
      <c r="E175" s="40">
        <f t="shared" si="65"/>
        <v>0</v>
      </c>
      <c r="F175" s="40">
        <f t="shared" si="65"/>
        <v>0</v>
      </c>
      <c r="G175" s="40">
        <f t="shared" si="65"/>
        <v>0</v>
      </c>
      <c r="H175" s="40">
        <f t="shared" si="65"/>
        <v>0</v>
      </c>
      <c r="I175" s="40">
        <f t="shared" si="65"/>
        <v>0</v>
      </c>
      <c r="J175" s="40">
        <f t="shared" si="65"/>
        <v>0</v>
      </c>
      <c r="K175" s="40">
        <f t="shared" si="65"/>
        <v>0</v>
      </c>
      <c r="L175" s="40">
        <f t="shared" si="65"/>
        <v>0</v>
      </c>
      <c r="M175" s="40">
        <f t="shared" si="65"/>
        <v>0</v>
      </c>
      <c r="N175" s="40">
        <f t="shared" si="65"/>
        <v>0</v>
      </c>
      <c r="O175" s="38">
        <f t="shared" si="65"/>
        <v>0</v>
      </c>
      <c r="P175" s="37">
        <f t="shared" si="64"/>
        <v>0</v>
      </c>
      <c r="Q175" s="41" t="str">
        <f t="shared" si="63"/>
        <v>-</v>
      </c>
    </row>
    <row r="176" spans="1:17">
      <c r="A176" s="42" t="s">
        <v>17</v>
      </c>
      <c r="B176" s="43"/>
      <c r="C176" s="44"/>
      <c r="D176" s="45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7"/>
      <c r="P176" s="48">
        <f t="shared" si="64"/>
        <v>0</v>
      </c>
      <c r="Q176" s="35" t="str">
        <f t="shared" si="63"/>
        <v>-</v>
      </c>
    </row>
    <row r="177" spans="1:17">
      <c r="A177" s="49" t="s">
        <v>81</v>
      </c>
      <c r="B177" s="37"/>
      <c r="C177" s="119"/>
      <c r="D177" s="39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38"/>
      <c r="P177" s="56">
        <f t="shared" si="64"/>
        <v>0</v>
      </c>
      <c r="Q177" s="57" t="str">
        <f t="shared" si="63"/>
        <v>-</v>
      </c>
    </row>
    <row r="178" spans="1:17">
      <c r="A178" s="58" t="s">
        <v>82</v>
      </c>
      <c r="B178" s="43"/>
      <c r="C178" s="44"/>
      <c r="D178" s="45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7"/>
      <c r="P178" s="48">
        <f t="shared" si="64"/>
        <v>0</v>
      </c>
      <c r="Q178" s="35" t="str">
        <f t="shared" si="63"/>
        <v>-</v>
      </c>
    </row>
    <row r="179" spans="1:17">
      <c r="A179" s="49" t="s">
        <v>83</v>
      </c>
      <c r="B179" s="50"/>
      <c r="C179" s="51"/>
      <c r="D179" s="52"/>
      <c r="E179" s="53"/>
      <c r="F179" s="54"/>
      <c r="G179" s="53"/>
      <c r="H179" s="53"/>
      <c r="I179" s="53"/>
      <c r="J179" s="53"/>
      <c r="K179" s="53"/>
      <c r="L179" s="53"/>
      <c r="M179" s="53"/>
      <c r="N179" s="53"/>
      <c r="O179" s="55"/>
      <c r="P179" s="56">
        <f t="shared" si="64"/>
        <v>0</v>
      </c>
      <c r="Q179" s="57" t="str">
        <f t="shared" si="63"/>
        <v>-</v>
      </c>
    </row>
    <row r="180" spans="1:17">
      <c r="A180" s="58" t="s">
        <v>84</v>
      </c>
      <c r="B180" s="29"/>
      <c r="C180" s="30"/>
      <c r="D180" s="59"/>
      <c r="E180" s="33"/>
      <c r="F180" s="33"/>
      <c r="G180" s="33"/>
      <c r="H180" s="33"/>
      <c r="I180" s="32"/>
      <c r="J180" s="32"/>
      <c r="K180" s="33"/>
      <c r="L180" s="33"/>
      <c r="M180" s="33"/>
      <c r="N180" s="33"/>
      <c r="O180" s="34"/>
      <c r="P180" s="48">
        <f t="shared" si="64"/>
        <v>0</v>
      </c>
      <c r="Q180" s="35" t="str">
        <f t="shared" si="63"/>
        <v>-</v>
      </c>
    </row>
    <row r="181" spans="1:17" ht="14.4" thickBot="1">
      <c r="A181" s="60" t="s">
        <v>18</v>
      </c>
      <c r="B181" s="61">
        <f>SUM(B177:B180)</f>
        <v>0</v>
      </c>
      <c r="C181" s="62">
        <f>SUM(C177:C180)</f>
        <v>0</v>
      </c>
      <c r="D181" s="63">
        <f>SUM(D177:D180)</f>
        <v>0</v>
      </c>
      <c r="E181" s="64">
        <f t="shared" ref="E181:P181" si="66">SUM(E177:E180)</f>
        <v>0</v>
      </c>
      <c r="F181" s="64">
        <f t="shared" si="66"/>
        <v>0</v>
      </c>
      <c r="G181" s="64">
        <f t="shared" si="66"/>
        <v>0</v>
      </c>
      <c r="H181" s="64">
        <f t="shared" si="66"/>
        <v>0</v>
      </c>
      <c r="I181" s="64">
        <f t="shared" si="66"/>
        <v>0</v>
      </c>
      <c r="J181" s="64">
        <f t="shared" si="66"/>
        <v>0</v>
      </c>
      <c r="K181" s="64">
        <f t="shared" si="66"/>
        <v>0</v>
      </c>
      <c r="L181" s="64">
        <f t="shared" si="66"/>
        <v>0</v>
      </c>
      <c r="M181" s="64">
        <f t="shared" si="66"/>
        <v>0</v>
      </c>
      <c r="N181" s="64">
        <f t="shared" si="66"/>
        <v>0</v>
      </c>
      <c r="O181" s="62">
        <f t="shared" si="66"/>
        <v>0</v>
      </c>
      <c r="P181" s="61">
        <f t="shared" si="66"/>
        <v>0</v>
      </c>
      <c r="Q181" s="65" t="str">
        <f t="shared" si="63"/>
        <v>-</v>
      </c>
    </row>
    <row r="182" spans="1:17" ht="14.4" thickBot="1">
      <c r="A182" s="13" t="s">
        <v>29</v>
      </c>
      <c r="B182" s="66">
        <f>+B183+B184</f>
        <v>0</v>
      </c>
      <c r="C182" s="67">
        <f t="shared" ref="C182:P182" si="67">SUM(C183:C184)</f>
        <v>0</v>
      </c>
      <c r="D182" s="68">
        <f t="shared" si="67"/>
        <v>0</v>
      </c>
      <c r="E182" s="69">
        <f t="shared" si="67"/>
        <v>0</v>
      </c>
      <c r="F182" s="69">
        <f t="shared" si="67"/>
        <v>0</v>
      </c>
      <c r="G182" s="69">
        <f t="shared" si="67"/>
        <v>0</v>
      </c>
      <c r="H182" s="69">
        <f t="shared" si="67"/>
        <v>0</v>
      </c>
      <c r="I182" s="69">
        <f t="shared" si="67"/>
        <v>0</v>
      </c>
      <c r="J182" s="69">
        <f t="shared" si="67"/>
        <v>0</v>
      </c>
      <c r="K182" s="69">
        <f t="shared" si="67"/>
        <v>0</v>
      </c>
      <c r="L182" s="69">
        <f t="shared" si="67"/>
        <v>0</v>
      </c>
      <c r="M182" s="69">
        <f t="shared" si="67"/>
        <v>0</v>
      </c>
      <c r="N182" s="69">
        <f t="shared" si="67"/>
        <v>0</v>
      </c>
      <c r="O182" s="70">
        <f t="shared" si="67"/>
        <v>0</v>
      </c>
      <c r="P182" s="66">
        <f t="shared" si="67"/>
        <v>0</v>
      </c>
      <c r="Q182" s="71" t="str">
        <f t="shared" si="63"/>
        <v>-</v>
      </c>
    </row>
    <row r="183" spans="1:17">
      <c r="A183" s="72" t="s">
        <v>19</v>
      </c>
      <c r="B183" s="73"/>
      <c r="C183" s="74"/>
      <c r="D183" s="75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7"/>
      <c r="P183" s="78">
        <f>SUM(D183:O183)</f>
        <v>0</v>
      </c>
      <c r="Q183" s="79" t="str">
        <f t="shared" si="63"/>
        <v>-</v>
      </c>
    </row>
    <row r="184" spans="1:17" ht="14.4" thickBot="1">
      <c r="A184" s="80" t="s">
        <v>20</v>
      </c>
      <c r="B184" s="81"/>
      <c r="C184" s="82"/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5"/>
      <c r="P184" s="86">
        <f>SUM(D184:O184)</f>
        <v>0</v>
      </c>
      <c r="Q184" s="87" t="str">
        <f t="shared" si="63"/>
        <v>-</v>
      </c>
    </row>
    <row r="185" spans="1:17" ht="14.4" thickBot="1">
      <c r="A185" s="13" t="s">
        <v>30</v>
      </c>
      <c r="B185" s="14">
        <f t="shared" ref="B185:P185" si="68">SUM(B186:B187)</f>
        <v>0</v>
      </c>
      <c r="C185" s="67">
        <f t="shared" si="68"/>
        <v>0</v>
      </c>
      <c r="D185" s="68">
        <f t="shared" si="68"/>
        <v>0</v>
      </c>
      <c r="E185" s="69">
        <f t="shared" si="68"/>
        <v>0</v>
      </c>
      <c r="F185" s="69">
        <f t="shared" si="68"/>
        <v>0</v>
      </c>
      <c r="G185" s="69">
        <f t="shared" si="68"/>
        <v>0</v>
      </c>
      <c r="H185" s="69">
        <f t="shared" si="68"/>
        <v>0</v>
      </c>
      <c r="I185" s="69">
        <f t="shared" si="68"/>
        <v>0</v>
      </c>
      <c r="J185" s="69">
        <f t="shared" si="68"/>
        <v>0</v>
      </c>
      <c r="K185" s="69">
        <f t="shared" si="68"/>
        <v>0</v>
      </c>
      <c r="L185" s="69">
        <f t="shared" si="68"/>
        <v>0</v>
      </c>
      <c r="M185" s="69">
        <f t="shared" si="68"/>
        <v>0</v>
      </c>
      <c r="N185" s="69">
        <f t="shared" si="68"/>
        <v>0</v>
      </c>
      <c r="O185" s="70">
        <f t="shared" si="68"/>
        <v>0</v>
      </c>
      <c r="P185" s="66">
        <f t="shared" si="68"/>
        <v>0</v>
      </c>
      <c r="Q185" s="71" t="str">
        <f t="shared" si="63"/>
        <v>-</v>
      </c>
    </row>
    <row r="186" spans="1:17">
      <c r="A186" s="72" t="s">
        <v>106</v>
      </c>
      <c r="B186" s="73"/>
      <c r="C186" s="74"/>
      <c r="D186" s="75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7"/>
      <c r="P186" s="78">
        <f>SUM(D186:O186)</f>
        <v>0</v>
      </c>
      <c r="Q186" s="79" t="str">
        <f t="shared" si="63"/>
        <v>-</v>
      </c>
    </row>
    <row r="187" spans="1:17" ht="14.4" thickBot="1">
      <c r="A187" s="122" t="s">
        <v>105</v>
      </c>
      <c r="B187" s="123"/>
      <c r="C187" s="124"/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7"/>
      <c r="P187" s="128">
        <f>SUM(D187:O187)</f>
        <v>0</v>
      </c>
      <c r="Q187" s="129" t="str">
        <f t="shared" si="63"/>
        <v>-</v>
      </c>
    </row>
    <row r="188" spans="1:17" ht="14.4" thickBot="1">
      <c r="C188" s="3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9"/>
    </row>
    <row r="189" spans="1:17" ht="14.4" thickBot="1">
      <c r="A189" s="13" t="s">
        <v>86</v>
      </c>
      <c r="B189" s="14"/>
      <c r="C189" s="15"/>
      <c r="D189" s="16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20"/>
      <c r="P189" s="14">
        <f>SUM(D189:O189)</f>
        <v>0</v>
      </c>
      <c r="Q189" s="18" t="str">
        <f>IF(P189=0,"-",P189/C189-1)</f>
        <v>-</v>
      </c>
    </row>
    <row r="190" spans="1:17" ht="14.4" thickBot="1">
      <c r="A190" s="90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2"/>
    </row>
    <row r="191" spans="1:17" ht="14.4" thickBot="1">
      <c r="A191" s="13" t="s">
        <v>31</v>
      </c>
      <c r="B191" s="14">
        <f t="shared" ref="B191:G191" si="69">+B172+B182+B185+B189</f>
        <v>0</v>
      </c>
      <c r="C191" s="15">
        <f t="shared" si="69"/>
        <v>0</v>
      </c>
      <c r="D191" s="16">
        <f t="shared" si="69"/>
        <v>0</v>
      </c>
      <c r="E191" s="17">
        <f t="shared" si="69"/>
        <v>0</v>
      </c>
      <c r="F191" s="17">
        <f t="shared" si="69"/>
        <v>0</v>
      </c>
      <c r="G191" s="17">
        <f t="shared" si="69"/>
        <v>0</v>
      </c>
      <c r="H191" s="17">
        <f t="shared" ref="H191:P191" si="70">+H172+H182+H185+H189</f>
        <v>0</v>
      </c>
      <c r="I191" s="17">
        <f t="shared" si="70"/>
        <v>0</v>
      </c>
      <c r="J191" s="17">
        <f t="shared" si="70"/>
        <v>0</v>
      </c>
      <c r="K191" s="17">
        <f t="shared" si="70"/>
        <v>0</v>
      </c>
      <c r="L191" s="17">
        <f t="shared" si="70"/>
        <v>0</v>
      </c>
      <c r="M191" s="17">
        <f t="shared" si="70"/>
        <v>0</v>
      </c>
      <c r="N191" s="17">
        <f t="shared" si="70"/>
        <v>0</v>
      </c>
      <c r="O191" s="15">
        <f t="shared" si="70"/>
        <v>0</v>
      </c>
      <c r="P191" s="14">
        <f t="shared" si="70"/>
        <v>0</v>
      </c>
      <c r="Q191" s="18" t="str">
        <f>IF(P191=0,"-",P191/C191-1)</f>
        <v>-</v>
      </c>
    </row>
    <row r="193" spans="1:17" ht="14.4" thickBot="1"/>
    <row r="194" spans="1:17" ht="18.600000000000001" thickBot="1">
      <c r="A194" s="5"/>
      <c r="B194" s="2372" t="s">
        <v>34</v>
      </c>
      <c r="C194" s="2373"/>
      <c r="D194" s="2313" t="s">
        <v>97</v>
      </c>
      <c r="E194" s="2314"/>
      <c r="F194" s="2314"/>
      <c r="G194" s="2314"/>
      <c r="H194" s="2314"/>
      <c r="I194" s="2314"/>
      <c r="J194" s="2314"/>
      <c r="K194" s="2314"/>
      <c r="L194" s="2314"/>
      <c r="M194" s="2314"/>
      <c r="N194" s="2314"/>
      <c r="O194" s="2314"/>
      <c r="P194" s="2315"/>
      <c r="Q194" s="6" t="s">
        <v>294</v>
      </c>
    </row>
    <row r="195" spans="1:17" ht="28.2" thickBot="1">
      <c r="A195" s="7"/>
      <c r="B195" s="8" t="s">
        <v>87</v>
      </c>
      <c r="C195" s="8" t="s">
        <v>0</v>
      </c>
      <c r="D195" s="9" t="s">
        <v>1</v>
      </c>
      <c r="E195" s="10" t="s">
        <v>2</v>
      </c>
      <c r="F195" s="10" t="s">
        <v>3</v>
      </c>
      <c r="G195" s="10" t="s">
        <v>4</v>
      </c>
      <c r="H195" s="10" t="s">
        <v>5</v>
      </c>
      <c r="I195" s="10" t="s">
        <v>6</v>
      </c>
      <c r="J195" s="10" t="s">
        <v>7</v>
      </c>
      <c r="K195" s="10" t="s">
        <v>8</v>
      </c>
      <c r="L195" s="10" t="s">
        <v>9</v>
      </c>
      <c r="M195" s="10" t="s">
        <v>10</v>
      </c>
      <c r="N195" s="10" t="s">
        <v>11</v>
      </c>
      <c r="O195" s="10" t="s">
        <v>12</v>
      </c>
      <c r="P195" s="11" t="s">
        <v>13</v>
      </c>
      <c r="Q195" s="12" t="s">
        <v>14</v>
      </c>
    </row>
    <row r="196" spans="1:17" ht="14.4" thickBot="1">
      <c r="A196" s="13" t="s">
        <v>28</v>
      </c>
      <c r="B196" s="14">
        <f>B199+B200+B205</f>
        <v>0</v>
      </c>
      <c r="C196" s="15">
        <f t="shared" ref="C196:P196" si="71">C199+C200+C205</f>
        <v>0</v>
      </c>
      <c r="D196" s="16">
        <f t="shared" si="71"/>
        <v>0</v>
      </c>
      <c r="E196" s="17">
        <f t="shared" si="71"/>
        <v>0</v>
      </c>
      <c r="F196" s="17">
        <f t="shared" si="71"/>
        <v>0</v>
      </c>
      <c r="G196" s="17">
        <f t="shared" si="71"/>
        <v>0</v>
      </c>
      <c r="H196" s="17">
        <f t="shared" si="71"/>
        <v>0</v>
      </c>
      <c r="I196" s="17">
        <f t="shared" si="71"/>
        <v>0</v>
      </c>
      <c r="J196" s="17">
        <f t="shared" si="71"/>
        <v>0</v>
      </c>
      <c r="K196" s="17">
        <f t="shared" si="71"/>
        <v>0</v>
      </c>
      <c r="L196" s="17">
        <f t="shared" si="71"/>
        <v>0</v>
      </c>
      <c r="M196" s="17">
        <f t="shared" si="71"/>
        <v>0</v>
      </c>
      <c r="N196" s="17">
        <f t="shared" si="71"/>
        <v>0</v>
      </c>
      <c r="O196" s="15">
        <f t="shared" si="71"/>
        <v>0</v>
      </c>
      <c r="P196" s="14">
        <f t="shared" si="71"/>
        <v>0</v>
      </c>
      <c r="Q196" s="18" t="str">
        <f t="shared" ref="Q196:Q211" si="72">IF(P196=0,"-",P196/C196-1)</f>
        <v>-</v>
      </c>
    </row>
    <row r="197" spans="1:17">
      <c r="A197" s="19" t="s">
        <v>15</v>
      </c>
      <c r="B197" s="20"/>
      <c r="C197" s="21"/>
      <c r="D197" s="22"/>
      <c r="E197" s="23"/>
      <c r="F197" s="23"/>
      <c r="G197" s="23"/>
      <c r="H197" s="24"/>
      <c r="I197" s="24"/>
      <c r="J197" s="24"/>
      <c r="K197" s="24"/>
      <c r="L197" s="24"/>
      <c r="M197" s="24"/>
      <c r="N197" s="24"/>
      <c r="O197" s="25"/>
      <c r="P197" s="20">
        <f t="shared" ref="P197:P204" si="73">SUM(D197:O197)</f>
        <v>0</v>
      </c>
      <c r="Q197" s="26" t="str">
        <f t="shared" si="72"/>
        <v>-</v>
      </c>
    </row>
    <row r="198" spans="1:17">
      <c r="A198" s="28" t="s">
        <v>16</v>
      </c>
      <c r="B198" s="29"/>
      <c r="C198" s="30"/>
      <c r="D198" s="31"/>
      <c r="E198" s="32"/>
      <c r="F198" s="32"/>
      <c r="G198" s="32"/>
      <c r="H198" s="33"/>
      <c r="I198" s="33"/>
      <c r="J198" s="33"/>
      <c r="K198" s="33"/>
      <c r="L198" s="33"/>
      <c r="M198" s="33"/>
      <c r="N198" s="33"/>
      <c r="O198" s="34"/>
      <c r="P198" s="29">
        <f t="shared" si="73"/>
        <v>0</v>
      </c>
      <c r="Q198" s="35" t="str">
        <f t="shared" si="72"/>
        <v>-</v>
      </c>
    </row>
    <row r="199" spans="1:17">
      <c r="A199" s="36" t="s">
        <v>27</v>
      </c>
      <c r="B199" s="37">
        <f>+B197+B198</f>
        <v>0</v>
      </c>
      <c r="C199" s="38">
        <f>+C198+C197</f>
        <v>0</v>
      </c>
      <c r="D199" s="39">
        <f t="shared" ref="D199:O199" si="74">SUM(D197:D198)</f>
        <v>0</v>
      </c>
      <c r="E199" s="40">
        <f t="shared" si="74"/>
        <v>0</v>
      </c>
      <c r="F199" s="40">
        <f t="shared" si="74"/>
        <v>0</v>
      </c>
      <c r="G199" s="40">
        <f t="shared" si="74"/>
        <v>0</v>
      </c>
      <c r="H199" s="40">
        <f t="shared" si="74"/>
        <v>0</v>
      </c>
      <c r="I199" s="40">
        <f t="shared" si="74"/>
        <v>0</v>
      </c>
      <c r="J199" s="40">
        <f t="shared" si="74"/>
        <v>0</v>
      </c>
      <c r="K199" s="40">
        <f t="shared" si="74"/>
        <v>0</v>
      </c>
      <c r="L199" s="40">
        <f t="shared" si="74"/>
        <v>0</v>
      </c>
      <c r="M199" s="40">
        <f t="shared" si="74"/>
        <v>0</v>
      </c>
      <c r="N199" s="40">
        <f t="shared" si="74"/>
        <v>0</v>
      </c>
      <c r="O199" s="38">
        <f t="shared" si="74"/>
        <v>0</v>
      </c>
      <c r="P199" s="37">
        <f t="shared" si="73"/>
        <v>0</v>
      </c>
      <c r="Q199" s="41" t="str">
        <f t="shared" si="72"/>
        <v>-</v>
      </c>
    </row>
    <row r="200" spans="1:17">
      <c r="A200" s="42" t="s">
        <v>17</v>
      </c>
      <c r="B200" s="43"/>
      <c r="C200" s="44"/>
      <c r="D200" s="45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7"/>
      <c r="P200" s="48">
        <f t="shared" si="73"/>
        <v>0</v>
      </c>
      <c r="Q200" s="35" t="str">
        <f t="shared" si="72"/>
        <v>-</v>
      </c>
    </row>
    <row r="201" spans="1:17">
      <c r="A201" s="49" t="s">
        <v>81</v>
      </c>
      <c r="B201" s="37"/>
      <c r="C201" s="119"/>
      <c r="D201" s="39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38"/>
      <c r="P201" s="56">
        <f t="shared" si="73"/>
        <v>0</v>
      </c>
      <c r="Q201" s="57" t="str">
        <f t="shared" si="72"/>
        <v>-</v>
      </c>
    </row>
    <row r="202" spans="1:17">
      <c r="A202" s="58" t="s">
        <v>82</v>
      </c>
      <c r="B202" s="43"/>
      <c r="C202" s="44"/>
      <c r="D202" s="45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7"/>
      <c r="P202" s="48">
        <f t="shared" si="73"/>
        <v>0</v>
      </c>
      <c r="Q202" s="35" t="str">
        <f t="shared" si="72"/>
        <v>-</v>
      </c>
    </row>
    <row r="203" spans="1:17">
      <c r="A203" s="49" t="s">
        <v>83</v>
      </c>
      <c r="B203" s="50"/>
      <c r="C203" s="51"/>
      <c r="D203" s="52"/>
      <c r="E203" s="53"/>
      <c r="F203" s="54"/>
      <c r="G203" s="53"/>
      <c r="H203" s="53"/>
      <c r="I203" s="53"/>
      <c r="J203" s="53"/>
      <c r="K203" s="53"/>
      <c r="L203" s="53"/>
      <c r="M203" s="53"/>
      <c r="N203" s="53"/>
      <c r="O203" s="55"/>
      <c r="P203" s="56">
        <f t="shared" si="73"/>
        <v>0</v>
      </c>
      <c r="Q203" s="57" t="str">
        <f t="shared" si="72"/>
        <v>-</v>
      </c>
    </row>
    <row r="204" spans="1:17">
      <c r="A204" s="58" t="s">
        <v>84</v>
      </c>
      <c r="B204" s="29"/>
      <c r="C204" s="30"/>
      <c r="D204" s="59"/>
      <c r="E204" s="33"/>
      <c r="F204" s="33"/>
      <c r="G204" s="33"/>
      <c r="H204" s="33"/>
      <c r="I204" s="32"/>
      <c r="J204" s="32"/>
      <c r="K204" s="33"/>
      <c r="L204" s="33"/>
      <c r="M204" s="33"/>
      <c r="N204" s="33"/>
      <c r="O204" s="34"/>
      <c r="P204" s="48">
        <f t="shared" si="73"/>
        <v>0</v>
      </c>
      <c r="Q204" s="35" t="str">
        <f t="shared" si="72"/>
        <v>-</v>
      </c>
    </row>
    <row r="205" spans="1:17" ht="14.4" thickBot="1">
      <c r="A205" s="60" t="s">
        <v>18</v>
      </c>
      <c r="B205" s="61">
        <f>SUM(B201:B204)</f>
        <v>0</v>
      </c>
      <c r="C205" s="62">
        <f>SUM(C201:C204)</f>
        <v>0</v>
      </c>
      <c r="D205" s="63">
        <f>SUM(D201:D204)</f>
        <v>0</v>
      </c>
      <c r="E205" s="64">
        <f t="shared" ref="E205:P205" si="75">SUM(E201:E204)</f>
        <v>0</v>
      </c>
      <c r="F205" s="64">
        <f t="shared" si="75"/>
        <v>0</v>
      </c>
      <c r="G205" s="64">
        <f t="shared" si="75"/>
        <v>0</v>
      </c>
      <c r="H205" s="64">
        <f t="shared" si="75"/>
        <v>0</v>
      </c>
      <c r="I205" s="64">
        <f t="shared" si="75"/>
        <v>0</v>
      </c>
      <c r="J205" s="64">
        <f t="shared" si="75"/>
        <v>0</v>
      </c>
      <c r="K205" s="64">
        <f t="shared" si="75"/>
        <v>0</v>
      </c>
      <c r="L205" s="64">
        <f t="shared" si="75"/>
        <v>0</v>
      </c>
      <c r="M205" s="64">
        <f t="shared" si="75"/>
        <v>0</v>
      </c>
      <c r="N205" s="64">
        <f t="shared" si="75"/>
        <v>0</v>
      </c>
      <c r="O205" s="62">
        <f t="shared" si="75"/>
        <v>0</v>
      </c>
      <c r="P205" s="61">
        <f t="shared" si="75"/>
        <v>0</v>
      </c>
      <c r="Q205" s="65" t="str">
        <f t="shared" si="72"/>
        <v>-</v>
      </c>
    </row>
    <row r="206" spans="1:17" ht="14.4" thickBot="1">
      <c r="A206" s="13" t="s">
        <v>29</v>
      </c>
      <c r="B206" s="66">
        <f>+B207+B208</f>
        <v>0</v>
      </c>
      <c r="C206" s="67">
        <f t="shared" ref="C206:P206" si="76">SUM(C207:C208)</f>
        <v>0</v>
      </c>
      <c r="D206" s="68">
        <f t="shared" si="76"/>
        <v>0</v>
      </c>
      <c r="E206" s="69">
        <f t="shared" si="76"/>
        <v>0</v>
      </c>
      <c r="F206" s="69">
        <f t="shared" si="76"/>
        <v>0</v>
      </c>
      <c r="G206" s="69">
        <f t="shared" si="76"/>
        <v>0</v>
      </c>
      <c r="H206" s="69">
        <f t="shared" si="76"/>
        <v>0</v>
      </c>
      <c r="I206" s="69">
        <f t="shared" si="76"/>
        <v>0</v>
      </c>
      <c r="J206" s="69">
        <f t="shared" si="76"/>
        <v>0</v>
      </c>
      <c r="K206" s="69">
        <f t="shared" si="76"/>
        <v>0</v>
      </c>
      <c r="L206" s="69">
        <f t="shared" si="76"/>
        <v>0</v>
      </c>
      <c r="M206" s="69">
        <f t="shared" si="76"/>
        <v>0</v>
      </c>
      <c r="N206" s="69">
        <f t="shared" si="76"/>
        <v>0</v>
      </c>
      <c r="O206" s="70">
        <f t="shared" si="76"/>
        <v>0</v>
      </c>
      <c r="P206" s="66">
        <f t="shared" si="76"/>
        <v>0</v>
      </c>
      <c r="Q206" s="71" t="str">
        <f t="shared" si="72"/>
        <v>-</v>
      </c>
    </row>
    <row r="207" spans="1:17">
      <c r="A207" s="72" t="s">
        <v>19</v>
      </c>
      <c r="B207" s="73"/>
      <c r="C207" s="74"/>
      <c r="D207" s="75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7"/>
      <c r="P207" s="78">
        <f>SUM(D207:O207)</f>
        <v>0</v>
      </c>
      <c r="Q207" s="79" t="str">
        <f t="shared" si="72"/>
        <v>-</v>
      </c>
    </row>
    <row r="208" spans="1:17" ht="14.4" thickBot="1">
      <c r="A208" s="80" t="s">
        <v>20</v>
      </c>
      <c r="B208" s="81"/>
      <c r="C208" s="82"/>
      <c r="D208" s="83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5"/>
      <c r="P208" s="86">
        <f>SUM(D208:O208)</f>
        <v>0</v>
      </c>
      <c r="Q208" s="87" t="str">
        <f t="shared" si="72"/>
        <v>-</v>
      </c>
    </row>
    <row r="209" spans="1:17" ht="14.4" thickBot="1">
      <c r="A209" s="13" t="s">
        <v>30</v>
      </c>
      <c r="B209" s="14">
        <f t="shared" ref="B209:P209" si="77">SUM(B210:B211)</f>
        <v>0</v>
      </c>
      <c r="C209" s="67">
        <f t="shared" si="77"/>
        <v>0</v>
      </c>
      <c r="D209" s="68">
        <f t="shared" si="77"/>
        <v>0</v>
      </c>
      <c r="E209" s="69">
        <f t="shared" si="77"/>
        <v>0</v>
      </c>
      <c r="F209" s="69">
        <f t="shared" si="77"/>
        <v>0</v>
      </c>
      <c r="G209" s="69">
        <f t="shared" si="77"/>
        <v>0</v>
      </c>
      <c r="H209" s="69">
        <f t="shared" si="77"/>
        <v>0</v>
      </c>
      <c r="I209" s="69">
        <f t="shared" si="77"/>
        <v>0</v>
      </c>
      <c r="J209" s="69">
        <f t="shared" si="77"/>
        <v>0</v>
      </c>
      <c r="K209" s="69">
        <f t="shared" si="77"/>
        <v>0</v>
      </c>
      <c r="L209" s="69">
        <f t="shared" si="77"/>
        <v>0</v>
      </c>
      <c r="M209" s="69">
        <f t="shared" si="77"/>
        <v>0</v>
      </c>
      <c r="N209" s="69">
        <f t="shared" si="77"/>
        <v>0</v>
      </c>
      <c r="O209" s="70">
        <f t="shared" si="77"/>
        <v>0</v>
      </c>
      <c r="P209" s="66">
        <f t="shared" si="77"/>
        <v>0</v>
      </c>
      <c r="Q209" s="71" t="str">
        <f t="shared" si="72"/>
        <v>-</v>
      </c>
    </row>
    <row r="210" spans="1:17">
      <c r="A210" s="72" t="s">
        <v>106</v>
      </c>
      <c r="B210" s="73"/>
      <c r="C210" s="74"/>
      <c r="D210" s="75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7"/>
      <c r="P210" s="78">
        <f>SUM(D210:O210)</f>
        <v>0</v>
      </c>
      <c r="Q210" s="79" t="str">
        <f t="shared" si="72"/>
        <v>-</v>
      </c>
    </row>
    <row r="211" spans="1:17" ht="14.4" thickBot="1">
      <c r="A211" s="122" t="s">
        <v>105</v>
      </c>
      <c r="B211" s="123"/>
      <c r="C211" s="124"/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7"/>
      <c r="P211" s="128">
        <f>SUM(D211:O211)</f>
        <v>0</v>
      </c>
      <c r="Q211" s="129" t="str">
        <f t="shared" si="72"/>
        <v>-</v>
      </c>
    </row>
    <row r="212" spans="1:17" ht="14.4" thickBot="1">
      <c r="C212" s="3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9"/>
    </row>
    <row r="213" spans="1:17" ht="14.4" thickBot="1">
      <c r="A213" s="13" t="s">
        <v>86</v>
      </c>
      <c r="B213" s="14"/>
      <c r="C213" s="15"/>
      <c r="D213" s="16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20"/>
      <c r="P213" s="14">
        <f>SUM(D213:O213)</f>
        <v>0</v>
      </c>
      <c r="Q213" s="18" t="str">
        <f>IF(P213=0,"-",P213/C213-1)</f>
        <v>-</v>
      </c>
    </row>
    <row r="214" spans="1:17" ht="14.4" thickBot="1">
      <c r="A214" s="90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2"/>
    </row>
    <row r="215" spans="1:17" ht="14.4" thickBot="1">
      <c r="A215" s="13" t="s">
        <v>31</v>
      </c>
      <c r="B215" s="14">
        <f t="shared" ref="B215:G215" si="78">+B196+B206+B209+B213</f>
        <v>0</v>
      </c>
      <c r="C215" s="15">
        <f t="shared" si="78"/>
        <v>0</v>
      </c>
      <c r="D215" s="16">
        <f t="shared" si="78"/>
        <v>0</v>
      </c>
      <c r="E215" s="17">
        <f t="shared" si="78"/>
        <v>0</v>
      </c>
      <c r="F215" s="17">
        <f t="shared" si="78"/>
        <v>0</v>
      </c>
      <c r="G215" s="17">
        <f t="shared" si="78"/>
        <v>0</v>
      </c>
      <c r="H215" s="17">
        <f t="shared" ref="H215:P215" si="79">+H196+H206+H209+H213</f>
        <v>0</v>
      </c>
      <c r="I215" s="17">
        <f t="shared" si="79"/>
        <v>0</v>
      </c>
      <c r="J215" s="17">
        <f t="shared" si="79"/>
        <v>0</v>
      </c>
      <c r="K215" s="17">
        <f t="shared" si="79"/>
        <v>0</v>
      </c>
      <c r="L215" s="17">
        <f t="shared" si="79"/>
        <v>0</v>
      </c>
      <c r="M215" s="17">
        <f t="shared" si="79"/>
        <v>0</v>
      </c>
      <c r="N215" s="17">
        <f t="shared" si="79"/>
        <v>0</v>
      </c>
      <c r="O215" s="15">
        <f t="shared" si="79"/>
        <v>0</v>
      </c>
      <c r="P215" s="14">
        <f t="shared" si="79"/>
        <v>0</v>
      </c>
      <c r="Q215" s="18" t="str">
        <f>IF(P215=0,"-",P215/C215-1)</f>
        <v>-</v>
      </c>
    </row>
    <row r="217" spans="1:17" ht="14.4" thickBot="1"/>
    <row r="218" spans="1:17" ht="18.600000000000001" thickBot="1">
      <c r="A218" s="5"/>
      <c r="B218" s="2372" t="s">
        <v>34</v>
      </c>
      <c r="C218" s="2373"/>
      <c r="D218" s="2313" t="s">
        <v>98</v>
      </c>
      <c r="E218" s="2314"/>
      <c r="F218" s="2314"/>
      <c r="G218" s="2314"/>
      <c r="H218" s="2314"/>
      <c r="I218" s="2314"/>
      <c r="J218" s="2314"/>
      <c r="K218" s="2314"/>
      <c r="L218" s="2314"/>
      <c r="M218" s="2314"/>
      <c r="N218" s="2314"/>
      <c r="O218" s="2314"/>
      <c r="P218" s="2315"/>
      <c r="Q218" s="6" t="s">
        <v>294</v>
      </c>
    </row>
    <row r="219" spans="1:17" ht="28.2" thickBot="1">
      <c r="A219" s="7"/>
      <c r="B219" s="8" t="s">
        <v>87</v>
      </c>
      <c r="C219" s="8" t="s">
        <v>0</v>
      </c>
      <c r="D219" s="9" t="s">
        <v>1</v>
      </c>
      <c r="E219" s="10" t="s">
        <v>2</v>
      </c>
      <c r="F219" s="10" t="s">
        <v>3</v>
      </c>
      <c r="G219" s="10" t="s">
        <v>4</v>
      </c>
      <c r="H219" s="10" t="s">
        <v>5</v>
      </c>
      <c r="I219" s="10" t="s">
        <v>6</v>
      </c>
      <c r="J219" s="10" t="s">
        <v>7</v>
      </c>
      <c r="K219" s="10" t="s">
        <v>8</v>
      </c>
      <c r="L219" s="10" t="s">
        <v>9</v>
      </c>
      <c r="M219" s="10" t="s">
        <v>10</v>
      </c>
      <c r="N219" s="10" t="s">
        <v>11</v>
      </c>
      <c r="O219" s="10" t="s">
        <v>12</v>
      </c>
      <c r="P219" s="11" t="s">
        <v>13</v>
      </c>
      <c r="Q219" s="12" t="s">
        <v>14</v>
      </c>
    </row>
    <row r="220" spans="1:17" ht="14.4" thickBot="1">
      <c r="A220" s="13" t="s">
        <v>28</v>
      </c>
      <c r="B220" s="14">
        <f>B223+B224+B229</f>
        <v>0</v>
      </c>
      <c r="C220" s="15">
        <f t="shared" ref="C220:P220" si="80">C223+C224+C229</f>
        <v>0</v>
      </c>
      <c r="D220" s="16">
        <f t="shared" si="80"/>
        <v>0</v>
      </c>
      <c r="E220" s="17">
        <f t="shared" si="80"/>
        <v>0</v>
      </c>
      <c r="F220" s="17">
        <f t="shared" si="80"/>
        <v>0</v>
      </c>
      <c r="G220" s="17">
        <f t="shared" si="80"/>
        <v>0</v>
      </c>
      <c r="H220" s="17">
        <f t="shared" si="80"/>
        <v>0</v>
      </c>
      <c r="I220" s="17">
        <f t="shared" si="80"/>
        <v>0</v>
      </c>
      <c r="J220" s="17">
        <f t="shared" si="80"/>
        <v>0</v>
      </c>
      <c r="K220" s="17">
        <f t="shared" si="80"/>
        <v>0</v>
      </c>
      <c r="L220" s="17">
        <f t="shared" si="80"/>
        <v>0</v>
      </c>
      <c r="M220" s="17">
        <f t="shared" si="80"/>
        <v>0</v>
      </c>
      <c r="N220" s="17">
        <f t="shared" si="80"/>
        <v>0</v>
      </c>
      <c r="O220" s="15">
        <f t="shared" si="80"/>
        <v>0</v>
      </c>
      <c r="P220" s="14">
        <f t="shared" si="80"/>
        <v>0</v>
      </c>
      <c r="Q220" s="18" t="str">
        <f t="shared" ref="Q220:Q235" si="81">IF(P220=0,"-",P220/C220-1)</f>
        <v>-</v>
      </c>
    </row>
    <row r="221" spans="1:17">
      <c r="A221" s="19" t="s">
        <v>15</v>
      </c>
      <c r="B221" s="20"/>
      <c r="C221" s="21"/>
      <c r="D221" s="22"/>
      <c r="E221" s="23"/>
      <c r="F221" s="23"/>
      <c r="G221" s="23"/>
      <c r="H221" s="24"/>
      <c r="I221" s="24"/>
      <c r="J221" s="24"/>
      <c r="K221" s="24"/>
      <c r="L221" s="24"/>
      <c r="M221" s="24"/>
      <c r="N221" s="24"/>
      <c r="O221" s="25"/>
      <c r="P221" s="20">
        <f t="shared" ref="P221:P228" si="82">SUM(D221:O221)</f>
        <v>0</v>
      </c>
      <c r="Q221" s="26" t="str">
        <f t="shared" si="81"/>
        <v>-</v>
      </c>
    </row>
    <row r="222" spans="1:17">
      <c r="A222" s="28" t="s">
        <v>16</v>
      </c>
      <c r="B222" s="29"/>
      <c r="C222" s="30"/>
      <c r="D222" s="31"/>
      <c r="E222" s="32"/>
      <c r="F222" s="32"/>
      <c r="G222" s="32"/>
      <c r="H222" s="33"/>
      <c r="I222" s="33"/>
      <c r="J222" s="33"/>
      <c r="K222" s="33"/>
      <c r="L222" s="33"/>
      <c r="M222" s="33"/>
      <c r="N222" s="33"/>
      <c r="O222" s="34"/>
      <c r="P222" s="29">
        <f t="shared" si="82"/>
        <v>0</v>
      </c>
      <c r="Q222" s="35" t="str">
        <f t="shared" si="81"/>
        <v>-</v>
      </c>
    </row>
    <row r="223" spans="1:17">
      <c r="A223" s="36" t="s">
        <v>27</v>
      </c>
      <c r="B223" s="37">
        <f>+B221+B222</f>
        <v>0</v>
      </c>
      <c r="C223" s="38">
        <f>+C222+C221</f>
        <v>0</v>
      </c>
      <c r="D223" s="39">
        <f t="shared" ref="D223:O223" si="83">SUM(D221:D222)</f>
        <v>0</v>
      </c>
      <c r="E223" s="40">
        <f t="shared" si="83"/>
        <v>0</v>
      </c>
      <c r="F223" s="40">
        <f t="shared" si="83"/>
        <v>0</v>
      </c>
      <c r="G223" s="40">
        <f t="shared" si="83"/>
        <v>0</v>
      </c>
      <c r="H223" s="40">
        <f t="shared" si="83"/>
        <v>0</v>
      </c>
      <c r="I223" s="40">
        <f t="shared" si="83"/>
        <v>0</v>
      </c>
      <c r="J223" s="40">
        <f t="shared" si="83"/>
        <v>0</v>
      </c>
      <c r="K223" s="40">
        <f t="shared" si="83"/>
        <v>0</v>
      </c>
      <c r="L223" s="40">
        <f t="shared" si="83"/>
        <v>0</v>
      </c>
      <c r="M223" s="40">
        <f t="shared" si="83"/>
        <v>0</v>
      </c>
      <c r="N223" s="40">
        <f t="shared" si="83"/>
        <v>0</v>
      </c>
      <c r="O223" s="38">
        <f t="shared" si="83"/>
        <v>0</v>
      </c>
      <c r="P223" s="37">
        <f t="shared" si="82"/>
        <v>0</v>
      </c>
      <c r="Q223" s="41" t="str">
        <f t="shared" si="81"/>
        <v>-</v>
      </c>
    </row>
    <row r="224" spans="1:17">
      <c r="A224" s="42" t="s">
        <v>17</v>
      </c>
      <c r="B224" s="43"/>
      <c r="C224" s="44"/>
      <c r="D224" s="45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7"/>
      <c r="P224" s="48">
        <f t="shared" si="82"/>
        <v>0</v>
      </c>
      <c r="Q224" s="35" t="str">
        <f t="shared" si="81"/>
        <v>-</v>
      </c>
    </row>
    <row r="225" spans="1:17">
      <c r="A225" s="49" t="s">
        <v>81</v>
      </c>
      <c r="B225" s="37"/>
      <c r="C225" s="119"/>
      <c r="D225" s="39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38"/>
      <c r="P225" s="56">
        <f t="shared" si="82"/>
        <v>0</v>
      </c>
      <c r="Q225" s="57" t="str">
        <f t="shared" si="81"/>
        <v>-</v>
      </c>
    </row>
    <row r="226" spans="1:17">
      <c r="A226" s="58" t="s">
        <v>82</v>
      </c>
      <c r="B226" s="43"/>
      <c r="C226" s="44"/>
      <c r="D226" s="45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7"/>
      <c r="P226" s="48">
        <f t="shared" si="82"/>
        <v>0</v>
      </c>
      <c r="Q226" s="35" t="str">
        <f t="shared" si="81"/>
        <v>-</v>
      </c>
    </row>
    <row r="227" spans="1:17">
      <c r="A227" s="49" t="s">
        <v>83</v>
      </c>
      <c r="B227" s="50"/>
      <c r="C227" s="51"/>
      <c r="D227" s="52"/>
      <c r="E227" s="53"/>
      <c r="F227" s="54"/>
      <c r="G227" s="53"/>
      <c r="H227" s="53"/>
      <c r="I227" s="53"/>
      <c r="J227" s="53"/>
      <c r="K227" s="53"/>
      <c r="L227" s="53"/>
      <c r="M227" s="53"/>
      <c r="N227" s="53"/>
      <c r="O227" s="55"/>
      <c r="P227" s="56">
        <f t="shared" si="82"/>
        <v>0</v>
      </c>
      <c r="Q227" s="57" t="str">
        <f t="shared" si="81"/>
        <v>-</v>
      </c>
    </row>
    <row r="228" spans="1:17">
      <c r="A228" s="58" t="s">
        <v>84</v>
      </c>
      <c r="B228" s="29"/>
      <c r="C228" s="30"/>
      <c r="D228" s="59"/>
      <c r="E228" s="33"/>
      <c r="F228" s="33"/>
      <c r="G228" s="33"/>
      <c r="H228" s="33"/>
      <c r="I228" s="32"/>
      <c r="J228" s="32"/>
      <c r="K228" s="33"/>
      <c r="L228" s="33"/>
      <c r="M228" s="33"/>
      <c r="N228" s="33"/>
      <c r="O228" s="34"/>
      <c r="P228" s="48">
        <f t="shared" si="82"/>
        <v>0</v>
      </c>
      <c r="Q228" s="35" t="str">
        <f t="shared" si="81"/>
        <v>-</v>
      </c>
    </row>
    <row r="229" spans="1:17" ht="14.4" thickBot="1">
      <c r="A229" s="60" t="s">
        <v>18</v>
      </c>
      <c r="B229" s="61">
        <f>SUM(B225:B228)</f>
        <v>0</v>
      </c>
      <c r="C229" s="62">
        <f>SUM(C225:C228)</f>
        <v>0</v>
      </c>
      <c r="D229" s="63">
        <f>SUM(D225:D228)</f>
        <v>0</v>
      </c>
      <c r="E229" s="64">
        <f t="shared" ref="E229:P229" si="84">SUM(E225:E228)</f>
        <v>0</v>
      </c>
      <c r="F229" s="64">
        <f t="shared" si="84"/>
        <v>0</v>
      </c>
      <c r="G229" s="64">
        <f t="shared" si="84"/>
        <v>0</v>
      </c>
      <c r="H229" s="64">
        <f t="shared" si="84"/>
        <v>0</v>
      </c>
      <c r="I229" s="64">
        <f t="shared" si="84"/>
        <v>0</v>
      </c>
      <c r="J229" s="64">
        <f t="shared" si="84"/>
        <v>0</v>
      </c>
      <c r="K229" s="64">
        <f t="shared" si="84"/>
        <v>0</v>
      </c>
      <c r="L229" s="64">
        <f t="shared" si="84"/>
        <v>0</v>
      </c>
      <c r="M229" s="64">
        <f t="shared" si="84"/>
        <v>0</v>
      </c>
      <c r="N229" s="64">
        <f t="shared" si="84"/>
        <v>0</v>
      </c>
      <c r="O229" s="62">
        <f t="shared" si="84"/>
        <v>0</v>
      </c>
      <c r="P229" s="61">
        <f t="shared" si="84"/>
        <v>0</v>
      </c>
      <c r="Q229" s="65" t="str">
        <f t="shared" si="81"/>
        <v>-</v>
      </c>
    </row>
    <row r="230" spans="1:17" ht="14.4" thickBot="1">
      <c r="A230" s="13" t="s">
        <v>29</v>
      </c>
      <c r="B230" s="66">
        <f>+B231+B232</f>
        <v>0</v>
      </c>
      <c r="C230" s="67">
        <f t="shared" ref="C230:P230" si="85">SUM(C231:C232)</f>
        <v>0</v>
      </c>
      <c r="D230" s="68">
        <f t="shared" si="85"/>
        <v>0</v>
      </c>
      <c r="E230" s="69">
        <f t="shared" si="85"/>
        <v>0</v>
      </c>
      <c r="F230" s="69">
        <f t="shared" si="85"/>
        <v>0</v>
      </c>
      <c r="G230" s="69">
        <f t="shared" si="85"/>
        <v>0</v>
      </c>
      <c r="H230" s="69">
        <f t="shared" si="85"/>
        <v>0</v>
      </c>
      <c r="I230" s="69">
        <f t="shared" si="85"/>
        <v>0</v>
      </c>
      <c r="J230" s="69">
        <f t="shared" si="85"/>
        <v>0</v>
      </c>
      <c r="K230" s="69">
        <f t="shared" si="85"/>
        <v>0</v>
      </c>
      <c r="L230" s="69">
        <f t="shared" si="85"/>
        <v>0</v>
      </c>
      <c r="M230" s="69">
        <f t="shared" si="85"/>
        <v>0</v>
      </c>
      <c r="N230" s="69">
        <f t="shared" si="85"/>
        <v>0</v>
      </c>
      <c r="O230" s="70">
        <f t="shared" si="85"/>
        <v>0</v>
      </c>
      <c r="P230" s="66">
        <f t="shared" si="85"/>
        <v>0</v>
      </c>
      <c r="Q230" s="71" t="str">
        <f t="shared" si="81"/>
        <v>-</v>
      </c>
    </row>
    <row r="231" spans="1:17">
      <c r="A231" s="72" t="s">
        <v>19</v>
      </c>
      <c r="B231" s="73"/>
      <c r="C231" s="74"/>
      <c r="D231" s="75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7"/>
      <c r="P231" s="78">
        <f>SUM(D231:O231)</f>
        <v>0</v>
      </c>
      <c r="Q231" s="79" t="str">
        <f t="shared" si="81"/>
        <v>-</v>
      </c>
    </row>
    <row r="232" spans="1:17" ht="14.4" thickBot="1">
      <c r="A232" s="80" t="s">
        <v>20</v>
      </c>
      <c r="B232" s="81"/>
      <c r="C232" s="82"/>
      <c r="D232" s="83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5"/>
      <c r="P232" s="86">
        <f>SUM(D232:O232)</f>
        <v>0</v>
      </c>
      <c r="Q232" s="87" t="str">
        <f t="shared" si="81"/>
        <v>-</v>
      </c>
    </row>
    <row r="233" spans="1:17" ht="14.4" thickBot="1">
      <c r="A233" s="13" t="s">
        <v>30</v>
      </c>
      <c r="B233" s="14">
        <f t="shared" ref="B233:P233" si="86">SUM(B234:B235)</f>
        <v>0</v>
      </c>
      <c r="C233" s="67">
        <f t="shared" si="86"/>
        <v>0</v>
      </c>
      <c r="D233" s="68">
        <f t="shared" si="86"/>
        <v>0</v>
      </c>
      <c r="E233" s="69">
        <f t="shared" si="86"/>
        <v>0</v>
      </c>
      <c r="F233" s="69">
        <f t="shared" si="86"/>
        <v>0</v>
      </c>
      <c r="G233" s="69">
        <f t="shared" si="86"/>
        <v>0</v>
      </c>
      <c r="H233" s="69">
        <f t="shared" si="86"/>
        <v>0</v>
      </c>
      <c r="I233" s="69">
        <f t="shared" si="86"/>
        <v>0</v>
      </c>
      <c r="J233" s="69">
        <f t="shared" si="86"/>
        <v>0</v>
      </c>
      <c r="K233" s="69">
        <f t="shared" si="86"/>
        <v>0</v>
      </c>
      <c r="L233" s="69">
        <f t="shared" si="86"/>
        <v>0</v>
      </c>
      <c r="M233" s="69">
        <f t="shared" si="86"/>
        <v>0</v>
      </c>
      <c r="N233" s="69">
        <f t="shared" si="86"/>
        <v>0</v>
      </c>
      <c r="O233" s="70">
        <f t="shared" si="86"/>
        <v>0</v>
      </c>
      <c r="P233" s="66">
        <f t="shared" si="86"/>
        <v>0</v>
      </c>
      <c r="Q233" s="71" t="str">
        <f t="shared" si="81"/>
        <v>-</v>
      </c>
    </row>
    <row r="234" spans="1:17">
      <c r="A234" s="72" t="s">
        <v>106</v>
      </c>
      <c r="B234" s="73"/>
      <c r="C234" s="74"/>
      <c r="D234" s="75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7"/>
      <c r="P234" s="78">
        <f>SUM(D234:O234)</f>
        <v>0</v>
      </c>
      <c r="Q234" s="79" t="str">
        <f t="shared" si="81"/>
        <v>-</v>
      </c>
    </row>
    <row r="235" spans="1:17" ht="14.4" thickBot="1">
      <c r="A235" s="122" t="s">
        <v>105</v>
      </c>
      <c r="B235" s="123"/>
      <c r="C235" s="124"/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7"/>
      <c r="P235" s="128">
        <f>SUM(D235:O235)</f>
        <v>0</v>
      </c>
      <c r="Q235" s="129" t="str">
        <f t="shared" si="81"/>
        <v>-</v>
      </c>
    </row>
    <row r="236" spans="1:17" ht="14.4" thickBot="1">
      <c r="C236" s="3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9"/>
    </row>
    <row r="237" spans="1:17" ht="14.4" thickBot="1">
      <c r="A237" s="13" t="s">
        <v>86</v>
      </c>
      <c r="B237" s="14"/>
      <c r="C237" s="15"/>
      <c r="D237" s="16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20"/>
      <c r="P237" s="14">
        <f>SUM(D237:O237)</f>
        <v>0</v>
      </c>
      <c r="Q237" s="18" t="str">
        <f>IF(P237=0,"-",P237/C237-1)</f>
        <v>-</v>
      </c>
    </row>
    <row r="238" spans="1:17" ht="14.4" thickBot="1">
      <c r="A238" s="90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2"/>
    </row>
    <row r="239" spans="1:17" ht="14.4" thickBot="1">
      <c r="A239" s="13" t="s">
        <v>31</v>
      </c>
      <c r="B239" s="14">
        <f t="shared" ref="B239:G239" si="87">+B220+B230+B233+B237</f>
        <v>0</v>
      </c>
      <c r="C239" s="15">
        <f t="shared" si="87"/>
        <v>0</v>
      </c>
      <c r="D239" s="16">
        <f t="shared" si="87"/>
        <v>0</v>
      </c>
      <c r="E239" s="17">
        <f t="shared" si="87"/>
        <v>0</v>
      </c>
      <c r="F239" s="17">
        <f t="shared" si="87"/>
        <v>0</v>
      </c>
      <c r="G239" s="17">
        <f t="shared" si="87"/>
        <v>0</v>
      </c>
      <c r="H239" s="17">
        <f t="shared" ref="H239:P239" si="88">+H220+H230+H233+H237</f>
        <v>0</v>
      </c>
      <c r="I239" s="17">
        <f t="shared" si="88"/>
        <v>0</v>
      </c>
      <c r="J239" s="17">
        <f t="shared" si="88"/>
        <v>0</v>
      </c>
      <c r="K239" s="17">
        <f t="shared" si="88"/>
        <v>0</v>
      </c>
      <c r="L239" s="17">
        <f t="shared" si="88"/>
        <v>0</v>
      </c>
      <c r="M239" s="17">
        <f t="shared" si="88"/>
        <v>0</v>
      </c>
      <c r="N239" s="17">
        <f t="shared" si="88"/>
        <v>0</v>
      </c>
      <c r="O239" s="15">
        <f t="shared" si="88"/>
        <v>0</v>
      </c>
      <c r="P239" s="14">
        <f t="shared" si="88"/>
        <v>0</v>
      </c>
      <c r="Q239" s="18" t="str">
        <f>IF(P239=0,"-",P239/C239-1)</f>
        <v>-</v>
      </c>
    </row>
    <row r="241" spans="1:17" ht="14.4" thickBot="1"/>
    <row r="242" spans="1:17" ht="18.600000000000001" thickBot="1">
      <c r="A242" s="5"/>
      <c r="B242" s="2372" t="s">
        <v>34</v>
      </c>
      <c r="C242" s="2373"/>
      <c r="D242" s="2313" t="s">
        <v>99</v>
      </c>
      <c r="E242" s="2314"/>
      <c r="F242" s="2314"/>
      <c r="G242" s="2314"/>
      <c r="H242" s="2314"/>
      <c r="I242" s="2314"/>
      <c r="J242" s="2314"/>
      <c r="K242" s="2314"/>
      <c r="L242" s="2314"/>
      <c r="M242" s="2314"/>
      <c r="N242" s="2314"/>
      <c r="O242" s="2314"/>
      <c r="P242" s="2315"/>
      <c r="Q242" s="6" t="s">
        <v>294</v>
      </c>
    </row>
    <row r="243" spans="1:17" ht="28.2" thickBot="1">
      <c r="A243" s="7"/>
      <c r="B243" s="8" t="s">
        <v>87</v>
      </c>
      <c r="C243" s="8" t="s">
        <v>0</v>
      </c>
      <c r="D243" s="9" t="s">
        <v>1</v>
      </c>
      <c r="E243" s="10" t="s">
        <v>2</v>
      </c>
      <c r="F243" s="10" t="s">
        <v>3</v>
      </c>
      <c r="G243" s="10" t="s">
        <v>4</v>
      </c>
      <c r="H243" s="10" t="s">
        <v>5</v>
      </c>
      <c r="I243" s="10" t="s">
        <v>6</v>
      </c>
      <c r="J243" s="10" t="s">
        <v>7</v>
      </c>
      <c r="K243" s="10" t="s">
        <v>8</v>
      </c>
      <c r="L243" s="10" t="s">
        <v>9</v>
      </c>
      <c r="M243" s="10" t="s">
        <v>10</v>
      </c>
      <c r="N243" s="10" t="s">
        <v>11</v>
      </c>
      <c r="O243" s="10" t="s">
        <v>12</v>
      </c>
      <c r="P243" s="11" t="s">
        <v>13</v>
      </c>
      <c r="Q243" s="12" t="s">
        <v>14</v>
      </c>
    </row>
    <row r="244" spans="1:17" ht="14.4" thickBot="1">
      <c r="A244" s="13" t="s">
        <v>28</v>
      </c>
      <c r="B244" s="14">
        <f>B247+B248+B253</f>
        <v>0</v>
      </c>
      <c r="C244" s="15">
        <f t="shared" ref="C244:P244" si="89">C247+C248+C253</f>
        <v>0</v>
      </c>
      <c r="D244" s="16">
        <f t="shared" si="89"/>
        <v>0</v>
      </c>
      <c r="E244" s="17">
        <f t="shared" si="89"/>
        <v>0</v>
      </c>
      <c r="F244" s="17">
        <f t="shared" si="89"/>
        <v>0</v>
      </c>
      <c r="G244" s="17">
        <f t="shared" si="89"/>
        <v>0</v>
      </c>
      <c r="H244" s="17">
        <f t="shared" si="89"/>
        <v>0</v>
      </c>
      <c r="I244" s="17">
        <f t="shared" si="89"/>
        <v>0</v>
      </c>
      <c r="J244" s="17">
        <f t="shared" si="89"/>
        <v>0</v>
      </c>
      <c r="K244" s="17">
        <f t="shared" si="89"/>
        <v>0</v>
      </c>
      <c r="L244" s="17">
        <f t="shared" si="89"/>
        <v>0</v>
      </c>
      <c r="M244" s="17">
        <f t="shared" si="89"/>
        <v>0</v>
      </c>
      <c r="N244" s="17">
        <f t="shared" si="89"/>
        <v>0</v>
      </c>
      <c r="O244" s="15">
        <f t="shared" si="89"/>
        <v>0</v>
      </c>
      <c r="P244" s="14">
        <f t="shared" si="89"/>
        <v>0</v>
      </c>
      <c r="Q244" s="18" t="str">
        <f t="shared" ref="Q244:Q259" si="90">IF(P244=0,"-",P244/C244-1)</f>
        <v>-</v>
      </c>
    </row>
    <row r="245" spans="1:17">
      <c r="A245" s="19" t="s">
        <v>15</v>
      </c>
      <c r="B245" s="20"/>
      <c r="C245" s="21"/>
      <c r="D245" s="22"/>
      <c r="E245" s="23"/>
      <c r="F245" s="23"/>
      <c r="G245" s="23"/>
      <c r="H245" s="24"/>
      <c r="I245" s="24"/>
      <c r="J245" s="24"/>
      <c r="K245" s="24"/>
      <c r="L245" s="24"/>
      <c r="M245" s="24"/>
      <c r="N245" s="24"/>
      <c r="O245" s="25"/>
      <c r="P245" s="20">
        <f t="shared" ref="P245:P252" si="91">SUM(D245:O245)</f>
        <v>0</v>
      </c>
      <c r="Q245" s="26" t="str">
        <f t="shared" si="90"/>
        <v>-</v>
      </c>
    </row>
    <row r="246" spans="1:17">
      <c r="A246" s="28" t="s">
        <v>16</v>
      </c>
      <c r="B246" s="29"/>
      <c r="C246" s="30"/>
      <c r="D246" s="31"/>
      <c r="E246" s="32"/>
      <c r="F246" s="32"/>
      <c r="G246" s="32"/>
      <c r="H246" s="33"/>
      <c r="I246" s="33"/>
      <c r="J246" s="33"/>
      <c r="K246" s="33"/>
      <c r="L246" s="33"/>
      <c r="M246" s="33"/>
      <c r="N246" s="33"/>
      <c r="O246" s="34"/>
      <c r="P246" s="29">
        <f t="shared" si="91"/>
        <v>0</v>
      </c>
      <c r="Q246" s="35" t="str">
        <f t="shared" si="90"/>
        <v>-</v>
      </c>
    </row>
    <row r="247" spans="1:17">
      <c r="A247" s="36" t="s">
        <v>27</v>
      </c>
      <c r="B247" s="37">
        <f>+B245+B246</f>
        <v>0</v>
      </c>
      <c r="C247" s="38">
        <f>+C246+C245</f>
        <v>0</v>
      </c>
      <c r="D247" s="39">
        <f t="shared" ref="D247:O247" si="92">SUM(D245:D246)</f>
        <v>0</v>
      </c>
      <c r="E247" s="40">
        <f t="shared" si="92"/>
        <v>0</v>
      </c>
      <c r="F247" s="40">
        <f t="shared" si="92"/>
        <v>0</v>
      </c>
      <c r="G247" s="40">
        <f t="shared" si="92"/>
        <v>0</v>
      </c>
      <c r="H247" s="40">
        <f t="shared" si="92"/>
        <v>0</v>
      </c>
      <c r="I247" s="40">
        <f t="shared" si="92"/>
        <v>0</v>
      </c>
      <c r="J247" s="40">
        <f t="shared" si="92"/>
        <v>0</v>
      </c>
      <c r="K247" s="40">
        <f t="shared" si="92"/>
        <v>0</v>
      </c>
      <c r="L247" s="40">
        <f t="shared" si="92"/>
        <v>0</v>
      </c>
      <c r="M247" s="40">
        <f t="shared" si="92"/>
        <v>0</v>
      </c>
      <c r="N247" s="40">
        <f t="shared" si="92"/>
        <v>0</v>
      </c>
      <c r="O247" s="38">
        <f t="shared" si="92"/>
        <v>0</v>
      </c>
      <c r="P247" s="37">
        <f t="shared" si="91"/>
        <v>0</v>
      </c>
      <c r="Q247" s="41" t="str">
        <f t="shared" si="90"/>
        <v>-</v>
      </c>
    </row>
    <row r="248" spans="1:17">
      <c r="A248" s="42" t="s">
        <v>17</v>
      </c>
      <c r="B248" s="43"/>
      <c r="C248" s="44"/>
      <c r="D248" s="45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7"/>
      <c r="P248" s="48">
        <f t="shared" si="91"/>
        <v>0</v>
      </c>
      <c r="Q248" s="35" t="str">
        <f t="shared" si="90"/>
        <v>-</v>
      </c>
    </row>
    <row r="249" spans="1:17">
      <c r="A249" s="49" t="s">
        <v>81</v>
      </c>
      <c r="B249" s="37"/>
      <c r="C249" s="119"/>
      <c r="D249" s="39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38"/>
      <c r="P249" s="56">
        <f t="shared" si="91"/>
        <v>0</v>
      </c>
      <c r="Q249" s="57" t="str">
        <f t="shared" si="90"/>
        <v>-</v>
      </c>
    </row>
    <row r="250" spans="1:17">
      <c r="A250" s="58" t="s">
        <v>82</v>
      </c>
      <c r="B250" s="43"/>
      <c r="C250" s="44"/>
      <c r="D250" s="45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7"/>
      <c r="P250" s="48">
        <f t="shared" si="91"/>
        <v>0</v>
      </c>
      <c r="Q250" s="35" t="str">
        <f t="shared" si="90"/>
        <v>-</v>
      </c>
    </row>
    <row r="251" spans="1:17">
      <c r="A251" s="49" t="s">
        <v>83</v>
      </c>
      <c r="B251" s="50"/>
      <c r="C251" s="51"/>
      <c r="D251" s="52"/>
      <c r="E251" s="53"/>
      <c r="F251" s="54"/>
      <c r="G251" s="53"/>
      <c r="H251" s="53"/>
      <c r="I251" s="53"/>
      <c r="J251" s="53"/>
      <c r="K251" s="53"/>
      <c r="L251" s="53"/>
      <c r="M251" s="53"/>
      <c r="N251" s="53"/>
      <c r="O251" s="55"/>
      <c r="P251" s="56">
        <f t="shared" si="91"/>
        <v>0</v>
      </c>
      <c r="Q251" s="57" t="str">
        <f t="shared" si="90"/>
        <v>-</v>
      </c>
    </row>
    <row r="252" spans="1:17">
      <c r="A252" s="58" t="s">
        <v>84</v>
      </c>
      <c r="B252" s="29"/>
      <c r="C252" s="30"/>
      <c r="D252" s="59"/>
      <c r="E252" s="33"/>
      <c r="F252" s="33"/>
      <c r="G252" s="33"/>
      <c r="H252" s="33"/>
      <c r="I252" s="32"/>
      <c r="J252" s="32"/>
      <c r="K252" s="33"/>
      <c r="L252" s="33"/>
      <c r="M252" s="33"/>
      <c r="N252" s="33"/>
      <c r="O252" s="34"/>
      <c r="P252" s="48">
        <f t="shared" si="91"/>
        <v>0</v>
      </c>
      <c r="Q252" s="35" t="str">
        <f t="shared" si="90"/>
        <v>-</v>
      </c>
    </row>
    <row r="253" spans="1:17" ht="14.4" thickBot="1">
      <c r="A253" s="60" t="s">
        <v>18</v>
      </c>
      <c r="B253" s="61">
        <f>SUM(B249:B252)</f>
        <v>0</v>
      </c>
      <c r="C253" s="62">
        <f>SUM(C249:C252)</f>
        <v>0</v>
      </c>
      <c r="D253" s="63">
        <f>SUM(D249:D252)</f>
        <v>0</v>
      </c>
      <c r="E253" s="64">
        <f t="shared" ref="E253:P253" si="93">SUM(E249:E252)</f>
        <v>0</v>
      </c>
      <c r="F253" s="64">
        <f t="shared" si="93"/>
        <v>0</v>
      </c>
      <c r="G253" s="64">
        <f t="shared" si="93"/>
        <v>0</v>
      </c>
      <c r="H253" s="64">
        <f t="shared" si="93"/>
        <v>0</v>
      </c>
      <c r="I253" s="64">
        <f t="shared" si="93"/>
        <v>0</v>
      </c>
      <c r="J253" s="64">
        <f t="shared" si="93"/>
        <v>0</v>
      </c>
      <c r="K253" s="64">
        <f t="shared" si="93"/>
        <v>0</v>
      </c>
      <c r="L253" s="64">
        <f t="shared" si="93"/>
        <v>0</v>
      </c>
      <c r="M253" s="64">
        <f t="shared" si="93"/>
        <v>0</v>
      </c>
      <c r="N253" s="64">
        <f t="shared" si="93"/>
        <v>0</v>
      </c>
      <c r="O253" s="62">
        <f t="shared" si="93"/>
        <v>0</v>
      </c>
      <c r="P253" s="61">
        <f t="shared" si="93"/>
        <v>0</v>
      </c>
      <c r="Q253" s="65" t="str">
        <f t="shared" si="90"/>
        <v>-</v>
      </c>
    </row>
    <row r="254" spans="1:17" ht="14.4" thickBot="1">
      <c r="A254" s="13" t="s">
        <v>29</v>
      </c>
      <c r="B254" s="66">
        <f>+B255+B256</f>
        <v>0</v>
      </c>
      <c r="C254" s="67">
        <f t="shared" ref="C254:P254" si="94">SUM(C255:C256)</f>
        <v>0</v>
      </c>
      <c r="D254" s="68">
        <f t="shared" si="94"/>
        <v>0</v>
      </c>
      <c r="E254" s="69">
        <f t="shared" si="94"/>
        <v>0</v>
      </c>
      <c r="F254" s="69">
        <f t="shared" si="94"/>
        <v>0</v>
      </c>
      <c r="G254" s="69">
        <f t="shared" si="94"/>
        <v>0</v>
      </c>
      <c r="H254" s="69">
        <f t="shared" si="94"/>
        <v>0</v>
      </c>
      <c r="I254" s="69">
        <f t="shared" si="94"/>
        <v>0</v>
      </c>
      <c r="J254" s="69">
        <f t="shared" si="94"/>
        <v>0</v>
      </c>
      <c r="K254" s="69">
        <f t="shared" si="94"/>
        <v>0</v>
      </c>
      <c r="L254" s="69">
        <f t="shared" si="94"/>
        <v>0</v>
      </c>
      <c r="M254" s="69">
        <f t="shared" si="94"/>
        <v>0</v>
      </c>
      <c r="N254" s="69">
        <f t="shared" si="94"/>
        <v>0</v>
      </c>
      <c r="O254" s="70">
        <f t="shared" si="94"/>
        <v>0</v>
      </c>
      <c r="P254" s="66">
        <f t="shared" si="94"/>
        <v>0</v>
      </c>
      <c r="Q254" s="71" t="str">
        <f t="shared" si="90"/>
        <v>-</v>
      </c>
    </row>
    <row r="255" spans="1:17">
      <c r="A255" s="72" t="s">
        <v>19</v>
      </c>
      <c r="B255" s="73"/>
      <c r="C255" s="74"/>
      <c r="D255" s="75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7"/>
      <c r="P255" s="78">
        <f>SUM(D255:O255)</f>
        <v>0</v>
      </c>
      <c r="Q255" s="79" t="str">
        <f t="shared" si="90"/>
        <v>-</v>
      </c>
    </row>
    <row r="256" spans="1:17" ht="14.4" thickBot="1">
      <c r="A256" s="80" t="s">
        <v>20</v>
      </c>
      <c r="B256" s="81"/>
      <c r="C256" s="82"/>
      <c r="D256" s="83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5"/>
      <c r="P256" s="86">
        <f>SUM(D256:O256)</f>
        <v>0</v>
      </c>
      <c r="Q256" s="87" t="str">
        <f t="shared" si="90"/>
        <v>-</v>
      </c>
    </row>
    <row r="257" spans="1:17" ht="14.4" thickBot="1">
      <c r="A257" s="13" t="s">
        <v>30</v>
      </c>
      <c r="B257" s="14">
        <f t="shared" ref="B257:P257" si="95">SUM(B258:B259)</f>
        <v>0</v>
      </c>
      <c r="C257" s="67">
        <f t="shared" si="95"/>
        <v>0</v>
      </c>
      <c r="D257" s="68">
        <f t="shared" si="95"/>
        <v>0</v>
      </c>
      <c r="E257" s="69">
        <f t="shared" si="95"/>
        <v>0</v>
      </c>
      <c r="F257" s="69">
        <f t="shared" si="95"/>
        <v>0</v>
      </c>
      <c r="G257" s="69">
        <f t="shared" si="95"/>
        <v>0</v>
      </c>
      <c r="H257" s="69">
        <f t="shared" si="95"/>
        <v>0</v>
      </c>
      <c r="I257" s="69">
        <f t="shared" si="95"/>
        <v>0</v>
      </c>
      <c r="J257" s="69">
        <f t="shared" si="95"/>
        <v>0</v>
      </c>
      <c r="K257" s="69">
        <f t="shared" si="95"/>
        <v>0</v>
      </c>
      <c r="L257" s="69">
        <f t="shared" si="95"/>
        <v>0</v>
      </c>
      <c r="M257" s="69">
        <f t="shared" si="95"/>
        <v>0</v>
      </c>
      <c r="N257" s="69">
        <f t="shared" si="95"/>
        <v>0</v>
      </c>
      <c r="O257" s="70">
        <f t="shared" si="95"/>
        <v>0</v>
      </c>
      <c r="P257" s="66">
        <f t="shared" si="95"/>
        <v>0</v>
      </c>
      <c r="Q257" s="71" t="str">
        <f t="shared" si="90"/>
        <v>-</v>
      </c>
    </row>
    <row r="258" spans="1:17">
      <c r="A258" s="72" t="s">
        <v>106</v>
      </c>
      <c r="B258" s="73"/>
      <c r="C258" s="74"/>
      <c r="D258" s="75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7"/>
      <c r="P258" s="78">
        <f>SUM(D258:O258)</f>
        <v>0</v>
      </c>
      <c r="Q258" s="79" t="str">
        <f t="shared" si="90"/>
        <v>-</v>
      </c>
    </row>
    <row r="259" spans="1:17" ht="14.4" thickBot="1">
      <c r="A259" s="122" t="s">
        <v>105</v>
      </c>
      <c r="B259" s="123"/>
      <c r="C259" s="124"/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7"/>
      <c r="P259" s="128">
        <f>SUM(D259:O259)</f>
        <v>0</v>
      </c>
      <c r="Q259" s="129" t="str">
        <f t="shared" si="90"/>
        <v>-</v>
      </c>
    </row>
    <row r="260" spans="1:17" ht="14.4" thickBot="1">
      <c r="C260" s="3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9"/>
    </row>
    <row r="261" spans="1:17" ht="14.4" thickBot="1">
      <c r="A261" s="13" t="s">
        <v>86</v>
      </c>
      <c r="B261" s="14"/>
      <c r="C261" s="15"/>
      <c r="D261" s="16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20"/>
      <c r="P261" s="14">
        <f>SUM(D261:O261)</f>
        <v>0</v>
      </c>
      <c r="Q261" s="18" t="str">
        <f>IF(P261=0,"-",P261/C261-1)</f>
        <v>-</v>
      </c>
    </row>
    <row r="262" spans="1:17" ht="14.4" thickBot="1">
      <c r="A262" s="90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2"/>
    </row>
    <row r="263" spans="1:17" ht="14.4" thickBot="1">
      <c r="A263" s="13" t="s">
        <v>31</v>
      </c>
      <c r="B263" s="14">
        <f t="shared" ref="B263:G263" si="96">+B244+B254+B257+B261</f>
        <v>0</v>
      </c>
      <c r="C263" s="15">
        <f t="shared" si="96"/>
        <v>0</v>
      </c>
      <c r="D263" s="16">
        <f t="shared" si="96"/>
        <v>0</v>
      </c>
      <c r="E263" s="17">
        <f t="shared" si="96"/>
        <v>0</v>
      </c>
      <c r="F263" s="17">
        <f t="shared" si="96"/>
        <v>0</v>
      </c>
      <c r="G263" s="17">
        <f t="shared" si="96"/>
        <v>0</v>
      </c>
      <c r="H263" s="17">
        <f t="shared" ref="H263:P263" si="97">+H244+H254+H257+H261</f>
        <v>0</v>
      </c>
      <c r="I263" s="17">
        <f t="shared" si="97"/>
        <v>0</v>
      </c>
      <c r="J263" s="17">
        <f t="shared" si="97"/>
        <v>0</v>
      </c>
      <c r="K263" s="17">
        <f t="shared" si="97"/>
        <v>0</v>
      </c>
      <c r="L263" s="17">
        <f t="shared" si="97"/>
        <v>0</v>
      </c>
      <c r="M263" s="17">
        <f t="shared" si="97"/>
        <v>0</v>
      </c>
      <c r="N263" s="17">
        <f t="shared" si="97"/>
        <v>0</v>
      </c>
      <c r="O263" s="15">
        <f t="shared" si="97"/>
        <v>0</v>
      </c>
      <c r="P263" s="14">
        <f t="shared" si="97"/>
        <v>0</v>
      </c>
      <c r="Q263" s="18" t="str">
        <f>IF(P263=0,"-",P263/C263-1)</f>
        <v>-</v>
      </c>
    </row>
    <row r="265" spans="1:17" ht="14.4" thickBot="1"/>
    <row r="266" spans="1:17" ht="18.600000000000001" thickBot="1">
      <c r="A266" s="5"/>
      <c r="B266" s="2372" t="s">
        <v>34</v>
      </c>
      <c r="C266" s="2373"/>
      <c r="D266" s="2313" t="s">
        <v>100</v>
      </c>
      <c r="E266" s="2314"/>
      <c r="F266" s="2314"/>
      <c r="G266" s="2314"/>
      <c r="H266" s="2314"/>
      <c r="I266" s="2314"/>
      <c r="J266" s="2314"/>
      <c r="K266" s="2314"/>
      <c r="L266" s="2314"/>
      <c r="M266" s="2314"/>
      <c r="N266" s="2314"/>
      <c r="O266" s="2314"/>
      <c r="P266" s="2315"/>
      <c r="Q266" s="6" t="s">
        <v>294</v>
      </c>
    </row>
    <row r="267" spans="1:17" ht="28.2" thickBot="1">
      <c r="A267" s="7"/>
      <c r="B267" s="8" t="s">
        <v>87</v>
      </c>
      <c r="C267" s="8" t="s">
        <v>0</v>
      </c>
      <c r="D267" s="9" t="s">
        <v>1</v>
      </c>
      <c r="E267" s="10" t="s">
        <v>2</v>
      </c>
      <c r="F267" s="10" t="s">
        <v>3</v>
      </c>
      <c r="G267" s="10" t="s">
        <v>4</v>
      </c>
      <c r="H267" s="10" t="s">
        <v>5</v>
      </c>
      <c r="I267" s="10" t="s">
        <v>6</v>
      </c>
      <c r="J267" s="10" t="s">
        <v>7</v>
      </c>
      <c r="K267" s="10" t="s">
        <v>8</v>
      </c>
      <c r="L267" s="10" t="s">
        <v>9</v>
      </c>
      <c r="M267" s="10" t="s">
        <v>10</v>
      </c>
      <c r="N267" s="10" t="s">
        <v>11</v>
      </c>
      <c r="O267" s="10" t="s">
        <v>12</v>
      </c>
      <c r="P267" s="11" t="s">
        <v>13</v>
      </c>
      <c r="Q267" s="12" t="s">
        <v>14</v>
      </c>
    </row>
    <row r="268" spans="1:17" ht="14.4" thickBot="1">
      <c r="A268" s="13" t="s">
        <v>28</v>
      </c>
      <c r="B268" s="14">
        <f>B271+B272+B277</f>
        <v>0</v>
      </c>
      <c r="C268" s="15">
        <f t="shared" ref="C268:P268" si="98">C271+C272+C277</f>
        <v>0</v>
      </c>
      <c r="D268" s="16">
        <f t="shared" si="98"/>
        <v>0</v>
      </c>
      <c r="E268" s="17">
        <f t="shared" si="98"/>
        <v>0</v>
      </c>
      <c r="F268" s="17">
        <f t="shared" si="98"/>
        <v>0</v>
      </c>
      <c r="G268" s="17">
        <f t="shared" si="98"/>
        <v>0</v>
      </c>
      <c r="H268" s="17">
        <f t="shared" si="98"/>
        <v>0</v>
      </c>
      <c r="I268" s="17">
        <f t="shared" si="98"/>
        <v>0</v>
      </c>
      <c r="J268" s="17">
        <f t="shared" si="98"/>
        <v>0</v>
      </c>
      <c r="K268" s="17">
        <f t="shared" si="98"/>
        <v>0</v>
      </c>
      <c r="L268" s="17">
        <f t="shared" si="98"/>
        <v>0</v>
      </c>
      <c r="M268" s="17">
        <f t="shared" si="98"/>
        <v>0</v>
      </c>
      <c r="N268" s="17">
        <f t="shared" si="98"/>
        <v>0</v>
      </c>
      <c r="O268" s="15">
        <f t="shared" si="98"/>
        <v>0</v>
      </c>
      <c r="P268" s="14">
        <f t="shared" si="98"/>
        <v>0</v>
      </c>
      <c r="Q268" s="18" t="str">
        <f t="shared" ref="Q268:Q283" si="99">IF(P268=0,"-",P268/C268-1)</f>
        <v>-</v>
      </c>
    </row>
    <row r="269" spans="1:17">
      <c r="A269" s="19" t="s">
        <v>15</v>
      </c>
      <c r="B269" s="20"/>
      <c r="C269" s="21"/>
      <c r="D269" s="22"/>
      <c r="E269" s="23"/>
      <c r="F269" s="23"/>
      <c r="G269" s="23"/>
      <c r="H269" s="24"/>
      <c r="I269" s="24"/>
      <c r="J269" s="24"/>
      <c r="K269" s="24"/>
      <c r="L269" s="24"/>
      <c r="M269" s="24"/>
      <c r="N269" s="24"/>
      <c r="O269" s="25"/>
      <c r="P269" s="20">
        <f t="shared" ref="P269:P276" si="100">SUM(D269:O269)</f>
        <v>0</v>
      </c>
      <c r="Q269" s="26" t="str">
        <f t="shared" si="99"/>
        <v>-</v>
      </c>
    </row>
    <row r="270" spans="1:17">
      <c r="A270" s="28" t="s">
        <v>16</v>
      </c>
      <c r="B270" s="29"/>
      <c r="C270" s="30"/>
      <c r="D270" s="31"/>
      <c r="E270" s="32"/>
      <c r="F270" s="32"/>
      <c r="G270" s="32"/>
      <c r="H270" s="33"/>
      <c r="I270" s="33"/>
      <c r="J270" s="33"/>
      <c r="K270" s="33"/>
      <c r="L270" s="33"/>
      <c r="M270" s="33"/>
      <c r="N270" s="33"/>
      <c r="O270" s="34"/>
      <c r="P270" s="29">
        <f t="shared" si="100"/>
        <v>0</v>
      </c>
      <c r="Q270" s="35" t="str">
        <f t="shared" si="99"/>
        <v>-</v>
      </c>
    </row>
    <row r="271" spans="1:17">
      <c r="A271" s="36" t="s">
        <v>27</v>
      </c>
      <c r="B271" s="37">
        <f>+B269+B270</f>
        <v>0</v>
      </c>
      <c r="C271" s="38">
        <f>+C270+C269</f>
        <v>0</v>
      </c>
      <c r="D271" s="39">
        <f t="shared" ref="D271:O271" si="101">SUM(D269:D270)</f>
        <v>0</v>
      </c>
      <c r="E271" s="40">
        <f t="shared" si="101"/>
        <v>0</v>
      </c>
      <c r="F271" s="40">
        <f t="shared" si="101"/>
        <v>0</v>
      </c>
      <c r="G271" s="40">
        <f t="shared" si="101"/>
        <v>0</v>
      </c>
      <c r="H271" s="40">
        <f t="shared" si="101"/>
        <v>0</v>
      </c>
      <c r="I271" s="40">
        <f t="shared" si="101"/>
        <v>0</v>
      </c>
      <c r="J271" s="40">
        <f t="shared" si="101"/>
        <v>0</v>
      </c>
      <c r="K271" s="40">
        <f t="shared" si="101"/>
        <v>0</v>
      </c>
      <c r="L271" s="40">
        <f t="shared" si="101"/>
        <v>0</v>
      </c>
      <c r="M271" s="40">
        <f t="shared" si="101"/>
        <v>0</v>
      </c>
      <c r="N271" s="40">
        <f t="shared" si="101"/>
        <v>0</v>
      </c>
      <c r="O271" s="38">
        <f t="shared" si="101"/>
        <v>0</v>
      </c>
      <c r="P271" s="37">
        <f t="shared" si="100"/>
        <v>0</v>
      </c>
      <c r="Q271" s="41" t="str">
        <f t="shared" si="99"/>
        <v>-</v>
      </c>
    </row>
    <row r="272" spans="1:17">
      <c r="A272" s="42" t="s">
        <v>17</v>
      </c>
      <c r="B272" s="43"/>
      <c r="C272" s="44"/>
      <c r="D272" s="45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7"/>
      <c r="P272" s="48">
        <f t="shared" si="100"/>
        <v>0</v>
      </c>
      <c r="Q272" s="35" t="str">
        <f t="shared" si="99"/>
        <v>-</v>
      </c>
    </row>
    <row r="273" spans="1:17">
      <c r="A273" s="49" t="s">
        <v>81</v>
      </c>
      <c r="B273" s="37"/>
      <c r="C273" s="119"/>
      <c r="D273" s="39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38"/>
      <c r="P273" s="56">
        <f t="shared" si="100"/>
        <v>0</v>
      </c>
      <c r="Q273" s="57" t="str">
        <f t="shared" si="99"/>
        <v>-</v>
      </c>
    </row>
    <row r="274" spans="1:17">
      <c r="A274" s="58" t="s">
        <v>82</v>
      </c>
      <c r="B274" s="43"/>
      <c r="C274" s="44"/>
      <c r="D274" s="45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7"/>
      <c r="P274" s="48">
        <f t="shared" si="100"/>
        <v>0</v>
      </c>
      <c r="Q274" s="35" t="str">
        <f t="shared" si="99"/>
        <v>-</v>
      </c>
    </row>
    <row r="275" spans="1:17">
      <c r="A275" s="49" t="s">
        <v>83</v>
      </c>
      <c r="B275" s="50"/>
      <c r="C275" s="51"/>
      <c r="D275" s="52"/>
      <c r="E275" s="53"/>
      <c r="F275" s="54"/>
      <c r="G275" s="53"/>
      <c r="H275" s="53"/>
      <c r="I275" s="53"/>
      <c r="J275" s="53"/>
      <c r="K275" s="53"/>
      <c r="L275" s="53"/>
      <c r="M275" s="53"/>
      <c r="N275" s="53"/>
      <c r="O275" s="55"/>
      <c r="P275" s="56">
        <f t="shared" si="100"/>
        <v>0</v>
      </c>
      <c r="Q275" s="57" t="str">
        <f t="shared" si="99"/>
        <v>-</v>
      </c>
    </row>
    <row r="276" spans="1:17">
      <c r="A276" s="58" t="s">
        <v>84</v>
      </c>
      <c r="B276" s="29"/>
      <c r="C276" s="30"/>
      <c r="D276" s="59"/>
      <c r="E276" s="33"/>
      <c r="F276" s="33"/>
      <c r="G276" s="33"/>
      <c r="H276" s="33"/>
      <c r="I276" s="32"/>
      <c r="J276" s="32"/>
      <c r="K276" s="33"/>
      <c r="L276" s="33"/>
      <c r="M276" s="33"/>
      <c r="N276" s="33"/>
      <c r="O276" s="34"/>
      <c r="P276" s="48">
        <f t="shared" si="100"/>
        <v>0</v>
      </c>
      <c r="Q276" s="35" t="str">
        <f t="shared" si="99"/>
        <v>-</v>
      </c>
    </row>
    <row r="277" spans="1:17" ht="14.4" thickBot="1">
      <c r="A277" s="60" t="s">
        <v>18</v>
      </c>
      <c r="B277" s="61">
        <f>SUM(B273:B276)</f>
        <v>0</v>
      </c>
      <c r="C277" s="62">
        <f>SUM(C273:C276)</f>
        <v>0</v>
      </c>
      <c r="D277" s="63">
        <f>SUM(D273:D276)</f>
        <v>0</v>
      </c>
      <c r="E277" s="64">
        <f t="shared" ref="E277:P277" si="102">SUM(E273:E276)</f>
        <v>0</v>
      </c>
      <c r="F277" s="64">
        <f t="shared" si="102"/>
        <v>0</v>
      </c>
      <c r="G277" s="64">
        <f t="shared" si="102"/>
        <v>0</v>
      </c>
      <c r="H277" s="64">
        <f t="shared" si="102"/>
        <v>0</v>
      </c>
      <c r="I277" s="64">
        <f t="shared" si="102"/>
        <v>0</v>
      </c>
      <c r="J277" s="64">
        <f t="shared" si="102"/>
        <v>0</v>
      </c>
      <c r="K277" s="64">
        <f t="shared" si="102"/>
        <v>0</v>
      </c>
      <c r="L277" s="64">
        <f t="shared" si="102"/>
        <v>0</v>
      </c>
      <c r="M277" s="64">
        <f t="shared" si="102"/>
        <v>0</v>
      </c>
      <c r="N277" s="64">
        <f t="shared" si="102"/>
        <v>0</v>
      </c>
      <c r="O277" s="62">
        <f t="shared" si="102"/>
        <v>0</v>
      </c>
      <c r="P277" s="61">
        <f t="shared" si="102"/>
        <v>0</v>
      </c>
      <c r="Q277" s="65" t="str">
        <f t="shared" si="99"/>
        <v>-</v>
      </c>
    </row>
    <row r="278" spans="1:17" ht="14.4" thickBot="1">
      <c r="A278" s="13" t="s">
        <v>29</v>
      </c>
      <c r="B278" s="66">
        <f>+B279+B280</f>
        <v>0</v>
      </c>
      <c r="C278" s="67">
        <f t="shared" ref="C278:P278" si="103">SUM(C279:C280)</f>
        <v>0</v>
      </c>
      <c r="D278" s="68">
        <f t="shared" si="103"/>
        <v>0</v>
      </c>
      <c r="E278" s="69">
        <f t="shared" si="103"/>
        <v>0</v>
      </c>
      <c r="F278" s="69">
        <f t="shared" si="103"/>
        <v>0</v>
      </c>
      <c r="G278" s="69">
        <f t="shared" si="103"/>
        <v>0</v>
      </c>
      <c r="H278" s="69">
        <f t="shared" si="103"/>
        <v>0</v>
      </c>
      <c r="I278" s="69">
        <f t="shared" si="103"/>
        <v>0</v>
      </c>
      <c r="J278" s="69">
        <f t="shared" si="103"/>
        <v>0</v>
      </c>
      <c r="K278" s="69">
        <f t="shared" si="103"/>
        <v>0</v>
      </c>
      <c r="L278" s="69">
        <f t="shared" si="103"/>
        <v>0</v>
      </c>
      <c r="M278" s="69">
        <f t="shared" si="103"/>
        <v>0</v>
      </c>
      <c r="N278" s="69">
        <f t="shared" si="103"/>
        <v>0</v>
      </c>
      <c r="O278" s="70">
        <f t="shared" si="103"/>
        <v>0</v>
      </c>
      <c r="P278" s="66">
        <f t="shared" si="103"/>
        <v>0</v>
      </c>
      <c r="Q278" s="71" t="str">
        <f t="shared" si="99"/>
        <v>-</v>
      </c>
    </row>
    <row r="279" spans="1:17">
      <c r="A279" s="72" t="s">
        <v>19</v>
      </c>
      <c r="B279" s="73"/>
      <c r="C279" s="74"/>
      <c r="D279" s="75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7"/>
      <c r="P279" s="78">
        <f>SUM(D279:O279)</f>
        <v>0</v>
      </c>
      <c r="Q279" s="79" t="str">
        <f t="shared" si="99"/>
        <v>-</v>
      </c>
    </row>
    <row r="280" spans="1:17" ht="14.4" thickBot="1">
      <c r="A280" s="80" t="s">
        <v>20</v>
      </c>
      <c r="B280" s="81"/>
      <c r="C280" s="82"/>
      <c r="D280" s="8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5"/>
      <c r="P280" s="86">
        <f>SUM(D280:O280)</f>
        <v>0</v>
      </c>
      <c r="Q280" s="87" t="str">
        <f t="shared" si="99"/>
        <v>-</v>
      </c>
    </row>
    <row r="281" spans="1:17" ht="14.4" thickBot="1">
      <c r="A281" s="13" t="s">
        <v>30</v>
      </c>
      <c r="B281" s="14">
        <f t="shared" ref="B281:P281" si="104">SUM(B282:B283)</f>
        <v>0</v>
      </c>
      <c r="C281" s="67">
        <f t="shared" si="104"/>
        <v>0</v>
      </c>
      <c r="D281" s="68">
        <f t="shared" si="104"/>
        <v>0</v>
      </c>
      <c r="E281" s="69">
        <f t="shared" si="104"/>
        <v>0</v>
      </c>
      <c r="F281" s="69">
        <f t="shared" si="104"/>
        <v>0</v>
      </c>
      <c r="G281" s="69">
        <f t="shared" si="104"/>
        <v>0</v>
      </c>
      <c r="H281" s="69">
        <f t="shared" si="104"/>
        <v>0</v>
      </c>
      <c r="I281" s="69">
        <f t="shared" si="104"/>
        <v>0</v>
      </c>
      <c r="J281" s="69">
        <f t="shared" si="104"/>
        <v>0</v>
      </c>
      <c r="K281" s="69">
        <f t="shared" si="104"/>
        <v>0</v>
      </c>
      <c r="L281" s="69">
        <f t="shared" si="104"/>
        <v>0</v>
      </c>
      <c r="M281" s="69">
        <f t="shared" si="104"/>
        <v>0</v>
      </c>
      <c r="N281" s="69">
        <f t="shared" si="104"/>
        <v>0</v>
      </c>
      <c r="O281" s="70">
        <f t="shared" si="104"/>
        <v>0</v>
      </c>
      <c r="P281" s="66">
        <f t="shared" si="104"/>
        <v>0</v>
      </c>
      <c r="Q281" s="71" t="str">
        <f t="shared" si="99"/>
        <v>-</v>
      </c>
    </row>
    <row r="282" spans="1:17">
      <c r="A282" s="72" t="s">
        <v>106</v>
      </c>
      <c r="B282" s="73"/>
      <c r="C282" s="74"/>
      <c r="D282" s="75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7"/>
      <c r="P282" s="78">
        <f>SUM(D282:O282)</f>
        <v>0</v>
      </c>
      <c r="Q282" s="79" t="str">
        <f t="shared" si="99"/>
        <v>-</v>
      </c>
    </row>
    <row r="283" spans="1:17" ht="14.4" thickBot="1">
      <c r="A283" s="122" t="s">
        <v>105</v>
      </c>
      <c r="B283" s="123"/>
      <c r="C283" s="124"/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7"/>
      <c r="P283" s="128">
        <f>SUM(D283:O283)</f>
        <v>0</v>
      </c>
      <c r="Q283" s="129" t="str">
        <f t="shared" si="99"/>
        <v>-</v>
      </c>
    </row>
    <row r="284" spans="1:17" ht="14.4" thickBot="1">
      <c r="C284" s="3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9"/>
    </row>
    <row r="285" spans="1:17" ht="14.4" thickBot="1">
      <c r="A285" s="13" t="s">
        <v>86</v>
      </c>
      <c r="B285" s="14"/>
      <c r="C285" s="15"/>
      <c r="D285" s="16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20"/>
      <c r="P285" s="14">
        <f>SUM(D285:O285)</f>
        <v>0</v>
      </c>
      <c r="Q285" s="18" t="str">
        <f>IF(P285=0,"-",P285/C285-1)</f>
        <v>-</v>
      </c>
    </row>
    <row r="286" spans="1:17" ht="14.4" thickBot="1">
      <c r="A286" s="90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2"/>
    </row>
    <row r="287" spans="1:17" ht="14.4" thickBot="1">
      <c r="A287" s="13" t="s">
        <v>31</v>
      </c>
      <c r="B287" s="14">
        <f t="shared" ref="B287:G287" si="105">+B268+B278+B281+B285</f>
        <v>0</v>
      </c>
      <c r="C287" s="15">
        <f t="shared" si="105"/>
        <v>0</v>
      </c>
      <c r="D287" s="16">
        <f t="shared" si="105"/>
        <v>0</v>
      </c>
      <c r="E287" s="17">
        <f t="shared" si="105"/>
        <v>0</v>
      </c>
      <c r="F287" s="17">
        <f t="shared" si="105"/>
        <v>0</v>
      </c>
      <c r="G287" s="17">
        <f t="shared" si="105"/>
        <v>0</v>
      </c>
      <c r="H287" s="17">
        <f t="shared" ref="H287:P287" si="106">+H268+H278+H281+H285</f>
        <v>0</v>
      </c>
      <c r="I287" s="17">
        <f t="shared" si="106"/>
        <v>0</v>
      </c>
      <c r="J287" s="17">
        <f t="shared" si="106"/>
        <v>0</v>
      </c>
      <c r="K287" s="17">
        <f t="shared" si="106"/>
        <v>0</v>
      </c>
      <c r="L287" s="17">
        <f t="shared" si="106"/>
        <v>0</v>
      </c>
      <c r="M287" s="17">
        <f t="shared" si="106"/>
        <v>0</v>
      </c>
      <c r="N287" s="17">
        <f t="shared" si="106"/>
        <v>0</v>
      </c>
      <c r="O287" s="15">
        <f t="shared" si="106"/>
        <v>0</v>
      </c>
      <c r="P287" s="14">
        <f t="shared" si="106"/>
        <v>0</v>
      </c>
      <c r="Q287" s="18" t="str">
        <f>IF(P287=0,"-",P287/C287-1)</f>
        <v>-</v>
      </c>
    </row>
    <row r="289" spans="1:17" ht="14.4" thickBot="1"/>
    <row r="290" spans="1:17" ht="18.600000000000001" thickBot="1">
      <c r="A290" s="5"/>
      <c r="B290" s="2372" t="s">
        <v>34</v>
      </c>
      <c r="C290" s="2373"/>
      <c r="D290" s="2313" t="s">
        <v>101</v>
      </c>
      <c r="E290" s="2314"/>
      <c r="F290" s="2314"/>
      <c r="G290" s="2314"/>
      <c r="H290" s="2314"/>
      <c r="I290" s="2314"/>
      <c r="J290" s="2314"/>
      <c r="K290" s="2314"/>
      <c r="L290" s="2314"/>
      <c r="M290" s="2314"/>
      <c r="N290" s="2314"/>
      <c r="O290" s="2314"/>
      <c r="P290" s="2315"/>
      <c r="Q290" s="6" t="s">
        <v>294</v>
      </c>
    </row>
    <row r="291" spans="1:17" ht="28.2" thickBot="1">
      <c r="A291" s="7"/>
      <c r="B291" s="8" t="s">
        <v>87</v>
      </c>
      <c r="C291" s="8" t="s">
        <v>0</v>
      </c>
      <c r="D291" s="9" t="s">
        <v>1</v>
      </c>
      <c r="E291" s="10" t="s">
        <v>2</v>
      </c>
      <c r="F291" s="10" t="s">
        <v>3</v>
      </c>
      <c r="G291" s="10" t="s">
        <v>4</v>
      </c>
      <c r="H291" s="10" t="s">
        <v>5</v>
      </c>
      <c r="I291" s="10" t="s">
        <v>6</v>
      </c>
      <c r="J291" s="10" t="s">
        <v>7</v>
      </c>
      <c r="K291" s="10" t="s">
        <v>8</v>
      </c>
      <c r="L291" s="10" t="s">
        <v>9</v>
      </c>
      <c r="M291" s="10" t="s">
        <v>10</v>
      </c>
      <c r="N291" s="10" t="s">
        <v>11</v>
      </c>
      <c r="O291" s="10" t="s">
        <v>12</v>
      </c>
      <c r="P291" s="11" t="s">
        <v>13</v>
      </c>
      <c r="Q291" s="12" t="s">
        <v>14</v>
      </c>
    </row>
    <row r="292" spans="1:17" ht="14.4" thickBot="1">
      <c r="A292" s="13" t="s">
        <v>28</v>
      </c>
      <c r="B292" s="14">
        <f>B295+B296+B301</f>
        <v>0</v>
      </c>
      <c r="C292" s="15">
        <f t="shared" ref="C292:P292" si="107">C295+C296+C301</f>
        <v>0</v>
      </c>
      <c r="D292" s="16">
        <f t="shared" si="107"/>
        <v>0</v>
      </c>
      <c r="E292" s="17">
        <f t="shared" si="107"/>
        <v>0</v>
      </c>
      <c r="F292" s="17">
        <f t="shared" si="107"/>
        <v>0</v>
      </c>
      <c r="G292" s="17">
        <f t="shared" si="107"/>
        <v>0</v>
      </c>
      <c r="H292" s="17">
        <f t="shared" si="107"/>
        <v>0</v>
      </c>
      <c r="I292" s="17">
        <f t="shared" si="107"/>
        <v>0</v>
      </c>
      <c r="J292" s="17">
        <f t="shared" si="107"/>
        <v>0</v>
      </c>
      <c r="K292" s="17">
        <f t="shared" si="107"/>
        <v>0</v>
      </c>
      <c r="L292" s="17">
        <f t="shared" si="107"/>
        <v>0</v>
      </c>
      <c r="M292" s="17">
        <f t="shared" si="107"/>
        <v>0</v>
      </c>
      <c r="N292" s="17">
        <f t="shared" si="107"/>
        <v>0</v>
      </c>
      <c r="O292" s="15">
        <f t="shared" si="107"/>
        <v>0</v>
      </c>
      <c r="P292" s="14">
        <f t="shared" si="107"/>
        <v>0</v>
      </c>
      <c r="Q292" s="18" t="str">
        <f t="shared" ref="Q292:Q307" si="108">IF(P292=0,"-",P292/C292-1)</f>
        <v>-</v>
      </c>
    </row>
    <row r="293" spans="1:17">
      <c r="A293" s="19" t="s">
        <v>15</v>
      </c>
      <c r="B293" s="20"/>
      <c r="C293" s="21"/>
      <c r="D293" s="22"/>
      <c r="E293" s="23"/>
      <c r="F293" s="23"/>
      <c r="G293" s="23"/>
      <c r="H293" s="24"/>
      <c r="I293" s="24"/>
      <c r="J293" s="24"/>
      <c r="K293" s="24"/>
      <c r="L293" s="24"/>
      <c r="M293" s="24"/>
      <c r="N293" s="24"/>
      <c r="O293" s="25"/>
      <c r="P293" s="20">
        <f t="shared" ref="P293:P300" si="109">SUM(D293:O293)</f>
        <v>0</v>
      </c>
      <c r="Q293" s="26" t="str">
        <f t="shared" si="108"/>
        <v>-</v>
      </c>
    </row>
    <row r="294" spans="1:17">
      <c r="A294" s="28" t="s">
        <v>16</v>
      </c>
      <c r="B294" s="29"/>
      <c r="C294" s="30"/>
      <c r="D294" s="31"/>
      <c r="E294" s="32"/>
      <c r="F294" s="32"/>
      <c r="G294" s="32"/>
      <c r="H294" s="33"/>
      <c r="I294" s="33"/>
      <c r="J294" s="33"/>
      <c r="K294" s="33"/>
      <c r="L294" s="33"/>
      <c r="M294" s="33"/>
      <c r="N294" s="33"/>
      <c r="O294" s="34"/>
      <c r="P294" s="29">
        <f t="shared" si="109"/>
        <v>0</v>
      </c>
      <c r="Q294" s="35" t="str">
        <f t="shared" si="108"/>
        <v>-</v>
      </c>
    </row>
    <row r="295" spans="1:17">
      <c r="A295" s="36" t="s">
        <v>27</v>
      </c>
      <c r="B295" s="37">
        <f>+B293+B294</f>
        <v>0</v>
      </c>
      <c r="C295" s="38">
        <f>+C294+C293</f>
        <v>0</v>
      </c>
      <c r="D295" s="39">
        <f t="shared" ref="D295:O295" si="110">SUM(D293:D294)</f>
        <v>0</v>
      </c>
      <c r="E295" s="40">
        <f t="shared" si="110"/>
        <v>0</v>
      </c>
      <c r="F295" s="40">
        <f t="shared" si="110"/>
        <v>0</v>
      </c>
      <c r="G295" s="40">
        <f t="shared" si="110"/>
        <v>0</v>
      </c>
      <c r="H295" s="40">
        <f t="shared" si="110"/>
        <v>0</v>
      </c>
      <c r="I295" s="40">
        <f t="shared" si="110"/>
        <v>0</v>
      </c>
      <c r="J295" s="40">
        <f t="shared" si="110"/>
        <v>0</v>
      </c>
      <c r="K295" s="40">
        <f t="shared" si="110"/>
        <v>0</v>
      </c>
      <c r="L295" s="40">
        <f t="shared" si="110"/>
        <v>0</v>
      </c>
      <c r="M295" s="40">
        <f t="shared" si="110"/>
        <v>0</v>
      </c>
      <c r="N295" s="40">
        <f t="shared" si="110"/>
        <v>0</v>
      </c>
      <c r="O295" s="38">
        <f t="shared" si="110"/>
        <v>0</v>
      </c>
      <c r="P295" s="37">
        <f t="shared" si="109"/>
        <v>0</v>
      </c>
      <c r="Q295" s="41" t="str">
        <f t="shared" si="108"/>
        <v>-</v>
      </c>
    </row>
    <row r="296" spans="1:17">
      <c r="A296" s="42" t="s">
        <v>17</v>
      </c>
      <c r="B296" s="43"/>
      <c r="C296" s="44"/>
      <c r="D296" s="45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7"/>
      <c r="P296" s="48">
        <f t="shared" si="109"/>
        <v>0</v>
      </c>
      <c r="Q296" s="35" t="str">
        <f t="shared" si="108"/>
        <v>-</v>
      </c>
    </row>
    <row r="297" spans="1:17">
      <c r="A297" s="49" t="s">
        <v>81</v>
      </c>
      <c r="B297" s="37"/>
      <c r="C297" s="119"/>
      <c r="D297" s="39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38"/>
      <c r="P297" s="56">
        <f t="shared" si="109"/>
        <v>0</v>
      </c>
      <c r="Q297" s="57" t="str">
        <f t="shared" si="108"/>
        <v>-</v>
      </c>
    </row>
    <row r="298" spans="1:17">
      <c r="A298" s="58" t="s">
        <v>82</v>
      </c>
      <c r="B298" s="43"/>
      <c r="C298" s="44"/>
      <c r="D298" s="45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7"/>
      <c r="P298" s="48">
        <f t="shared" si="109"/>
        <v>0</v>
      </c>
      <c r="Q298" s="35" t="str">
        <f t="shared" si="108"/>
        <v>-</v>
      </c>
    </row>
    <row r="299" spans="1:17">
      <c r="A299" s="49" t="s">
        <v>83</v>
      </c>
      <c r="B299" s="50"/>
      <c r="C299" s="51"/>
      <c r="D299" s="52"/>
      <c r="E299" s="53"/>
      <c r="F299" s="54"/>
      <c r="G299" s="53"/>
      <c r="H299" s="53"/>
      <c r="I299" s="53"/>
      <c r="J299" s="53"/>
      <c r="K299" s="53"/>
      <c r="L299" s="53"/>
      <c r="M299" s="53"/>
      <c r="N299" s="53"/>
      <c r="O299" s="55"/>
      <c r="P299" s="56">
        <f t="shared" si="109"/>
        <v>0</v>
      </c>
      <c r="Q299" s="57" t="str">
        <f t="shared" si="108"/>
        <v>-</v>
      </c>
    </row>
    <row r="300" spans="1:17">
      <c r="A300" s="58" t="s">
        <v>84</v>
      </c>
      <c r="B300" s="29"/>
      <c r="C300" s="30"/>
      <c r="D300" s="59"/>
      <c r="E300" s="33"/>
      <c r="F300" s="33"/>
      <c r="G300" s="33"/>
      <c r="H300" s="33"/>
      <c r="I300" s="32"/>
      <c r="J300" s="32"/>
      <c r="K300" s="33"/>
      <c r="L300" s="33"/>
      <c r="M300" s="33"/>
      <c r="N300" s="33"/>
      <c r="O300" s="34"/>
      <c r="P300" s="48">
        <f t="shared" si="109"/>
        <v>0</v>
      </c>
      <c r="Q300" s="35" t="str">
        <f t="shared" si="108"/>
        <v>-</v>
      </c>
    </row>
    <row r="301" spans="1:17" ht="14.4" thickBot="1">
      <c r="A301" s="60" t="s">
        <v>18</v>
      </c>
      <c r="B301" s="61">
        <f>SUM(B297:B300)</f>
        <v>0</v>
      </c>
      <c r="C301" s="62">
        <f>SUM(C297:C300)</f>
        <v>0</v>
      </c>
      <c r="D301" s="63">
        <f>SUM(D297:D300)</f>
        <v>0</v>
      </c>
      <c r="E301" s="64">
        <f t="shared" ref="E301:P301" si="111">SUM(E297:E300)</f>
        <v>0</v>
      </c>
      <c r="F301" s="64">
        <f t="shared" si="111"/>
        <v>0</v>
      </c>
      <c r="G301" s="64">
        <f t="shared" si="111"/>
        <v>0</v>
      </c>
      <c r="H301" s="64">
        <f t="shared" si="111"/>
        <v>0</v>
      </c>
      <c r="I301" s="64">
        <f t="shared" si="111"/>
        <v>0</v>
      </c>
      <c r="J301" s="64">
        <f t="shared" si="111"/>
        <v>0</v>
      </c>
      <c r="K301" s="64">
        <f t="shared" si="111"/>
        <v>0</v>
      </c>
      <c r="L301" s="64">
        <f t="shared" si="111"/>
        <v>0</v>
      </c>
      <c r="M301" s="64">
        <f t="shared" si="111"/>
        <v>0</v>
      </c>
      <c r="N301" s="64">
        <f t="shared" si="111"/>
        <v>0</v>
      </c>
      <c r="O301" s="62">
        <f t="shared" si="111"/>
        <v>0</v>
      </c>
      <c r="P301" s="61">
        <f t="shared" si="111"/>
        <v>0</v>
      </c>
      <c r="Q301" s="65" t="str">
        <f t="shared" si="108"/>
        <v>-</v>
      </c>
    </row>
    <row r="302" spans="1:17" ht="14.4" thickBot="1">
      <c r="A302" s="13" t="s">
        <v>29</v>
      </c>
      <c r="B302" s="66">
        <f>+B303+B304</f>
        <v>0</v>
      </c>
      <c r="C302" s="67">
        <f t="shared" ref="C302:P302" si="112">SUM(C303:C304)</f>
        <v>0</v>
      </c>
      <c r="D302" s="68">
        <f t="shared" si="112"/>
        <v>0</v>
      </c>
      <c r="E302" s="69">
        <f t="shared" si="112"/>
        <v>0</v>
      </c>
      <c r="F302" s="69">
        <f t="shared" si="112"/>
        <v>0</v>
      </c>
      <c r="G302" s="69">
        <f t="shared" si="112"/>
        <v>0</v>
      </c>
      <c r="H302" s="69">
        <f t="shared" si="112"/>
        <v>0</v>
      </c>
      <c r="I302" s="69">
        <f t="shared" si="112"/>
        <v>0</v>
      </c>
      <c r="J302" s="69">
        <f t="shared" si="112"/>
        <v>0</v>
      </c>
      <c r="K302" s="69">
        <f t="shared" si="112"/>
        <v>0</v>
      </c>
      <c r="L302" s="69">
        <f t="shared" si="112"/>
        <v>0</v>
      </c>
      <c r="M302" s="69">
        <f t="shared" si="112"/>
        <v>0</v>
      </c>
      <c r="N302" s="69">
        <f t="shared" si="112"/>
        <v>0</v>
      </c>
      <c r="O302" s="70">
        <f t="shared" si="112"/>
        <v>0</v>
      </c>
      <c r="P302" s="66">
        <f t="shared" si="112"/>
        <v>0</v>
      </c>
      <c r="Q302" s="71" t="str">
        <f t="shared" si="108"/>
        <v>-</v>
      </c>
    </row>
    <row r="303" spans="1:17">
      <c r="A303" s="72" t="s">
        <v>19</v>
      </c>
      <c r="B303" s="73"/>
      <c r="C303" s="74"/>
      <c r="D303" s="75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7"/>
      <c r="P303" s="78">
        <f>SUM(D303:O303)</f>
        <v>0</v>
      </c>
      <c r="Q303" s="79" t="str">
        <f t="shared" si="108"/>
        <v>-</v>
      </c>
    </row>
    <row r="304" spans="1:17" ht="14.4" thickBot="1">
      <c r="A304" s="80" t="s">
        <v>20</v>
      </c>
      <c r="B304" s="81"/>
      <c r="C304" s="82"/>
      <c r="D304" s="83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5"/>
      <c r="P304" s="86">
        <f>SUM(D304:O304)</f>
        <v>0</v>
      </c>
      <c r="Q304" s="87" t="str">
        <f t="shared" si="108"/>
        <v>-</v>
      </c>
    </row>
    <row r="305" spans="1:17" ht="14.4" thickBot="1">
      <c r="A305" s="13" t="s">
        <v>30</v>
      </c>
      <c r="B305" s="14">
        <f t="shared" ref="B305:P305" si="113">SUM(B306:B307)</f>
        <v>0</v>
      </c>
      <c r="C305" s="67">
        <f t="shared" si="113"/>
        <v>0</v>
      </c>
      <c r="D305" s="68">
        <f t="shared" si="113"/>
        <v>0</v>
      </c>
      <c r="E305" s="69">
        <f t="shared" si="113"/>
        <v>0</v>
      </c>
      <c r="F305" s="69">
        <f t="shared" si="113"/>
        <v>0</v>
      </c>
      <c r="G305" s="69">
        <f t="shared" si="113"/>
        <v>0</v>
      </c>
      <c r="H305" s="69">
        <f t="shared" si="113"/>
        <v>0</v>
      </c>
      <c r="I305" s="69">
        <f t="shared" si="113"/>
        <v>0</v>
      </c>
      <c r="J305" s="69">
        <f t="shared" si="113"/>
        <v>0</v>
      </c>
      <c r="K305" s="69">
        <f t="shared" si="113"/>
        <v>0</v>
      </c>
      <c r="L305" s="69">
        <f t="shared" si="113"/>
        <v>0</v>
      </c>
      <c r="M305" s="69">
        <f t="shared" si="113"/>
        <v>0</v>
      </c>
      <c r="N305" s="69">
        <f t="shared" si="113"/>
        <v>0</v>
      </c>
      <c r="O305" s="70">
        <f t="shared" si="113"/>
        <v>0</v>
      </c>
      <c r="P305" s="66">
        <f t="shared" si="113"/>
        <v>0</v>
      </c>
      <c r="Q305" s="71" t="str">
        <f t="shared" si="108"/>
        <v>-</v>
      </c>
    </row>
    <row r="306" spans="1:17">
      <c r="A306" s="72" t="s">
        <v>106</v>
      </c>
      <c r="B306" s="73"/>
      <c r="C306" s="74"/>
      <c r="D306" s="75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7"/>
      <c r="P306" s="78">
        <f>SUM(D306:O306)</f>
        <v>0</v>
      </c>
      <c r="Q306" s="79" t="str">
        <f t="shared" si="108"/>
        <v>-</v>
      </c>
    </row>
    <row r="307" spans="1:17" ht="14.4" thickBot="1">
      <c r="A307" s="122" t="s">
        <v>105</v>
      </c>
      <c r="B307" s="123"/>
      <c r="C307" s="124"/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7"/>
      <c r="P307" s="128">
        <f>SUM(D307:O307)</f>
        <v>0</v>
      </c>
      <c r="Q307" s="129" t="str">
        <f t="shared" si="108"/>
        <v>-</v>
      </c>
    </row>
    <row r="308" spans="1:17" ht="14.4" thickBot="1">
      <c r="C308" s="3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9"/>
    </row>
    <row r="309" spans="1:17" ht="14.4" thickBot="1">
      <c r="A309" s="13" t="s">
        <v>86</v>
      </c>
      <c r="B309" s="14"/>
      <c r="C309" s="15"/>
      <c r="D309" s="16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20"/>
      <c r="P309" s="14">
        <f>SUM(D309:O309)</f>
        <v>0</v>
      </c>
      <c r="Q309" s="18" t="str">
        <f>IF(P309=0,"-",P309/C309-1)</f>
        <v>-</v>
      </c>
    </row>
    <row r="310" spans="1:17" ht="14.4" thickBot="1">
      <c r="A310" s="90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2"/>
    </row>
    <row r="311" spans="1:17" ht="14.4" thickBot="1">
      <c r="A311" s="13" t="s">
        <v>31</v>
      </c>
      <c r="B311" s="14">
        <f t="shared" ref="B311:G311" si="114">+B292+B302+B305+B309</f>
        <v>0</v>
      </c>
      <c r="C311" s="15">
        <f t="shared" si="114"/>
        <v>0</v>
      </c>
      <c r="D311" s="16">
        <f t="shared" si="114"/>
        <v>0</v>
      </c>
      <c r="E311" s="17">
        <f t="shared" si="114"/>
        <v>0</v>
      </c>
      <c r="F311" s="17">
        <f t="shared" si="114"/>
        <v>0</v>
      </c>
      <c r="G311" s="17">
        <f t="shared" si="114"/>
        <v>0</v>
      </c>
      <c r="H311" s="17">
        <f t="shared" ref="H311:P311" si="115">+H292+H302+H305+H309</f>
        <v>0</v>
      </c>
      <c r="I311" s="17">
        <f t="shared" si="115"/>
        <v>0</v>
      </c>
      <c r="J311" s="17">
        <f t="shared" si="115"/>
        <v>0</v>
      </c>
      <c r="K311" s="17">
        <f t="shared" si="115"/>
        <v>0</v>
      </c>
      <c r="L311" s="17">
        <f t="shared" si="115"/>
        <v>0</v>
      </c>
      <c r="M311" s="17">
        <f t="shared" si="115"/>
        <v>0</v>
      </c>
      <c r="N311" s="17">
        <f t="shared" si="115"/>
        <v>0</v>
      </c>
      <c r="O311" s="15">
        <f t="shared" si="115"/>
        <v>0</v>
      </c>
      <c r="P311" s="14">
        <f t="shared" si="115"/>
        <v>0</v>
      </c>
      <c r="Q311" s="18" t="str">
        <f>IF(P311=0,"-",P311/C311-1)</f>
        <v>-</v>
      </c>
    </row>
    <row r="313" spans="1:17" ht="14.4" thickBot="1"/>
    <row r="314" spans="1:17" ht="18.600000000000001" thickBot="1">
      <c r="A314" s="5"/>
      <c r="B314" s="2372" t="s">
        <v>34</v>
      </c>
      <c r="C314" s="2373"/>
      <c r="D314" s="2313" t="s">
        <v>102</v>
      </c>
      <c r="E314" s="2314"/>
      <c r="F314" s="2314"/>
      <c r="G314" s="2314"/>
      <c r="H314" s="2314"/>
      <c r="I314" s="2314"/>
      <c r="J314" s="2314"/>
      <c r="K314" s="2314"/>
      <c r="L314" s="2314"/>
      <c r="M314" s="2314"/>
      <c r="N314" s="2314"/>
      <c r="O314" s="2314"/>
      <c r="P314" s="2315"/>
      <c r="Q314" s="6" t="s">
        <v>294</v>
      </c>
    </row>
    <row r="315" spans="1:17" ht="28.2" thickBot="1">
      <c r="A315" s="7"/>
      <c r="B315" s="8" t="s">
        <v>87</v>
      </c>
      <c r="C315" s="8" t="s">
        <v>0</v>
      </c>
      <c r="D315" s="9" t="s">
        <v>1</v>
      </c>
      <c r="E315" s="10" t="s">
        <v>2</v>
      </c>
      <c r="F315" s="10" t="s">
        <v>3</v>
      </c>
      <c r="G315" s="10" t="s">
        <v>4</v>
      </c>
      <c r="H315" s="10" t="s">
        <v>5</v>
      </c>
      <c r="I315" s="10" t="s">
        <v>6</v>
      </c>
      <c r="J315" s="10" t="s">
        <v>7</v>
      </c>
      <c r="K315" s="10" t="s">
        <v>8</v>
      </c>
      <c r="L315" s="10" t="s">
        <v>9</v>
      </c>
      <c r="M315" s="10" t="s">
        <v>10</v>
      </c>
      <c r="N315" s="10" t="s">
        <v>11</v>
      </c>
      <c r="O315" s="10" t="s">
        <v>12</v>
      </c>
      <c r="P315" s="11" t="s">
        <v>13</v>
      </c>
      <c r="Q315" s="12" t="s">
        <v>14</v>
      </c>
    </row>
    <row r="316" spans="1:17" ht="14.4" thickBot="1">
      <c r="A316" s="13" t="s">
        <v>28</v>
      </c>
      <c r="B316" s="14">
        <f>B319+B320+B325</f>
        <v>0</v>
      </c>
      <c r="C316" s="15">
        <f t="shared" ref="C316:P316" si="116">C319+C320+C325</f>
        <v>0</v>
      </c>
      <c r="D316" s="16">
        <f t="shared" si="116"/>
        <v>0</v>
      </c>
      <c r="E316" s="17">
        <f t="shared" si="116"/>
        <v>0</v>
      </c>
      <c r="F316" s="17">
        <f t="shared" si="116"/>
        <v>0</v>
      </c>
      <c r="G316" s="17">
        <f t="shared" si="116"/>
        <v>0</v>
      </c>
      <c r="H316" s="17">
        <f t="shared" si="116"/>
        <v>0</v>
      </c>
      <c r="I316" s="17">
        <f t="shared" si="116"/>
        <v>0</v>
      </c>
      <c r="J316" s="17">
        <f t="shared" si="116"/>
        <v>0</v>
      </c>
      <c r="K316" s="17">
        <f t="shared" si="116"/>
        <v>0</v>
      </c>
      <c r="L316" s="17">
        <f t="shared" si="116"/>
        <v>0</v>
      </c>
      <c r="M316" s="17">
        <f t="shared" si="116"/>
        <v>0</v>
      </c>
      <c r="N316" s="17">
        <f t="shared" si="116"/>
        <v>0</v>
      </c>
      <c r="O316" s="15">
        <f t="shared" si="116"/>
        <v>0</v>
      </c>
      <c r="P316" s="14">
        <f t="shared" si="116"/>
        <v>0</v>
      </c>
      <c r="Q316" s="18" t="str">
        <f t="shared" ref="Q316:Q331" si="117">IF(P316=0,"-",P316/C316-1)</f>
        <v>-</v>
      </c>
    </row>
    <row r="317" spans="1:17">
      <c r="A317" s="19" t="s">
        <v>15</v>
      </c>
      <c r="B317" s="20"/>
      <c r="C317" s="21"/>
      <c r="D317" s="22"/>
      <c r="E317" s="23"/>
      <c r="F317" s="23"/>
      <c r="G317" s="23"/>
      <c r="H317" s="24"/>
      <c r="I317" s="24"/>
      <c r="J317" s="24"/>
      <c r="K317" s="24"/>
      <c r="L317" s="24"/>
      <c r="M317" s="24"/>
      <c r="N317" s="24"/>
      <c r="O317" s="25"/>
      <c r="P317" s="20">
        <f t="shared" ref="P317:P324" si="118">SUM(D317:O317)</f>
        <v>0</v>
      </c>
      <c r="Q317" s="26" t="str">
        <f t="shared" si="117"/>
        <v>-</v>
      </c>
    </row>
    <row r="318" spans="1:17">
      <c r="A318" s="28" t="s">
        <v>16</v>
      </c>
      <c r="B318" s="29"/>
      <c r="C318" s="30"/>
      <c r="D318" s="31"/>
      <c r="E318" s="32"/>
      <c r="F318" s="32"/>
      <c r="G318" s="32"/>
      <c r="H318" s="33"/>
      <c r="I318" s="33"/>
      <c r="J318" s="33"/>
      <c r="K318" s="33"/>
      <c r="L318" s="33"/>
      <c r="M318" s="33"/>
      <c r="N318" s="33"/>
      <c r="O318" s="34"/>
      <c r="P318" s="29">
        <f t="shared" si="118"/>
        <v>0</v>
      </c>
      <c r="Q318" s="35" t="str">
        <f t="shared" si="117"/>
        <v>-</v>
      </c>
    </row>
    <row r="319" spans="1:17">
      <c r="A319" s="36" t="s">
        <v>27</v>
      </c>
      <c r="B319" s="37">
        <f>+B317+B318</f>
        <v>0</v>
      </c>
      <c r="C319" s="38">
        <f>+C318+C317</f>
        <v>0</v>
      </c>
      <c r="D319" s="39">
        <f t="shared" ref="D319:O319" si="119">SUM(D317:D318)</f>
        <v>0</v>
      </c>
      <c r="E319" s="40">
        <f t="shared" si="119"/>
        <v>0</v>
      </c>
      <c r="F319" s="40">
        <f t="shared" si="119"/>
        <v>0</v>
      </c>
      <c r="G319" s="40">
        <f t="shared" si="119"/>
        <v>0</v>
      </c>
      <c r="H319" s="40">
        <f t="shared" si="119"/>
        <v>0</v>
      </c>
      <c r="I319" s="40">
        <f t="shared" si="119"/>
        <v>0</v>
      </c>
      <c r="J319" s="40">
        <f t="shared" si="119"/>
        <v>0</v>
      </c>
      <c r="K319" s="40">
        <f t="shared" si="119"/>
        <v>0</v>
      </c>
      <c r="L319" s="40">
        <f t="shared" si="119"/>
        <v>0</v>
      </c>
      <c r="M319" s="40">
        <f t="shared" si="119"/>
        <v>0</v>
      </c>
      <c r="N319" s="40">
        <f t="shared" si="119"/>
        <v>0</v>
      </c>
      <c r="O319" s="38">
        <f t="shared" si="119"/>
        <v>0</v>
      </c>
      <c r="P319" s="37">
        <f t="shared" si="118"/>
        <v>0</v>
      </c>
      <c r="Q319" s="41" t="str">
        <f t="shared" si="117"/>
        <v>-</v>
      </c>
    </row>
    <row r="320" spans="1:17">
      <c r="A320" s="42" t="s">
        <v>17</v>
      </c>
      <c r="B320" s="43"/>
      <c r="C320" s="44"/>
      <c r="D320" s="45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7"/>
      <c r="P320" s="48">
        <f t="shared" si="118"/>
        <v>0</v>
      </c>
      <c r="Q320" s="35" t="str">
        <f t="shared" si="117"/>
        <v>-</v>
      </c>
    </row>
    <row r="321" spans="1:17">
      <c r="A321" s="49" t="s">
        <v>81</v>
      </c>
      <c r="B321" s="37"/>
      <c r="C321" s="119"/>
      <c r="D321" s="39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38"/>
      <c r="P321" s="56">
        <f t="shared" si="118"/>
        <v>0</v>
      </c>
      <c r="Q321" s="57" t="str">
        <f t="shared" si="117"/>
        <v>-</v>
      </c>
    </row>
    <row r="322" spans="1:17">
      <c r="A322" s="58" t="s">
        <v>82</v>
      </c>
      <c r="B322" s="43"/>
      <c r="C322" s="44"/>
      <c r="D322" s="45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7"/>
      <c r="P322" s="48">
        <f t="shared" si="118"/>
        <v>0</v>
      </c>
      <c r="Q322" s="35" t="str">
        <f t="shared" si="117"/>
        <v>-</v>
      </c>
    </row>
    <row r="323" spans="1:17">
      <c r="A323" s="49" t="s">
        <v>83</v>
      </c>
      <c r="B323" s="50"/>
      <c r="C323" s="51"/>
      <c r="D323" s="52"/>
      <c r="E323" s="53"/>
      <c r="F323" s="54"/>
      <c r="G323" s="53"/>
      <c r="H323" s="53"/>
      <c r="I323" s="53"/>
      <c r="J323" s="53"/>
      <c r="K323" s="53"/>
      <c r="L323" s="53"/>
      <c r="M323" s="53"/>
      <c r="N323" s="53"/>
      <c r="O323" s="55"/>
      <c r="P323" s="56">
        <f t="shared" si="118"/>
        <v>0</v>
      </c>
      <c r="Q323" s="57" t="str">
        <f t="shared" si="117"/>
        <v>-</v>
      </c>
    </row>
    <row r="324" spans="1:17">
      <c r="A324" s="58" t="s">
        <v>84</v>
      </c>
      <c r="B324" s="29"/>
      <c r="C324" s="30"/>
      <c r="D324" s="59"/>
      <c r="E324" s="33"/>
      <c r="F324" s="33"/>
      <c r="G324" s="33"/>
      <c r="H324" s="33"/>
      <c r="I324" s="32"/>
      <c r="J324" s="32"/>
      <c r="K324" s="33"/>
      <c r="L324" s="33"/>
      <c r="M324" s="33"/>
      <c r="N324" s="33"/>
      <c r="O324" s="34"/>
      <c r="P324" s="48">
        <f t="shared" si="118"/>
        <v>0</v>
      </c>
      <c r="Q324" s="35" t="str">
        <f t="shared" si="117"/>
        <v>-</v>
      </c>
    </row>
    <row r="325" spans="1:17" ht="14.4" thickBot="1">
      <c r="A325" s="60" t="s">
        <v>18</v>
      </c>
      <c r="B325" s="61">
        <f>SUM(B321:B324)</f>
        <v>0</v>
      </c>
      <c r="C325" s="62">
        <f>SUM(C321:C324)</f>
        <v>0</v>
      </c>
      <c r="D325" s="63">
        <f>SUM(D321:D324)</f>
        <v>0</v>
      </c>
      <c r="E325" s="64">
        <f t="shared" ref="E325:P325" si="120">SUM(E321:E324)</f>
        <v>0</v>
      </c>
      <c r="F325" s="64">
        <f t="shared" si="120"/>
        <v>0</v>
      </c>
      <c r="G325" s="64">
        <f t="shared" si="120"/>
        <v>0</v>
      </c>
      <c r="H325" s="64">
        <f t="shared" si="120"/>
        <v>0</v>
      </c>
      <c r="I325" s="64">
        <f t="shared" si="120"/>
        <v>0</v>
      </c>
      <c r="J325" s="64">
        <f t="shared" si="120"/>
        <v>0</v>
      </c>
      <c r="K325" s="64">
        <f t="shared" si="120"/>
        <v>0</v>
      </c>
      <c r="L325" s="64">
        <f t="shared" si="120"/>
        <v>0</v>
      </c>
      <c r="M325" s="64">
        <f t="shared" si="120"/>
        <v>0</v>
      </c>
      <c r="N325" s="64">
        <f t="shared" si="120"/>
        <v>0</v>
      </c>
      <c r="O325" s="62">
        <f t="shared" si="120"/>
        <v>0</v>
      </c>
      <c r="P325" s="61">
        <f t="shared" si="120"/>
        <v>0</v>
      </c>
      <c r="Q325" s="65" t="str">
        <f t="shared" si="117"/>
        <v>-</v>
      </c>
    </row>
    <row r="326" spans="1:17" ht="14.4" thickBot="1">
      <c r="A326" s="13" t="s">
        <v>29</v>
      </c>
      <c r="B326" s="66">
        <f>+B327+B328</f>
        <v>0</v>
      </c>
      <c r="C326" s="67">
        <f t="shared" ref="C326:P326" si="121">SUM(C327:C328)</f>
        <v>0</v>
      </c>
      <c r="D326" s="68">
        <f t="shared" si="121"/>
        <v>0</v>
      </c>
      <c r="E326" s="69">
        <f t="shared" si="121"/>
        <v>0</v>
      </c>
      <c r="F326" s="69">
        <f t="shared" si="121"/>
        <v>0</v>
      </c>
      <c r="G326" s="69">
        <f t="shared" si="121"/>
        <v>0</v>
      </c>
      <c r="H326" s="69">
        <f t="shared" si="121"/>
        <v>0</v>
      </c>
      <c r="I326" s="69">
        <f t="shared" si="121"/>
        <v>0</v>
      </c>
      <c r="J326" s="69">
        <f t="shared" si="121"/>
        <v>0</v>
      </c>
      <c r="K326" s="69">
        <f t="shared" si="121"/>
        <v>0</v>
      </c>
      <c r="L326" s="69">
        <f t="shared" si="121"/>
        <v>0</v>
      </c>
      <c r="M326" s="69">
        <f t="shared" si="121"/>
        <v>0</v>
      </c>
      <c r="N326" s="69">
        <f t="shared" si="121"/>
        <v>0</v>
      </c>
      <c r="O326" s="70">
        <f t="shared" si="121"/>
        <v>0</v>
      </c>
      <c r="P326" s="66">
        <f t="shared" si="121"/>
        <v>0</v>
      </c>
      <c r="Q326" s="71" t="str">
        <f t="shared" si="117"/>
        <v>-</v>
      </c>
    </row>
    <row r="327" spans="1:17">
      <c r="A327" s="72" t="s">
        <v>19</v>
      </c>
      <c r="B327" s="73"/>
      <c r="C327" s="74"/>
      <c r="D327" s="75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7"/>
      <c r="P327" s="78">
        <f>SUM(D327:O327)</f>
        <v>0</v>
      </c>
      <c r="Q327" s="79" t="str">
        <f t="shared" si="117"/>
        <v>-</v>
      </c>
    </row>
    <row r="328" spans="1:17" ht="14.4" thickBot="1">
      <c r="A328" s="80" t="s">
        <v>20</v>
      </c>
      <c r="B328" s="81"/>
      <c r="C328" s="82"/>
      <c r="D328" s="83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5"/>
      <c r="P328" s="86">
        <f>SUM(D328:O328)</f>
        <v>0</v>
      </c>
      <c r="Q328" s="87" t="str">
        <f t="shared" si="117"/>
        <v>-</v>
      </c>
    </row>
    <row r="329" spans="1:17" ht="14.4" thickBot="1">
      <c r="A329" s="13" t="s">
        <v>30</v>
      </c>
      <c r="B329" s="14">
        <f t="shared" ref="B329:P329" si="122">SUM(B330:B331)</f>
        <v>0</v>
      </c>
      <c r="C329" s="67">
        <f t="shared" si="122"/>
        <v>0</v>
      </c>
      <c r="D329" s="68">
        <f t="shared" si="122"/>
        <v>0</v>
      </c>
      <c r="E329" s="69">
        <f t="shared" si="122"/>
        <v>0</v>
      </c>
      <c r="F329" s="69">
        <f t="shared" si="122"/>
        <v>0</v>
      </c>
      <c r="G329" s="69">
        <f t="shared" si="122"/>
        <v>0</v>
      </c>
      <c r="H329" s="69">
        <f t="shared" si="122"/>
        <v>0</v>
      </c>
      <c r="I329" s="69">
        <f t="shared" si="122"/>
        <v>0</v>
      </c>
      <c r="J329" s="69">
        <f t="shared" si="122"/>
        <v>0</v>
      </c>
      <c r="K329" s="69">
        <f t="shared" si="122"/>
        <v>0</v>
      </c>
      <c r="L329" s="69">
        <f t="shared" si="122"/>
        <v>0</v>
      </c>
      <c r="M329" s="69">
        <f t="shared" si="122"/>
        <v>0</v>
      </c>
      <c r="N329" s="69">
        <f t="shared" si="122"/>
        <v>0</v>
      </c>
      <c r="O329" s="70">
        <f t="shared" si="122"/>
        <v>0</v>
      </c>
      <c r="P329" s="66">
        <f t="shared" si="122"/>
        <v>0</v>
      </c>
      <c r="Q329" s="71" t="str">
        <f t="shared" si="117"/>
        <v>-</v>
      </c>
    </row>
    <row r="330" spans="1:17">
      <c r="A330" s="72" t="s">
        <v>106</v>
      </c>
      <c r="B330" s="73"/>
      <c r="C330" s="74"/>
      <c r="D330" s="75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7"/>
      <c r="P330" s="78">
        <f>SUM(D330:O330)</f>
        <v>0</v>
      </c>
      <c r="Q330" s="79" t="str">
        <f t="shared" si="117"/>
        <v>-</v>
      </c>
    </row>
    <row r="331" spans="1:17" ht="14.4" thickBot="1">
      <c r="A331" s="122" t="s">
        <v>105</v>
      </c>
      <c r="B331" s="123"/>
      <c r="C331" s="124"/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7"/>
      <c r="P331" s="128">
        <f>SUM(D331:O331)</f>
        <v>0</v>
      </c>
      <c r="Q331" s="129" t="str">
        <f t="shared" si="117"/>
        <v>-</v>
      </c>
    </row>
    <row r="332" spans="1:17" ht="14.4" thickBot="1">
      <c r="C332" s="3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9"/>
    </row>
    <row r="333" spans="1:17" ht="14.4" thickBot="1">
      <c r="A333" s="13" t="s">
        <v>86</v>
      </c>
      <c r="B333" s="14"/>
      <c r="C333" s="15"/>
      <c r="D333" s="16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20"/>
      <c r="P333" s="14">
        <f>SUM(D333:O333)</f>
        <v>0</v>
      </c>
      <c r="Q333" s="18" t="str">
        <f>IF(P333=0,"-",P333/C333-1)</f>
        <v>-</v>
      </c>
    </row>
    <row r="334" spans="1:17" ht="14.4" thickBot="1">
      <c r="A334" s="90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2"/>
    </row>
    <row r="335" spans="1:17" ht="14.4" thickBot="1">
      <c r="A335" s="13" t="s">
        <v>31</v>
      </c>
      <c r="B335" s="14">
        <f t="shared" ref="B335:G335" si="123">+B316+B326+B329+B333</f>
        <v>0</v>
      </c>
      <c r="C335" s="15">
        <f t="shared" si="123"/>
        <v>0</v>
      </c>
      <c r="D335" s="16">
        <f t="shared" si="123"/>
        <v>0</v>
      </c>
      <c r="E335" s="17">
        <f t="shared" si="123"/>
        <v>0</v>
      </c>
      <c r="F335" s="17">
        <f t="shared" si="123"/>
        <v>0</v>
      </c>
      <c r="G335" s="17">
        <f t="shared" si="123"/>
        <v>0</v>
      </c>
      <c r="H335" s="17">
        <f t="shared" ref="H335:P335" si="124">+H316+H326+H329+H333</f>
        <v>0</v>
      </c>
      <c r="I335" s="17">
        <f t="shared" si="124"/>
        <v>0</v>
      </c>
      <c r="J335" s="17">
        <f t="shared" si="124"/>
        <v>0</v>
      </c>
      <c r="K335" s="17">
        <f t="shared" si="124"/>
        <v>0</v>
      </c>
      <c r="L335" s="17">
        <f t="shared" si="124"/>
        <v>0</v>
      </c>
      <c r="M335" s="17">
        <f t="shared" si="124"/>
        <v>0</v>
      </c>
      <c r="N335" s="17">
        <f t="shared" si="124"/>
        <v>0</v>
      </c>
      <c r="O335" s="15">
        <f t="shared" si="124"/>
        <v>0</v>
      </c>
      <c r="P335" s="14">
        <f t="shared" si="124"/>
        <v>0</v>
      </c>
      <c r="Q335" s="18" t="str">
        <f>IF(P335=0,"-",P335/C335-1)</f>
        <v>-</v>
      </c>
    </row>
    <row r="337" spans="1:17" ht="14.4" thickBot="1"/>
    <row r="338" spans="1:17" ht="18.600000000000001" thickBot="1">
      <c r="A338" s="5"/>
      <c r="B338" s="2372" t="s">
        <v>34</v>
      </c>
      <c r="C338" s="2373"/>
      <c r="D338" s="2313" t="s">
        <v>103</v>
      </c>
      <c r="E338" s="2314"/>
      <c r="F338" s="2314"/>
      <c r="G338" s="2314"/>
      <c r="H338" s="2314"/>
      <c r="I338" s="2314"/>
      <c r="J338" s="2314"/>
      <c r="K338" s="2314"/>
      <c r="L338" s="2314"/>
      <c r="M338" s="2314"/>
      <c r="N338" s="2314"/>
      <c r="O338" s="2314"/>
      <c r="P338" s="2315"/>
      <c r="Q338" s="6" t="s">
        <v>294</v>
      </c>
    </row>
    <row r="339" spans="1:17" ht="28.2" thickBot="1">
      <c r="A339" s="7"/>
      <c r="B339" s="8" t="s">
        <v>87</v>
      </c>
      <c r="C339" s="8" t="s">
        <v>0</v>
      </c>
      <c r="D339" s="9" t="s">
        <v>1</v>
      </c>
      <c r="E339" s="10" t="s">
        <v>2</v>
      </c>
      <c r="F339" s="10" t="s">
        <v>3</v>
      </c>
      <c r="G339" s="10" t="s">
        <v>4</v>
      </c>
      <c r="H339" s="10" t="s">
        <v>5</v>
      </c>
      <c r="I339" s="10" t="s">
        <v>6</v>
      </c>
      <c r="J339" s="10" t="s">
        <v>7</v>
      </c>
      <c r="K339" s="10" t="s">
        <v>8</v>
      </c>
      <c r="L339" s="10" t="s">
        <v>9</v>
      </c>
      <c r="M339" s="10" t="s">
        <v>10</v>
      </c>
      <c r="N339" s="10" t="s">
        <v>11</v>
      </c>
      <c r="O339" s="10" t="s">
        <v>12</v>
      </c>
      <c r="P339" s="11" t="s">
        <v>13</v>
      </c>
      <c r="Q339" s="12" t="s">
        <v>14</v>
      </c>
    </row>
    <row r="340" spans="1:17" ht="14.4" thickBot="1">
      <c r="A340" s="13" t="s">
        <v>28</v>
      </c>
      <c r="B340" s="14">
        <f>B343+B344+B349</f>
        <v>0</v>
      </c>
      <c r="C340" s="15">
        <f t="shared" ref="C340:P340" si="125">C343+C344+C349</f>
        <v>0</v>
      </c>
      <c r="D340" s="16">
        <f t="shared" si="125"/>
        <v>0</v>
      </c>
      <c r="E340" s="17">
        <f t="shared" si="125"/>
        <v>0</v>
      </c>
      <c r="F340" s="17">
        <f t="shared" si="125"/>
        <v>0</v>
      </c>
      <c r="G340" s="17">
        <f t="shared" si="125"/>
        <v>0</v>
      </c>
      <c r="H340" s="17">
        <f t="shared" si="125"/>
        <v>0</v>
      </c>
      <c r="I340" s="17">
        <f t="shared" si="125"/>
        <v>0</v>
      </c>
      <c r="J340" s="17">
        <f t="shared" si="125"/>
        <v>0</v>
      </c>
      <c r="K340" s="17">
        <f t="shared" si="125"/>
        <v>0</v>
      </c>
      <c r="L340" s="17">
        <f t="shared" si="125"/>
        <v>0</v>
      </c>
      <c r="M340" s="17">
        <f t="shared" si="125"/>
        <v>0</v>
      </c>
      <c r="N340" s="17">
        <f t="shared" si="125"/>
        <v>0</v>
      </c>
      <c r="O340" s="15">
        <f t="shared" si="125"/>
        <v>0</v>
      </c>
      <c r="P340" s="14">
        <f t="shared" si="125"/>
        <v>0</v>
      </c>
      <c r="Q340" s="18" t="str">
        <f t="shared" ref="Q340:Q355" si="126">IF(P340=0,"-",P340/C340-1)</f>
        <v>-</v>
      </c>
    </row>
    <row r="341" spans="1:17">
      <c r="A341" s="19" t="s">
        <v>15</v>
      </c>
      <c r="B341" s="20"/>
      <c r="C341" s="21"/>
      <c r="D341" s="22"/>
      <c r="E341" s="23"/>
      <c r="F341" s="23"/>
      <c r="G341" s="23"/>
      <c r="H341" s="24"/>
      <c r="I341" s="24"/>
      <c r="J341" s="24"/>
      <c r="K341" s="24"/>
      <c r="L341" s="24"/>
      <c r="M341" s="24"/>
      <c r="N341" s="24"/>
      <c r="O341" s="25"/>
      <c r="P341" s="20">
        <f t="shared" ref="P341:P348" si="127">SUM(D341:O341)</f>
        <v>0</v>
      </c>
      <c r="Q341" s="26" t="str">
        <f t="shared" si="126"/>
        <v>-</v>
      </c>
    </row>
    <row r="342" spans="1:17">
      <c r="A342" s="28" t="s">
        <v>16</v>
      </c>
      <c r="B342" s="29"/>
      <c r="C342" s="30"/>
      <c r="D342" s="31"/>
      <c r="E342" s="32"/>
      <c r="F342" s="32"/>
      <c r="G342" s="32"/>
      <c r="H342" s="33"/>
      <c r="I342" s="33"/>
      <c r="J342" s="33"/>
      <c r="K342" s="33"/>
      <c r="L342" s="33"/>
      <c r="M342" s="33"/>
      <c r="N342" s="33"/>
      <c r="O342" s="34"/>
      <c r="P342" s="29">
        <f t="shared" si="127"/>
        <v>0</v>
      </c>
      <c r="Q342" s="35" t="str">
        <f t="shared" si="126"/>
        <v>-</v>
      </c>
    </row>
    <row r="343" spans="1:17">
      <c r="A343" s="36" t="s">
        <v>27</v>
      </c>
      <c r="B343" s="37">
        <f>+B341+B342</f>
        <v>0</v>
      </c>
      <c r="C343" s="38">
        <f>+C342+C341</f>
        <v>0</v>
      </c>
      <c r="D343" s="39">
        <f t="shared" ref="D343:O343" si="128">SUM(D341:D342)</f>
        <v>0</v>
      </c>
      <c r="E343" s="40">
        <f t="shared" si="128"/>
        <v>0</v>
      </c>
      <c r="F343" s="40">
        <f t="shared" si="128"/>
        <v>0</v>
      </c>
      <c r="G343" s="40">
        <f t="shared" si="128"/>
        <v>0</v>
      </c>
      <c r="H343" s="40">
        <f t="shared" si="128"/>
        <v>0</v>
      </c>
      <c r="I343" s="40">
        <f t="shared" si="128"/>
        <v>0</v>
      </c>
      <c r="J343" s="40">
        <f t="shared" si="128"/>
        <v>0</v>
      </c>
      <c r="K343" s="40">
        <f t="shared" si="128"/>
        <v>0</v>
      </c>
      <c r="L343" s="40">
        <f t="shared" si="128"/>
        <v>0</v>
      </c>
      <c r="M343" s="40">
        <f t="shared" si="128"/>
        <v>0</v>
      </c>
      <c r="N343" s="40">
        <f t="shared" si="128"/>
        <v>0</v>
      </c>
      <c r="O343" s="38">
        <f t="shared" si="128"/>
        <v>0</v>
      </c>
      <c r="P343" s="37">
        <f t="shared" si="127"/>
        <v>0</v>
      </c>
      <c r="Q343" s="41" t="str">
        <f t="shared" si="126"/>
        <v>-</v>
      </c>
    </row>
    <row r="344" spans="1:17">
      <c r="A344" s="42" t="s">
        <v>17</v>
      </c>
      <c r="B344" s="43"/>
      <c r="C344" s="44"/>
      <c r="D344" s="45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7"/>
      <c r="P344" s="48">
        <f t="shared" si="127"/>
        <v>0</v>
      </c>
      <c r="Q344" s="35" t="str">
        <f t="shared" si="126"/>
        <v>-</v>
      </c>
    </row>
    <row r="345" spans="1:17">
      <c r="A345" s="49" t="s">
        <v>81</v>
      </c>
      <c r="B345" s="37"/>
      <c r="C345" s="119"/>
      <c r="D345" s="39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38"/>
      <c r="P345" s="56">
        <f t="shared" si="127"/>
        <v>0</v>
      </c>
      <c r="Q345" s="57" t="str">
        <f t="shared" si="126"/>
        <v>-</v>
      </c>
    </row>
    <row r="346" spans="1:17">
      <c r="A346" s="58" t="s">
        <v>82</v>
      </c>
      <c r="B346" s="43"/>
      <c r="C346" s="44"/>
      <c r="D346" s="45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7"/>
      <c r="P346" s="48">
        <f t="shared" si="127"/>
        <v>0</v>
      </c>
      <c r="Q346" s="35" t="str">
        <f t="shared" si="126"/>
        <v>-</v>
      </c>
    </row>
    <row r="347" spans="1:17">
      <c r="A347" s="49" t="s">
        <v>83</v>
      </c>
      <c r="B347" s="50"/>
      <c r="C347" s="51"/>
      <c r="D347" s="52"/>
      <c r="E347" s="53"/>
      <c r="F347" s="54"/>
      <c r="G347" s="53"/>
      <c r="H347" s="53"/>
      <c r="I347" s="53"/>
      <c r="J347" s="53"/>
      <c r="K347" s="53"/>
      <c r="L347" s="53"/>
      <c r="M347" s="53"/>
      <c r="N347" s="53"/>
      <c r="O347" s="55"/>
      <c r="P347" s="56">
        <f t="shared" si="127"/>
        <v>0</v>
      </c>
      <c r="Q347" s="57" t="str">
        <f t="shared" si="126"/>
        <v>-</v>
      </c>
    </row>
    <row r="348" spans="1:17">
      <c r="A348" s="58" t="s">
        <v>84</v>
      </c>
      <c r="B348" s="29"/>
      <c r="C348" s="30"/>
      <c r="D348" s="59"/>
      <c r="E348" s="33"/>
      <c r="F348" s="33"/>
      <c r="G348" s="33"/>
      <c r="H348" s="33"/>
      <c r="I348" s="32"/>
      <c r="J348" s="32"/>
      <c r="K348" s="33"/>
      <c r="L348" s="33"/>
      <c r="M348" s="33"/>
      <c r="N348" s="33"/>
      <c r="O348" s="34"/>
      <c r="P348" s="48">
        <f t="shared" si="127"/>
        <v>0</v>
      </c>
      <c r="Q348" s="35" t="str">
        <f t="shared" si="126"/>
        <v>-</v>
      </c>
    </row>
    <row r="349" spans="1:17" ht="14.4" thickBot="1">
      <c r="A349" s="60" t="s">
        <v>18</v>
      </c>
      <c r="B349" s="61">
        <f>SUM(B345:B348)</f>
        <v>0</v>
      </c>
      <c r="C349" s="62">
        <f>SUM(C345:C348)</f>
        <v>0</v>
      </c>
      <c r="D349" s="63">
        <f>SUM(D345:D348)</f>
        <v>0</v>
      </c>
      <c r="E349" s="64">
        <f t="shared" ref="E349:P349" si="129">SUM(E345:E348)</f>
        <v>0</v>
      </c>
      <c r="F349" s="64">
        <f t="shared" si="129"/>
        <v>0</v>
      </c>
      <c r="G349" s="64">
        <f t="shared" si="129"/>
        <v>0</v>
      </c>
      <c r="H349" s="64">
        <f t="shared" si="129"/>
        <v>0</v>
      </c>
      <c r="I349" s="64">
        <f t="shared" si="129"/>
        <v>0</v>
      </c>
      <c r="J349" s="64">
        <f t="shared" si="129"/>
        <v>0</v>
      </c>
      <c r="K349" s="64">
        <f t="shared" si="129"/>
        <v>0</v>
      </c>
      <c r="L349" s="64">
        <f t="shared" si="129"/>
        <v>0</v>
      </c>
      <c r="M349" s="64">
        <f t="shared" si="129"/>
        <v>0</v>
      </c>
      <c r="N349" s="64">
        <f t="shared" si="129"/>
        <v>0</v>
      </c>
      <c r="O349" s="62">
        <f t="shared" si="129"/>
        <v>0</v>
      </c>
      <c r="P349" s="61">
        <f t="shared" si="129"/>
        <v>0</v>
      </c>
      <c r="Q349" s="65" t="str">
        <f t="shared" si="126"/>
        <v>-</v>
      </c>
    </row>
    <row r="350" spans="1:17" ht="14.4" thickBot="1">
      <c r="A350" s="13" t="s">
        <v>29</v>
      </c>
      <c r="B350" s="66">
        <f>+B351+B352</f>
        <v>0</v>
      </c>
      <c r="C350" s="67">
        <f t="shared" ref="C350:P350" si="130">SUM(C351:C352)</f>
        <v>0</v>
      </c>
      <c r="D350" s="68">
        <f t="shared" si="130"/>
        <v>0</v>
      </c>
      <c r="E350" s="69">
        <f t="shared" si="130"/>
        <v>0</v>
      </c>
      <c r="F350" s="69">
        <f t="shared" si="130"/>
        <v>0</v>
      </c>
      <c r="G350" s="69">
        <f t="shared" si="130"/>
        <v>0</v>
      </c>
      <c r="H350" s="69">
        <f t="shared" si="130"/>
        <v>0</v>
      </c>
      <c r="I350" s="69">
        <f t="shared" si="130"/>
        <v>0</v>
      </c>
      <c r="J350" s="69">
        <f t="shared" si="130"/>
        <v>0</v>
      </c>
      <c r="K350" s="69">
        <f t="shared" si="130"/>
        <v>0</v>
      </c>
      <c r="L350" s="69">
        <f t="shared" si="130"/>
        <v>0</v>
      </c>
      <c r="M350" s="69">
        <f t="shared" si="130"/>
        <v>0</v>
      </c>
      <c r="N350" s="69">
        <f t="shared" si="130"/>
        <v>0</v>
      </c>
      <c r="O350" s="70">
        <f t="shared" si="130"/>
        <v>0</v>
      </c>
      <c r="P350" s="66">
        <f t="shared" si="130"/>
        <v>0</v>
      </c>
      <c r="Q350" s="71" t="str">
        <f t="shared" si="126"/>
        <v>-</v>
      </c>
    </row>
    <row r="351" spans="1:17">
      <c r="A351" s="72" t="s">
        <v>19</v>
      </c>
      <c r="B351" s="73"/>
      <c r="C351" s="74"/>
      <c r="D351" s="75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7"/>
      <c r="P351" s="78">
        <f>SUM(D351:O351)</f>
        <v>0</v>
      </c>
      <c r="Q351" s="79" t="str">
        <f t="shared" si="126"/>
        <v>-</v>
      </c>
    </row>
    <row r="352" spans="1:17" ht="14.4" thickBot="1">
      <c r="A352" s="80" t="s">
        <v>20</v>
      </c>
      <c r="B352" s="81"/>
      <c r="C352" s="82"/>
      <c r="D352" s="83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5"/>
      <c r="P352" s="86">
        <f>SUM(D352:O352)</f>
        <v>0</v>
      </c>
      <c r="Q352" s="87" t="str">
        <f t="shared" si="126"/>
        <v>-</v>
      </c>
    </row>
    <row r="353" spans="1:17" ht="14.4" thickBot="1">
      <c r="A353" s="13" t="s">
        <v>30</v>
      </c>
      <c r="B353" s="14">
        <f t="shared" ref="B353:P353" si="131">SUM(B354:B355)</f>
        <v>0</v>
      </c>
      <c r="C353" s="67">
        <f t="shared" si="131"/>
        <v>0</v>
      </c>
      <c r="D353" s="68">
        <f t="shared" si="131"/>
        <v>0</v>
      </c>
      <c r="E353" s="69">
        <f t="shared" si="131"/>
        <v>0</v>
      </c>
      <c r="F353" s="69">
        <f t="shared" si="131"/>
        <v>0</v>
      </c>
      <c r="G353" s="69">
        <f t="shared" si="131"/>
        <v>0</v>
      </c>
      <c r="H353" s="69">
        <f t="shared" si="131"/>
        <v>0</v>
      </c>
      <c r="I353" s="69">
        <f t="shared" si="131"/>
        <v>0</v>
      </c>
      <c r="J353" s="69">
        <f t="shared" si="131"/>
        <v>0</v>
      </c>
      <c r="K353" s="69">
        <f t="shared" si="131"/>
        <v>0</v>
      </c>
      <c r="L353" s="69">
        <f t="shared" si="131"/>
        <v>0</v>
      </c>
      <c r="M353" s="69">
        <f t="shared" si="131"/>
        <v>0</v>
      </c>
      <c r="N353" s="69">
        <f t="shared" si="131"/>
        <v>0</v>
      </c>
      <c r="O353" s="70">
        <f t="shared" si="131"/>
        <v>0</v>
      </c>
      <c r="P353" s="66">
        <f t="shared" si="131"/>
        <v>0</v>
      </c>
      <c r="Q353" s="71" t="str">
        <f t="shared" si="126"/>
        <v>-</v>
      </c>
    </row>
    <row r="354" spans="1:17">
      <c r="A354" s="72" t="s">
        <v>106</v>
      </c>
      <c r="B354" s="73"/>
      <c r="C354" s="74"/>
      <c r="D354" s="75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7"/>
      <c r="P354" s="78">
        <f>SUM(D354:O354)</f>
        <v>0</v>
      </c>
      <c r="Q354" s="79" t="str">
        <f t="shared" si="126"/>
        <v>-</v>
      </c>
    </row>
    <row r="355" spans="1:17" ht="14.4" thickBot="1">
      <c r="A355" s="122" t="s">
        <v>105</v>
      </c>
      <c r="B355" s="123"/>
      <c r="C355" s="124"/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7"/>
      <c r="P355" s="128">
        <f>SUM(D355:O355)</f>
        <v>0</v>
      </c>
      <c r="Q355" s="129" t="str">
        <f t="shared" si="126"/>
        <v>-</v>
      </c>
    </row>
    <row r="356" spans="1:17" ht="14.4" thickBot="1">
      <c r="C356" s="3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9"/>
    </row>
    <row r="357" spans="1:17" ht="14.4" thickBot="1">
      <c r="A357" s="13" t="s">
        <v>86</v>
      </c>
      <c r="B357" s="14"/>
      <c r="C357" s="15"/>
      <c r="D357" s="16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20"/>
      <c r="P357" s="14">
        <f>SUM(D357:O357)</f>
        <v>0</v>
      </c>
      <c r="Q357" s="18" t="str">
        <f>IF(P357=0,"-",P357/C357-1)</f>
        <v>-</v>
      </c>
    </row>
    <row r="358" spans="1:17" ht="14.4" thickBot="1">
      <c r="A358" s="90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2"/>
    </row>
    <row r="359" spans="1:17" ht="14.4" thickBot="1">
      <c r="A359" s="13" t="s">
        <v>31</v>
      </c>
      <c r="B359" s="14">
        <f t="shared" ref="B359:G359" si="132">+B340+B350+B353+B357</f>
        <v>0</v>
      </c>
      <c r="C359" s="15">
        <f t="shared" si="132"/>
        <v>0</v>
      </c>
      <c r="D359" s="16">
        <f t="shared" si="132"/>
        <v>0</v>
      </c>
      <c r="E359" s="17">
        <f t="shared" si="132"/>
        <v>0</v>
      </c>
      <c r="F359" s="17">
        <f t="shared" si="132"/>
        <v>0</v>
      </c>
      <c r="G359" s="17">
        <f t="shared" si="132"/>
        <v>0</v>
      </c>
      <c r="H359" s="17">
        <f t="shared" ref="H359:P359" si="133">+H340+H350+H353+H357</f>
        <v>0</v>
      </c>
      <c r="I359" s="17">
        <f t="shared" si="133"/>
        <v>0</v>
      </c>
      <c r="J359" s="17">
        <f t="shared" si="133"/>
        <v>0</v>
      </c>
      <c r="K359" s="17">
        <f t="shared" si="133"/>
        <v>0</v>
      </c>
      <c r="L359" s="17">
        <f t="shared" si="133"/>
        <v>0</v>
      </c>
      <c r="M359" s="17">
        <f t="shared" si="133"/>
        <v>0</v>
      </c>
      <c r="N359" s="17">
        <f t="shared" si="133"/>
        <v>0</v>
      </c>
      <c r="O359" s="15">
        <f t="shared" si="133"/>
        <v>0</v>
      </c>
      <c r="P359" s="14">
        <f t="shared" si="133"/>
        <v>0</v>
      </c>
      <c r="Q359" s="18" t="str">
        <f>IF(P359=0,"-",P359/C359-1)</f>
        <v>-</v>
      </c>
    </row>
    <row r="361" spans="1:17" ht="14.4" thickBot="1"/>
    <row r="362" spans="1:17" ht="18.600000000000001" thickBot="1">
      <c r="A362" s="5"/>
      <c r="B362" s="2372" t="s">
        <v>34</v>
      </c>
      <c r="C362" s="2373"/>
      <c r="D362" s="2313" t="s">
        <v>104</v>
      </c>
      <c r="E362" s="2314"/>
      <c r="F362" s="2314"/>
      <c r="G362" s="2314"/>
      <c r="H362" s="2314"/>
      <c r="I362" s="2314"/>
      <c r="J362" s="2314"/>
      <c r="K362" s="2314"/>
      <c r="L362" s="2314"/>
      <c r="M362" s="2314"/>
      <c r="N362" s="2314"/>
      <c r="O362" s="2314"/>
      <c r="P362" s="2315"/>
      <c r="Q362" s="6" t="s">
        <v>294</v>
      </c>
    </row>
    <row r="363" spans="1:17" ht="28.2" thickBot="1">
      <c r="A363" s="7"/>
      <c r="B363" s="8" t="s">
        <v>87</v>
      </c>
      <c r="C363" s="8" t="s">
        <v>0</v>
      </c>
      <c r="D363" s="9" t="s">
        <v>1</v>
      </c>
      <c r="E363" s="10" t="s">
        <v>2</v>
      </c>
      <c r="F363" s="10" t="s">
        <v>3</v>
      </c>
      <c r="G363" s="10" t="s">
        <v>4</v>
      </c>
      <c r="H363" s="10" t="s">
        <v>5</v>
      </c>
      <c r="I363" s="10" t="s">
        <v>6</v>
      </c>
      <c r="J363" s="10" t="s">
        <v>7</v>
      </c>
      <c r="K363" s="10" t="s">
        <v>8</v>
      </c>
      <c r="L363" s="10" t="s">
        <v>9</v>
      </c>
      <c r="M363" s="10" t="s">
        <v>10</v>
      </c>
      <c r="N363" s="10" t="s">
        <v>11</v>
      </c>
      <c r="O363" s="10" t="s">
        <v>12</v>
      </c>
      <c r="P363" s="11" t="s">
        <v>13</v>
      </c>
      <c r="Q363" s="12" t="s">
        <v>14</v>
      </c>
    </row>
    <row r="364" spans="1:17" ht="14.4" thickBot="1">
      <c r="A364" s="13" t="s">
        <v>28</v>
      </c>
      <c r="B364" s="14">
        <f>B367+B368+B373</f>
        <v>0</v>
      </c>
      <c r="C364" s="15">
        <f t="shared" ref="C364:P364" si="134">C367+C368+C373</f>
        <v>0</v>
      </c>
      <c r="D364" s="16">
        <f t="shared" si="134"/>
        <v>0</v>
      </c>
      <c r="E364" s="17">
        <f t="shared" si="134"/>
        <v>0</v>
      </c>
      <c r="F364" s="17">
        <f t="shared" si="134"/>
        <v>0</v>
      </c>
      <c r="G364" s="17">
        <f t="shared" si="134"/>
        <v>0</v>
      </c>
      <c r="H364" s="17">
        <f t="shared" si="134"/>
        <v>0</v>
      </c>
      <c r="I364" s="17">
        <f t="shared" si="134"/>
        <v>0</v>
      </c>
      <c r="J364" s="17">
        <f t="shared" si="134"/>
        <v>0</v>
      </c>
      <c r="K364" s="17">
        <f t="shared" si="134"/>
        <v>0</v>
      </c>
      <c r="L364" s="17">
        <f t="shared" si="134"/>
        <v>0</v>
      </c>
      <c r="M364" s="17">
        <f t="shared" si="134"/>
        <v>0</v>
      </c>
      <c r="N364" s="17">
        <f t="shared" si="134"/>
        <v>0</v>
      </c>
      <c r="O364" s="15">
        <f t="shared" si="134"/>
        <v>0</v>
      </c>
      <c r="P364" s="14">
        <f t="shared" si="134"/>
        <v>0</v>
      </c>
      <c r="Q364" s="18" t="str">
        <f t="shared" ref="Q364:Q379" si="135">IF(P364=0,"-",P364/C364-1)</f>
        <v>-</v>
      </c>
    </row>
    <row r="365" spans="1:17">
      <c r="A365" s="19" t="s">
        <v>15</v>
      </c>
      <c r="B365" s="20"/>
      <c r="C365" s="21"/>
      <c r="D365" s="22"/>
      <c r="E365" s="23"/>
      <c r="F365" s="23"/>
      <c r="G365" s="23"/>
      <c r="H365" s="24"/>
      <c r="I365" s="24"/>
      <c r="J365" s="24"/>
      <c r="K365" s="24"/>
      <c r="L365" s="24"/>
      <c r="M365" s="24"/>
      <c r="N365" s="24"/>
      <c r="O365" s="25"/>
      <c r="P365" s="20">
        <f t="shared" ref="P365:P372" si="136">SUM(D365:O365)</f>
        <v>0</v>
      </c>
      <c r="Q365" s="26" t="str">
        <f t="shared" si="135"/>
        <v>-</v>
      </c>
    </row>
    <row r="366" spans="1:17">
      <c r="A366" s="28" t="s">
        <v>16</v>
      </c>
      <c r="B366" s="29"/>
      <c r="C366" s="30"/>
      <c r="D366" s="31"/>
      <c r="E366" s="32"/>
      <c r="F366" s="32"/>
      <c r="G366" s="32"/>
      <c r="H366" s="33"/>
      <c r="I366" s="33"/>
      <c r="J366" s="33"/>
      <c r="K366" s="33"/>
      <c r="L366" s="33"/>
      <c r="M366" s="33"/>
      <c r="N366" s="33"/>
      <c r="O366" s="34"/>
      <c r="P366" s="29">
        <f t="shared" si="136"/>
        <v>0</v>
      </c>
      <c r="Q366" s="35" t="str">
        <f t="shared" si="135"/>
        <v>-</v>
      </c>
    </row>
    <row r="367" spans="1:17">
      <c r="A367" s="36" t="s">
        <v>27</v>
      </c>
      <c r="B367" s="37">
        <f>+B365+B366</f>
        <v>0</v>
      </c>
      <c r="C367" s="38">
        <f>+C366+C365</f>
        <v>0</v>
      </c>
      <c r="D367" s="39">
        <f t="shared" ref="D367:O367" si="137">SUM(D365:D366)</f>
        <v>0</v>
      </c>
      <c r="E367" s="40">
        <f t="shared" si="137"/>
        <v>0</v>
      </c>
      <c r="F367" s="40">
        <f t="shared" si="137"/>
        <v>0</v>
      </c>
      <c r="G367" s="40">
        <f t="shared" si="137"/>
        <v>0</v>
      </c>
      <c r="H367" s="40">
        <f t="shared" si="137"/>
        <v>0</v>
      </c>
      <c r="I367" s="40">
        <f t="shared" si="137"/>
        <v>0</v>
      </c>
      <c r="J367" s="40">
        <f t="shared" si="137"/>
        <v>0</v>
      </c>
      <c r="K367" s="40">
        <f t="shared" si="137"/>
        <v>0</v>
      </c>
      <c r="L367" s="40">
        <f t="shared" si="137"/>
        <v>0</v>
      </c>
      <c r="M367" s="40">
        <f t="shared" si="137"/>
        <v>0</v>
      </c>
      <c r="N367" s="40">
        <f t="shared" si="137"/>
        <v>0</v>
      </c>
      <c r="O367" s="38">
        <f t="shared" si="137"/>
        <v>0</v>
      </c>
      <c r="P367" s="37">
        <f t="shared" si="136"/>
        <v>0</v>
      </c>
      <c r="Q367" s="41" t="str">
        <f t="shared" si="135"/>
        <v>-</v>
      </c>
    </row>
    <row r="368" spans="1:17">
      <c r="A368" s="42" t="s">
        <v>17</v>
      </c>
      <c r="B368" s="43"/>
      <c r="C368" s="44"/>
      <c r="D368" s="45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7"/>
      <c r="P368" s="48">
        <f t="shared" si="136"/>
        <v>0</v>
      </c>
      <c r="Q368" s="35" t="str">
        <f t="shared" si="135"/>
        <v>-</v>
      </c>
    </row>
    <row r="369" spans="1:17">
      <c r="A369" s="49" t="s">
        <v>81</v>
      </c>
      <c r="B369" s="37"/>
      <c r="C369" s="119"/>
      <c r="D369" s="39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38"/>
      <c r="P369" s="56">
        <f t="shared" si="136"/>
        <v>0</v>
      </c>
      <c r="Q369" s="57" t="str">
        <f t="shared" si="135"/>
        <v>-</v>
      </c>
    </row>
    <row r="370" spans="1:17">
      <c r="A370" s="58" t="s">
        <v>82</v>
      </c>
      <c r="B370" s="43"/>
      <c r="C370" s="44"/>
      <c r="D370" s="45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7"/>
      <c r="P370" s="48">
        <f t="shared" si="136"/>
        <v>0</v>
      </c>
      <c r="Q370" s="35" t="str">
        <f t="shared" si="135"/>
        <v>-</v>
      </c>
    </row>
    <row r="371" spans="1:17">
      <c r="A371" s="49" t="s">
        <v>83</v>
      </c>
      <c r="B371" s="50"/>
      <c r="C371" s="51"/>
      <c r="D371" s="52"/>
      <c r="E371" s="53"/>
      <c r="F371" s="54"/>
      <c r="G371" s="53"/>
      <c r="H371" s="53"/>
      <c r="I371" s="53"/>
      <c r="J371" s="53"/>
      <c r="K371" s="53"/>
      <c r="L371" s="53"/>
      <c r="M371" s="53"/>
      <c r="N371" s="53"/>
      <c r="O371" s="55"/>
      <c r="P371" s="56">
        <f t="shared" si="136"/>
        <v>0</v>
      </c>
      <c r="Q371" s="57" t="str">
        <f t="shared" si="135"/>
        <v>-</v>
      </c>
    </row>
    <row r="372" spans="1:17">
      <c r="A372" s="58" t="s">
        <v>84</v>
      </c>
      <c r="B372" s="29"/>
      <c r="C372" s="30"/>
      <c r="D372" s="59"/>
      <c r="E372" s="33"/>
      <c r="F372" s="33"/>
      <c r="G372" s="33"/>
      <c r="H372" s="33"/>
      <c r="I372" s="32"/>
      <c r="J372" s="32"/>
      <c r="K372" s="33"/>
      <c r="L372" s="33"/>
      <c r="M372" s="33"/>
      <c r="N372" s="33"/>
      <c r="O372" s="34"/>
      <c r="P372" s="48">
        <f t="shared" si="136"/>
        <v>0</v>
      </c>
      <c r="Q372" s="35" t="str">
        <f t="shared" si="135"/>
        <v>-</v>
      </c>
    </row>
    <row r="373" spans="1:17" ht="14.4" thickBot="1">
      <c r="A373" s="60" t="s">
        <v>18</v>
      </c>
      <c r="B373" s="61">
        <f>SUM(B369:B372)</f>
        <v>0</v>
      </c>
      <c r="C373" s="62">
        <f>SUM(C369:C372)</f>
        <v>0</v>
      </c>
      <c r="D373" s="63">
        <f>SUM(D369:D372)</f>
        <v>0</v>
      </c>
      <c r="E373" s="64">
        <f t="shared" ref="E373:P373" si="138">SUM(E369:E372)</f>
        <v>0</v>
      </c>
      <c r="F373" s="64">
        <f t="shared" si="138"/>
        <v>0</v>
      </c>
      <c r="G373" s="64">
        <f t="shared" si="138"/>
        <v>0</v>
      </c>
      <c r="H373" s="64">
        <f t="shared" si="138"/>
        <v>0</v>
      </c>
      <c r="I373" s="64">
        <f t="shared" si="138"/>
        <v>0</v>
      </c>
      <c r="J373" s="64">
        <f t="shared" si="138"/>
        <v>0</v>
      </c>
      <c r="K373" s="64">
        <f t="shared" si="138"/>
        <v>0</v>
      </c>
      <c r="L373" s="64">
        <f t="shared" si="138"/>
        <v>0</v>
      </c>
      <c r="M373" s="64">
        <f t="shared" si="138"/>
        <v>0</v>
      </c>
      <c r="N373" s="64">
        <f t="shared" si="138"/>
        <v>0</v>
      </c>
      <c r="O373" s="62">
        <f t="shared" si="138"/>
        <v>0</v>
      </c>
      <c r="P373" s="61">
        <f t="shared" si="138"/>
        <v>0</v>
      </c>
      <c r="Q373" s="65" t="str">
        <f t="shared" si="135"/>
        <v>-</v>
      </c>
    </row>
    <row r="374" spans="1:17" ht="14.4" thickBot="1">
      <c r="A374" s="13" t="s">
        <v>29</v>
      </c>
      <c r="B374" s="66">
        <f>+B375+B376</f>
        <v>0</v>
      </c>
      <c r="C374" s="67">
        <f t="shared" ref="C374:P374" si="139">SUM(C375:C376)</f>
        <v>0</v>
      </c>
      <c r="D374" s="68">
        <f t="shared" si="139"/>
        <v>0</v>
      </c>
      <c r="E374" s="69">
        <f t="shared" si="139"/>
        <v>0</v>
      </c>
      <c r="F374" s="69">
        <f t="shared" si="139"/>
        <v>0</v>
      </c>
      <c r="G374" s="69">
        <f t="shared" si="139"/>
        <v>0</v>
      </c>
      <c r="H374" s="69">
        <f t="shared" si="139"/>
        <v>0</v>
      </c>
      <c r="I374" s="69">
        <f t="shared" si="139"/>
        <v>0</v>
      </c>
      <c r="J374" s="69">
        <f t="shared" si="139"/>
        <v>0</v>
      </c>
      <c r="K374" s="69">
        <f t="shared" si="139"/>
        <v>0</v>
      </c>
      <c r="L374" s="69">
        <f t="shared" si="139"/>
        <v>0</v>
      </c>
      <c r="M374" s="69">
        <f t="shared" si="139"/>
        <v>0</v>
      </c>
      <c r="N374" s="69">
        <f t="shared" si="139"/>
        <v>0</v>
      </c>
      <c r="O374" s="70">
        <f t="shared" si="139"/>
        <v>0</v>
      </c>
      <c r="P374" s="66">
        <f t="shared" si="139"/>
        <v>0</v>
      </c>
      <c r="Q374" s="71" t="str">
        <f t="shared" si="135"/>
        <v>-</v>
      </c>
    </row>
    <row r="375" spans="1:17">
      <c r="A375" s="72" t="s">
        <v>19</v>
      </c>
      <c r="B375" s="73"/>
      <c r="C375" s="74"/>
      <c r="D375" s="75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7"/>
      <c r="P375" s="78">
        <f>SUM(D375:O375)</f>
        <v>0</v>
      </c>
      <c r="Q375" s="79" t="str">
        <f t="shared" si="135"/>
        <v>-</v>
      </c>
    </row>
    <row r="376" spans="1:17" ht="14.4" thickBot="1">
      <c r="A376" s="80" t="s">
        <v>20</v>
      </c>
      <c r="B376" s="81"/>
      <c r="C376" s="82"/>
      <c r="D376" s="83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5"/>
      <c r="P376" s="86">
        <f>SUM(D376:O376)</f>
        <v>0</v>
      </c>
      <c r="Q376" s="87" t="str">
        <f t="shared" si="135"/>
        <v>-</v>
      </c>
    </row>
    <row r="377" spans="1:17" ht="14.4" thickBot="1">
      <c r="A377" s="13" t="s">
        <v>30</v>
      </c>
      <c r="B377" s="14">
        <f t="shared" ref="B377:P377" si="140">SUM(B378:B379)</f>
        <v>0</v>
      </c>
      <c r="C377" s="67">
        <f t="shared" si="140"/>
        <v>0</v>
      </c>
      <c r="D377" s="68">
        <f t="shared" si="140"/>
        <v>0</v>
      </c>
      <c r="E377" s="69">
        <f t="shared" si="140"/>
        <v>0</v>
      </c>
      <c r="F377" s="69">
        <f t="shared" si="140"/>
        <v>0</v>
      </c>
      <c r="G377" s="69">
        <f t="shared" si="140"/>
        <v>0</v>
      </c>
      <c r="H377" s="69">
        <f t="shared" si="140"/>
        <v>0</v>
      </c>
      <c r="I377" s="69">
        <f t="shared" si="140"/>
        <v>0</v>
      </c>
      <c r="J377" s="69">
        <f t="shared" si="140"/>
        <v>0</v>
      </c>
      <c r="K377" s="69">
        <f t="shared" si="140"/>
        <v>0</v>
      </c>
      <c r="L377" s="69">
        <f t="shared" si="140"/>
        <v>0</v>
      </c>
      <c r="M377" s="69">
        <f t="shared" si="140"/>
        <v>0</v>
      </c>
      <c r="N377" s="69">
        <f t="shared" si="140"/>
        <v>0</v>
      </c>
      <c r="O377" s="70">
        <f t="shared" si="140"/>
        <v>0</v>
      </c>
      <c r="P377" s="66">
        <f t="shared" si="140"/>
        <v>0</v>
      </c>
      <c r="Q377" s="71" t="str">
        <f t="shared" si="135"/>
        <v>-</v>
      </c>
    </row>
    <row r="378" spans="1:17">
      <c r="A378" s="72" t="s">
        <v>106</v>
      </c>
      <c r="B378" s="73"/>
      <c r="C378" s="74"/>
      <c r="D378" s="75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7"/>
      <c r="P378" s="78">
        <f>SUM(D378:O378)</f>
        <v>0</v>
      </c>
      <c r="Q378" s="79" t="str">
        <f t="shared" si="135"/>
        <v>-</v>
      </c>
    </row>
    <row r="379" spans="1:17" ht="14.4" thickBot="1">
      <c r="A379" s="122" t="s">
        <v>105</v>
      </c>
      <c r="B379" s="123"/>
      <c r="C379" s="124"/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7"/>
      <c r="P379" s="128">
        <f>SUM(D379:O379)</f>
        <v>0</v>
      </c>
      <c r="Q379" s="129" t="str">
        <f t="shared" si="135"/>
        <v>-</v>
      </c>
    </row>
    <row r="380" spans="1:17" ht="14.4" thickBot="1">
      <c r="C380" s="3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9"/>
    </row>
    <row r="381" spans="1:17" ht="14.4" thickBot="1">
      <c r="A381" s="13" t="s">
        <v>86</v>
      </c>
      <c r="B381" s="14"/>
      <c r="C381" s="15"/>
      <c r="D381" s="16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20"/>
      <c r="P381" s="14">
        <f>SUM(D381:O381)</f>
        <v>0</v>
      </c>
      <c r="Q381" s="18" t="str">
        <f>IF(P381=0,"-",P381/C381-1)</f>
        <v>-</v>
      </c>
    </row>
    <row r="382" spans="1:17" ht="14.4" thickBot="1">
      <c r="A382" s="90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2"/>
    </row>
    <row r="383" spans="1:17" ht="14.4" thickBot="1">
      <c r="A383" s="13" t="s">
        <v>31</v>
      </c>
      <c r="B383" s="14">
        <f t="shared" ref="B383:G383" si="141">+B364+B374+B377+B381</f>
        <v>0</v>
      </c>
      <c r="C383" s="15">
        <f t="shared" si="141"/>
        <v>0</v>
      </c>
      <c r="D383" s="16">
        <f t="shared" si="141"/>
        <v>0</v>
      </c>
      <c r="E383" s="17">
        <f t="shared" si="141"/>
        <v>0</v>
      </c>
      <c r="F383" s="17">
        <f t="shared" si="141"/>
        <v>0</v>
      </c>
      <c r="G383" s="17">
        <f t="shared" si="141"/>
        <v>0</v>
      </c>
      <c r="H383" s="17">
        <f t="shared" ref="H383:P383" si="142">+H364+H374+H377+H381</f>
        <v>0</v>
      </c>
      <c r="I383" s="17">
        <f t="shared" si="142"/>
        <v>0</v>
      </c>
      <c r="J383" s="17">
        <f t="shared" si="142"/>
        <v>0</v>
      </c>
      <c r="K383" s="17">
        <f t="shared" si="142"/>
        <v>0</v>
      </c>
      <c r="L383" s="17">
        <f t="shared" si="142"/>
        <v>0</v>
      </c>
      <c r="M383" s="17">
        <f t="shared" si="142"/>
        <v>0</v>
      </c>
      <c r="N383" s="17">
        <f t="shared" si="142"/>
        <v>0</v>
      </c>
      <c r="O383" s="15">
        <f t="shared" si="142"/>
        <v>0</v>
      </c>
      <c r="P383" s="14">
        <f t="shared" si="142"/>
        <v>0</v>
      </c>
      <c r="Q383" s="18" t="str">
        <f>IF(P383=0,"-",P383/C383-1)</f>
        <v>-</v>
      </c>
    </row>
  </sheetData>
  <mergeCells count="32">
    <mergeCell ref="B2:C2"/>
    <mergeCell ref="D2:P2"/>
    <mergeCell ref="B26:C26"/>
    <mergeCell ref="D26:P26"/>
    <mergeCell ref="B50:C50"/>
    <mergeCell ref="D50:P50"/>
    <mergeCell ref="B74:C74"/>
    <mergeCell ref="D74:P74"/>
    <mergeCell ref="B98:C98"/>
    <mergeCell ref="D98:P98"/>
    <mergeCell ref="B122:C122"/>
    <mergeCell ref="D122:P122"/>
    <mergeCell ref="B146:C146"/>
    <mergeCell ref="D146:P146"/>
    <mergeCell ref="B170:C170"/>
    <mergeCell ref="D170:P170"/>
    <mergeCell ref="B194:C194"/>
    <mergeCell ref="D194:P194"/>
    <mergeCell ref="B218:C218"/>
    <mergeCell ref="D218:P218"/>
    <mergeCell ref="B242:C242"/>
    <mergeCell ref="D242:P242"/>
    <mergeCell ref="B266:C266"/>
    <mergeCell ref="D266:P266"/>
    <mergeCell ref="B362:C362"/>
    <mergeCell ref="D362:P362"/>
    <mergeCell ref="B290:C290"/>
    <mergeCell ref="D290:P290"/>
    <mergeCell ref="B314:C314"/>
    <mergeCell ref="D314:P314"/>
    <mergeCell ref="B338:C338"/>
    <mergeCell ref="D338:P338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U76"/>
  <sheetViews>
    <sheetView zoomScaleNormal="100" workbookViewId="0">
      <selection activeCell="A21" sqref="A21"/>
    </sheetView>
  </sheetViews>
  <sheetFormatPr defaultColWidth="9.109375" defaultRowHeight="14.4"/>
  <cols>
    <col min="1" max="1" width="9.109375" style="130"/>
    <col min="2" max="2" width="0" style="130" hidden="1" customWidth="1"/>
    <col min="3" max="3" width="7.44140625" style="130" hidden="1" customWidth="1"/>
    <col min="4" max="6" width="7.109375" style="130" customWidth="1"/>
    <col min="7" max="8" width="0" style="130" hidden="1" customWidth="1"/>
    <col min="9" max="9" width="12.5546875" style="134" customWidth="1"/>
    <col min="10" max="20" width="12.5546875" style="130" customWidth="1"/>
    <col min="21" max="16384" width="9.109375" style="130"/>
  </cols>
  <sheetData>
    <row r="1" spans="1:20" ht="15.6">
      <c r="A1" s="2420" t="s">
        <v>317</v>
      </c>
      <c r="B1" s="2420"/>
      <c r="C1" s="2420"/>
      <c r="D1" s="2420"/>
      <c r="E1" s="2420"/>
      <c r="F1" s="2420"/>
      <c r="G1" s="2420"/>
      <c r="H1" s="2421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</row>
    <row r="2" spans="1:20" ht="28.8">
      <c r="A2" s="845" t="s">
        <v>107</v>
      </c>
      <c r="B2" s="2414" t="s">
        <v>108</v>
      </c>
      <c r="C2" s="2414"/>
      <c r="D2" s="2415" t="s">
        <v>109</v>
      </c>
      <c r="E2" s="2416"/>
      <c r="F2" s="2417"/>
      <c r="G2" s="845" t="s">
        <v>110</v>
      </c>
      <c r="H2" s="845" t="s">
        <v>293</v>
      </c>
      <c r="I2" s="847" t="s">
        <v>111</v>
      </c>
      <c r="J2" s="845" t="s">
        <v>112</v>
      </c>
      <c r="K2" s="845" t="s">
        <v>113</v>
      </c>
      <c r="L2" s="845" t="s">
        <v>114</v>
      </c>
      <c r="M2" s="845" t="s">
        <v>115</v>
      </c>
      <c r="N2" s="845" t="s">
        <v>116</v>
      </c>
      <c r="O2" s="845" t="s">
        <v>117</v>
      </c>
      <c r="P2" s="845" t="s">
        <v>118</v>
      </c>
      <c r="Q2" s="845" t="s">
        <v>119</v>
      </c>
      <c r="R2" s="845" t="s">
        <v>120</v>
      </c>
      <c r="S2" s="845" t="s">
        <v>121</v>
      </c>
      <c r="T2" s="845" t="s">
        <v>122</v>
      </c>
    </row>
    <row r="3" spans="1:20">
      <c r="A3" s="131" t="s">
        <v>123</v>
      </c>
      <c r="B3" s="2412" t="s">
        <v>104</v>
      </c>
      <c r="C3" s="2412"/>
      <c r="D3" s="2413" t="s">
        <v>104</v>
      </c>
      <c r="E3" s="2413"/>
      <c r="F3" s="2413"/>
      <c r="G3" s="849"/>
      <c r="H3" s="849"/>
      <c r="I3" s="841">
        <v>0.35</v>
      </c>
      <c r="J3" s="841">
        <v>0.35</v>
      </c>
      <c r="K3" s="841">
        <v>0.35</v>
      </c>
      <c r="L3" s="841">
        <v>0.35</v>
      </c>
      <c r="M3" s="841">
        <v>0.35</v>
      </c>
      <c r="N3" s="841">
        <v>0.35</v>
      </c>
      <c r="O3" s="841">
        <v>0.35</v>
      </c>
      <c r="P3" s="841">
        <v>0.35</v>
      </c>
      <c r="Q3" s="841">
        <v>0.35</v>
      </c>
      <c r="R3" s="841">
        <v>0.35</v>
      </c>
      <c r="S3" s="841">
        <v>0.35</v>
      </c>
      <c r="T3" s="841">
        <v>0.35</v>
      </c>
    </row>
    <row r="4" spans="1:20">
      <c r="A4" s="131" t="s">
        <v>124</v>
      </c>
      <c r="B4" s="2412" t="s">
        <v>98</v>
      </c>
      <c r="C4" s="2412"/>
      <c r="D4" s="2413" t="s">
        <v>98</v>
      </c>
      <c r="E4" s="2413"/>
      <c r="F4" s="2413"/>
      <c r="G4" s="849"/>
      <c r="H4" s="849"/>
      <c r="I4" s="841">
        <v>0.35</v>
      </c>
      <c r="J4" s="841">
        <v>0.35</v>
      </c>
      <c r="K4" s="841">
        <v>0.35</v>
      </c>
      <c r="L4" s="841">
        <v>0.35</v>
      </c>
      <c r="M4" s="841">
        <v>0.35</v>
      </c>
      <c r="N4" s="841">
        <v>0.35</v>
      </c>
      <c r="O4" s="841">
        <v>0.35</v>
      </c>
      <c r="P4" s="841">
        <v>0.35</v>
      </c>
      <c r="Q4" s="841">
        <v>0.35</v>
      </c>
      <c r="R4" s="841">
        <v>0.35</v>
      </c>
      <c r="S4" s="841">
        <v>0.35</v>
      </c>
      <c r="T4" s="841">
        <v>0.35</v>
      </c>
    </row>
    <row r="5" spans="1:20">
      <c r="A5" s="131" t="s">
        <v>125</v>
      </c>
      <c r="B5" s="2412" t="s">
        <v>93</v>
      </c>
      <c r="C5" s="2412"/>
      <c r="D5" s="2413" t="s">
        <v>93</v>
      </c>
      <c r="E5" s="2413"/>
      <c r="F5" s="2413"/>
      <c r="G5" s="849"/>
      <c r="H5" s="849"/>
      <c r="I5" s="841">
        <v>1</v>
      </c>
      <c r="J5" s="841">
        <v>1</v>
      </c>
      <c r="K5" s="841">
        <v>1</v>
      </c>
      <c r="L5" s="841">
        <v>1</v>
      </c>
      <c r="M5" s="841">
        <v>1</v>
      </c>
      <c r="N5" s="841">
        <v>1</v>
      </c>
      <c r="O5" s="841">
        <v>1</v>
      </c>
      <c r="P5" s="841">
        <v>1</v>
      </c>
      <c r="Q5" s="841">
        <v>1</v>
      </c>
      <c r="R5" s="841">
        <v>1</v>
      </c>
      <c r="S5" s="841">
        <v>1</v>
      </c>
      <c r="T5" s="841">
        <v>1</v>
      </c>
    </row>
    <row r="6" spans="1:20">
      <c r="A6" s="131" t="s">
        <v>126</v>
      </c>
      <c r="B6" s="2412" t="s">
        <v>95</v>
      </c>
      <c r="C6" s="2412"/>
      <c r="D6" s="2413" t="s">
        <v>95</v>
      </c>
      <c r="E6" s="2413"/>
      <c r="F6" s="2413"/>
      <c r="G6" s="849"/>
      <c r="H6" s="849"/>
      <c r="I6" s="841">
        <v>0.5</v>
      </c>
      <c r="J6" s="841">
        <v>0.5</v>
      </c>
      <c r="K6" s="841">
        <v>0.5</v>
      </c>
      <c r="L6" s="841">
        <v>0.5</v>
      </c>
      <c r="M6" s="841">
        <v>0.5</v>
      </c>
      <c r="N6" s="841">
        <v>0.5</v>
      </c>
      <c r="O6" s="841">
        <v>0.5</v>
      </c>
      <c r="P6" s="841">
        <v>0.5</v>
      </c>
      <c r="Q6" s="841">
        <v>0.5</v>
      </c>
      <c r="R6" s="841">
        <v>0.5</v>
      </c>
      <c r="S6" s="841">
        <v>0.5</v>
      </c>
      <c r="T6" s="841">
        <v>0.5</v>
      </c>
    </row>
    <row r="7" spans="1:20">
      <c r="A7" s="131" t="s">
        <v>127</v>
      </c>
      <c r="B7" s="2412" t="s">
        <v>92</v>
      </c>
      <c r="C7" s="2412"/>
      <c r="D7" s="2413" t="s">
        <v>92</v>
      </c>
      <c r="E7" s="2413"/>
      <c r="F7" s="2413"/>
      <c r="G7" s="849"/>
      <c r="H7" s="849"/>
      <c r="I7" s="841">
        <v>0.5</v>
      </c>
      <c r="J7" s="841">
        <v>0.5</v>
      </c>
      <c r="K7" s="841">
        <v>0.5</v>
      </c>
      <c r="L7" s="841">
        <v>0.5</v>
      </c>
      <c r="M7" s="841">
        <v>0.5</v>
      </c>
      <c r="N7" s="841">
        <v>0.5</v>
      </c>
      <c r="O7" s="841">
        <v>0.5</v>
      </c>
      <c r="P7" s="841">
        <v>0.5</v>
      </c>
      <c r="Q7" s="841">
        <v>0.5</v>
      </c>
      <c r="R7" s="841">
        <v>0.5</v>
      </c>
      <c r="S7" s="841">
        <v>0.5</v>
      </c>
      <c r="T7" s="841">
        <v>0.5</v>
      </c>
    </row>
    <row r="8" spans="1:20">
      <c r="A8" s="131" t="s">
        <v>128</v>
      </c>
      <c r="B8" s="2412" t="s">
        <v>99</v>
      </c>
      <c r="C8" s="2412"/>
      <c r="D8" s="2413" t="s">
        <v>99</v>
      </c>
      <c r="E8" s="2413"/>
      <c r="F8" s="2413"/>
      <c r="G8" s="849"/>
      <c r="H8" s="849"/>
      <c r="I8" s="841">
        <v>1.5</v>
      </c>
      <c r="J8" s="841">
        <v>1.5</v>
      </c>
      <c r="K8" s="841">
        <v>1.5</v>
      </c>
      <c r="L8" s="841">
        <v>1.5</v>
      </c>
      <c r="M8" s="841">
        <v>1.5</v>
      </c>
      <c r="N8" s="841">
        <v>1.5</v>
      </c>
      <c r="O8" s="841">
        <v>1.5</v>
      </c>
      <c r="P8" s="841">
        <v>1.5</v>
      </c>
      <c r="Q8" s="841">
        <v>1.5</v>
      </c>
      <c r="R8" s="841">
        <v>1.5</v>
      </c>
      <c r="S8" s="841">
        <v>1.5</v>
      </c>
      <c r="T8" s="841">
        <v>1.5</v>
      </c>
    </row>
    <row r="9" spans="1:20">
      <c r="A9" s="131" t="s">
        <v>129</v>
      </c>
      <c r="B9" s="2412" t="s">
        <v>91</v>
      </c>
      <c r="C9" s="2412"/>
      <c r="D9" s="2413" t="s">
        <v>91</v>
      </c>
      <c r="E9" s="2413"/>
      <c r="F9" s="2413"/>
      <c r="G9" s="849"/>
      <c r="H9" s="849"/>
      <c r="I9" s="841">
        <v>2</v>
      </c>
      <c r="J9" s="841">
        <v>2</v>
      </c>
      <c r="K9" s="841">
        <v>2</v>
      </c>
      <c r="L9" s="841">
        <v>2</v>
      </c>
      <c r="M9" s="841">
        <v>2</v>
      </c>
      <c r="N9" s="841">
        <v>2</v>
      </c>
      <c r="O9" s="841">
        <v>2</v>
      </c>
      <c r="P9" s="841">
        <v>2</v>
      </c>
      <c r="Q9" s="841">
        <v>2</v>
      </c>
      <c r="R9" s="841">
        <v>2</v>
      </c>
      <c r="S9" s="841">
        <v>2</v>
      </c>
      <c r="T9" s="841">
        <v>2</v>
      </c>
    </row>
    <row r="10" spans="1:20">
      <c r="A10" s="131" t="s">
        <v>130</v>
      </c>
      <c r="B10" s="2412" t="s">
        <v>90</v>
      </c>
      <c r="C10" s="2412"/>
      <c r="D10" s="2413" t="s">
        <v>90</v>
      </c>
      <c r="E10" s="2413"/>
      <c r="F10" s="2413"/>
      <c r="G10" s="849"/>
      <c r="H10" s="849"/>
      <c r="I10" s="841">
        <v>0.5</v>
      </c>
      <c r="J10" s="841">
        <v>0.5</v>
      </c>
      <c r="K10" s="841">
        <v>0.5</v>
      </c>
      <c r="L10" s="841">
        <v>0.5</v>
      </c>
      <c r="M10" s="841">
        <v>0.5</v>
      </c>
      <c r="N10" s="841">
        <v>0.5</v>
      </c>
      <c r="O10" s="841">
        <v>0.5</v>
      </c>
      <c r="P10" s="841">
        <v>0.5</v>
      </c>
      <c r="Q10" s="841">
        <v>0.5</v>
      </c>
      <c r="R10" s="841">
        <v>0.5</v>
      </c>
      <c r="S10" s="841">
        <v>0.5</v>
      </c>
      <c r="T10" s="841">
        <v>0.5</v>
      </c>
    </row>
    <row r="11" spans="1:20">
      <c r="A11" s="131" t="s">
        <v>131</v>
      </c>
      <c r="B11" s="2412" t="s">
        <v>101</v>
      </c>
      <c r="C11" s="2412"/>
      <c r="D11" s="2413" t="s">
        <v>101</v>
      </c>
      <c r="E11" s="2413"/>
      <c r="F11" s="2413"/>
      <c r="G11" s="849"/>
      <c r="H11" s="849"/>
      <c r="I11" s="841">
        <v>3</v>
      </c>
      <c r="J11" s="841">
        <v>3</v>
      </c>
      <c r="K11" s="841">
        <v>3</v>
      </c>
      <c r="L11" s="841">
        <v>3</v>
      </c>
      <c r="M11" s="841">
        <v>3</v>
      </c>
      <c r="N11" s="841">
        <v>3</v>
      </c>
      <c r="O11" s="841">
        <v>3</v>
      </c>
      <c r="P11" s="841">
        <v>3</v>
      </c>
      <c r="Q11" s="841">
        <v>3</v>
      </c>
      <c r="R11" s="841">
        <v>3</v>
      </c>
      <c r="S11" s="841">
        <v>3</v>
      </c>
      <c r="T11" s="841">
        <v>3</v>
      </c>
    </row>
    <row r="12" spans="1:20">
      <c r="A12" s="131" t="s">
        <v>132</v>
      </c>
      <c r="B12" s="2412" t="s">
        <v>89</v>
      </c>
      <c r="C12" s="2412"/>
      <c r="D12" s="2413" t="s">
        <v>133</v>
      </c>
      <c r="E12" s="2413"/>
      <c r="F12" s="2413"/>
      <c r="G12" s="849"/>
      <c r="H12" s="849"/>
      <c r="I12" s="841">
        <v>5</v>
      </c>
      <c r="J12" s="841">
        <v>5</v>
      </c>
      <c r="K12" s="841">
        <v>5</v>
      </c>
      <c r="L12" s="841">
        <v>5</v>
      </c>
      <c r="M12" s="841">
        <v>5</v>
      </c>
      <c r="N12" s="841">
        <v>5</v>
      </c>
      <c r="O12" s="841">
        <v>5</v>
      </c>
      <c r="P12" s="841">
        <v>5</v>
      </c>
      <c r="Q12" s="841">
        <v>5</v>
      </c>
      <c r="R12" s="841">
        <v>5</v>
      </c>
      <c r="S12" s="841">
        <v>5</v>
      </c>
      <c r="T12" s="841">
        <v>5</v>
      </c>
    </row>
    <row r="13" spans="1:20">
      <c r="A13" s="131" t="s">
        <v>134</v>
      </c>
      <c r="B13" s="2412" t="s">
        <v>100</v>
      </c>
      <c r="C13" s="2412"/>
      <c r="D13" s="2413" t="s">
        <v>100</v>
      </c>
      <c r="E13" s="2413"/>
      <c r="F13" s="2413"/>
      <c r="G13" s="849"/>
      <c r="H13" s="849"/>
      <c r="I13" s="841">
        <v>3</v>
      </c>
      <c r="J13" s="841">
        <v>3</v>
      </c>
      <c r="K13" s="841">
        <v>3</v>
      </c>
      <c r="L13" s="841">
        <v>3</v>
      </c>
      <c r="M13" s="841">
        <v>3</v>
      </c>
      <c r="N13" s="841">
        <v>3</v>
      </c>
      <c r="O13" s="841">
        <v>3</v>
      </c>
      <c r="P13" s="841">
        <v>3</v>
      </c>
      <c r="Q13" s="841">
        <v>3</v>
      </c>
      <c r="R13" s="841">
        <v>3</v>
      </c>
      <c r="S13" s="841">
        <v>3</v>
      </c>
      <c r="T13" s="841">
        <v>3</v>
      </c>
    </row>
    <row r="14" spans="1:20">
      <c r="A14" s="131" t="s">
        <v>135</v>
      </c>
      <c r="B14" s="2412" t="s">
        <v>103</v>
      </c>
      <c r="C14" s="2412"/>
      <c r="D14" s="2413" t="s">
        <v>103</v>
      </c>
      <c r="E14" s="2413"/>
      <c r="F14" s="2413"/>
      <c r="G14" s="849"/>
      <c r="H14" s="849"/>
      <c r="I14" s="841">
        <v>1</v>
      </c>
      <c r="J14" s="841">
        <v>1</v>
      </c>
      <c r="K14" s="841">
        <v>1</v>
      </c>
      <c r="L14" s="841">
        <v>1</v>
      </c>
      <c r="M14" s="841">
        <v>1</v>
      </c>
      <c r="N14" s="841">
        <v>1</v>
      </c>
      <c r="O14" s="841">
        <v>1</v>
      </c>
      <c r="P14" s="841">
        <v>1</v>
      </c>
      <c r="Q14" s="841">
        <v>1</v>
      </c>
      <c r="R14" s="841">
        <v>1</v>
      </c>
      <c r="S14" s="841">
        <v>1</v>
      </c>
      <c r="T14" s="841">
        <v>1</v>
      </c>
    </row>
    <row r="15" spans="1:20">
      <c r="A15" s="131" t="s">
        <v>136</v>
      </c>
      <c r="B15" s="2412" t="s">
        <v>96</v>
      </c>
      <c r="C15" s="2412"/>
      <c r="D15" s="2413" t="s">
        <v>96</v>
      </c>
      <c r="E15" s="2413"/>
      <c r="F15" s="2413"/>
      <c r="G15" s="849"/>
      <c r="H15" s="849"/>
      <c r="I15" s="841">
        <v>1.5</v>
      </c>
      <c r="J15" s="841">
        <v>1.5</v>
      </c>
      <c r="K15" s="841">
        <v>1.5</v>
      </c>
      <c r="L15" s="841">
        <v>1.5</v>
      </c>
      <c r="M15" s="841">
        <v>1.5</v>
      </c>
      <c r="N15" s="841">
        <v>1.5</v>
      </c>
      <c r="O15" s="841">
        <v>1.5</v>
      </c>
      <c r="P15" s="841">
        <v>1.5</v>
      </c>
      <c r="Q15" s="841">
        <v>1.5</v>
      </c>
      <c r="R15" s="841">
        <v>1.5</v>
      </c>
      <c r="S15" s="841">
        <v>1.5</v>
      </c>
      <c r="T15" s="841">
        <v>1.5</v>
      </c>
    </row>
    <row r="16" spans="1:20">
      <c r="A16" s="131" t="s">
        <v>137</v>
      </c>
      <c r="B16" s="2412" t="s">
        <v>102</v>
      </c>
      <c r="C16" s="2412"/>
      <c r="D16" s="2413" t="s">
        <v>102</v>
      </c>
      <c r="E16" s="2413"/>
      <c r="F16" s="2413"/>
      <c r="G16" s="849"/>
      <c r="H16" s="849"/>
      <c r="I16" s="841">
        <v>5.75</v>
      </c>
      <c r="J16" s="841">
        <v>5.75</v>
      </c>
      <c r="K16" s="841">
        <v>5.75</v>
      </c>
      <c r="L16" s="841">
        <v>5.75</v>
      </c>
      <c r="M16" s="841">
        <v>5.75</v>
      </c>
      <c r="N16" s="841">
        <v>5.75</v>
      </c>
      <c r="O16" s="841">
        <v>5.75</v>
      </c>
      <c r="P16" s="841">
        <v>5.75</v>
      </c>
      <c r="Q16" s="841">
        <v>5.75</v>
      </c>
      <c r="R16" s="841">
        <v>5.75</v>
      </c>
      <c r="S16" s="841">
        <v>5.75</v>
      </c>
      <c r="T16" s="841">
        <v>5.75</v>
      </c>
    </row>
    <row r="17" spans="1:21">
      <c r="A17" s="131" t="s">
        <v>138</v>
      </c>
      <c r="B17" s="2412" t="s">
        <v>97</v>
      </c>
      <c r="C17" s="2412"/>
      <c r="D17" s="2413" t="s">
        <v>97</v>
      </c>
      <c r="E17" s="2413"/>
      <c r="F17" s="2413"/>
      <c r="G17" s="849"/>
      <c r="H17" s="849"/>
      <c r="I17" s="841">
        <v>3</v>
      </c>
      <c r="J17" s="841">
        <v>3</v>
      </c>
      <c r="K17" s="841">
        <v>3</v>
      </c>
      <c r="L17" s="841">
        <v>3</v>
      </c>
      <c r="M17" s="841">
        <v>3</v>
      </c>
      <c r="N17" s="841">
        <v>3</v>
      </c>
      <c r="O17" s="841">
        <v>3</v>
      </c>
      <c r="P17" s="841">
        <v>3</v>
      </c>
      <c r="Q17" s="841">
        <v>3</v>
      </c>
      <c r="R17" s="841">
        <v>3</v>
      </c>
      <c r="S17" s="841">
        <v>3</v>
      </c>
      <c r="T17" s="841">
        <v>3</v>
      </c>
    </row>
    <row r="18" spans="1:21">
      <c r="A18" s="131" t="s">
        <v>139</v>
      </c>
      <c r="B18" s="2412" t="s">
        <v>94</v>
      </c>
      <c r="C18" s="2412"/>
      <c r="D18" s="2413" t="s">
        <v>94</v>
      </c>
      <c r="E18" s="2413"/>
      <c r="F18" s="2413"/>
      <c r="G18" s="849"/>
      <c r="H18" s="849"/>
      <c r="I18" s="841">
        <v>1</v>
      </c>
      <c r="J18" s="841">
        <v>1</v>
      </c>
      <c r="K18" s="841">
        <v>1</v>
      </c>
      <c r="L18" s="841">
        <v>1</v>
      </c>
      <c r="M18" s="841">
        <v>1</v>
      </c>
      <c r="N18" s="841">
        <v>1</v>
      </c>
      <c r="O18" s="841">
        <v>1</v>
      </c>
      <c r="P18" s="841">
        <v>1</v>
      </c>
      <c r="Q18" s="841">
        <v>1</v>
      </c>
      <c r="R18" s="841">
        <v>1</v>
      </c>
      <c r="S18" s="841">
        <v>1</v>
      </c>
      <c r="T18" s="841">
        <v>1</v>
      </c>
    </row>
    <row r="19" spans="1:21" s="133" customFormat="1">
      <c r="A19" s="846"/>
      <c r="B19" s="2418" t="s">
        <v>140</v>
      </c>
      <c r="C19" s="2418"/>
      <c r="D19" s="2419" t="s">
        <v>37</v>
      </c>
      <c r="E19" s="2419"/>
      <c r="F19" s="2419"/>
      <c r="G19" s="843">
        <f>SUM(G3:G18)</f>
        <v>0</v>
      </c>
      <c r="H19" s="844">
        <f>SUM(H3:H18)</f>
        <v>0</v>
      </c>
      <c r="I19" s="848">
        <f>SUM(I3:I18)</f>
        <v>29.95</v>
      </c>
      <c r="J19" s="848">
        <f t="shared" ref="J19:T19" si="0">SUM(J3:J18)</f>
        <v>29.95</v>
      </c>
      <c r="K19" s="848">
        <f t="shared" si="0"/>
        <v>29.95</v>
      </c>
      <c r="L19" s="848">
        <f t="shared" si="0"/>
        <v>29.95</v>
      </c>
      <c r="M19" s="848">
        <f t="shared" si="0"/>
        <v>29.95</v>
      </c>
      <c r="N19" s="848">
        <f t="shared" si="0"/>
        <v>29.95</v>
      </c>
      <c r="O19" s="848">
        <f t="shared" si="0"/>
        <v>29.95</v>
      </c>
      <c r="P19" s="848">
        <f t="shared" si="0"/>
        <v>29.95</v>
      </c>
      <c r="Q19" s="848">
        <f t="shared" si="0"/>
        <v>29.95</v>
      </c>
      <c r="R19" s="848">
        <f t="shared" si="0"/>
        <v>29.95</v>
      </c>
      <c r="S19" s="848">
        <f t="shared" si="0"/>
        <v>29.95</v>
      </c>
      <c r="T19" s="848">
        <f t="shared" si="0"/>
        <v>29.95</v>
      </c>
      <c r="U19" s="866">
        <f>SUM(G19:T19)</f>
        <v>359.39999999999992</v>
      </c>
    </row>
    <row r="20" spans="1:21" ht="15.6">
      <c r="A20" s="2420" t="s">
        <v>316</v>
      </c>
      <c r="B20" s="2420"/>
      <c r="C20" s="2420"/>
      <c r="D20" s="2420"/>
      <c r="E20" s="2420"/>
      <c r="F20" s="2420"/>
      <c r="G20" s="2420"/>
      <c r="H20" s="2421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</row>
    <row r="21" spans="1:21" ht="28.8">
      <c r="A21" s="845" t="s">
        <v>107</v>
      </c>
      <c r="B21" s="2440" t="s">
        <v>108</v>
      </c>
      <c r="C21" s="2441"/>
      <c r="D21" s="2415" t="s">
        <v>109</v>
      </c>
      <c r="E21" s="2416"/>
      <c r="F21" s="2417"/>
      <c r="G21" s="845" t="s">
        <v>110</v>
      </c>
      <c r="H21" s="845" t="s">
        <v>293</v>
      </c>
      <c r="I21" s="842" t="s">
        <v>111</v>
      </c>
      <c r="J21" s="842" t="s">
        <v>112</v>
      </c>
      <c r="K21" s="842" t="s">
        <v>113</v>
      </c>
      <c r="L21" s="842" t="s">
        <v>114</v>
      </c>
      <c r="M21" s="842" t="s">
        <v>115</v>
      </c>
      <c r="N21" s="842" t="s">
        <v>116</v>
      </c>
      <c r="O21" s="842" t="s">
        <v>117</v>
      </c>
      <c r="P21" s="842" t="s">
        <v>118</v>
      </c>
      <c r="Q21" s="842" t="s">
        <v>119</v>
      </c>
      <c r="R21" s="842" t="s">
        <v>120</v>
      </c>
      <c r="S21" s="842" t="s">
        <v>121</v>
      </c>
      <c r="T21" s="842" t="s">
        <v>122</v>
      </c>
    </row>
    <row r="22" spans="1:21">
      <c r="A22" s="131" t="s">
        <v>123</v>
      </c>
      <c r="B22" s="2427" t="s">
        <v>104</v>
      </c>
      <c r="C22" s="2428"/>
      <c r="D22" s="2429" t="s">
        <v>104</v>
      </c>
      <c r="E22" s="2430"/>
      <c r="F22" s="2431"/>
      <c r="G22" s="849"/>
      <c r="H22" s="849"/>
      <c r="I22" s="850">
        <v>0.35</v>
      </c>
      <c r="J22" s="850">
        <v>0.35</v>
      </c>
      <c r="K22" s="850">
        <v>0.35</v>
      </c>
      <c r="L22" s="850">
        <v>0.35</v>
      </c>
      <c r="M22" s="850">
        <v>0.35</v>
      </c>
      <c r="N22" s="850">
        <v>0.35</v>
      </c>
      <c r="O22" s="850">
        <v>0.35</v>
      </c>
      <c r="P22" s="850">
        <v>0.35</v>
      </c>
      <c r="Q22" s="850">
        <v>0.35</v>
      </c>
      <c r="R22" s="850">
        <v>0.35</v>
      </c>
      <c r="S22" s="850">
        <v>0.35</v>
      </c>
      <c r="T22" s="850">
        <v>0.35</v>
      </c>
    </row>
    <row r="23" spans="1:21">
      <c r="A23" s="131" t="s">
        <v>124</v>
      </c>
      <c r="B23" s="2427" t="s">
        <v>98</v>
      </c>
      <c r="C23" s="2428"/>
      <c r="D23" s="2429" t="s">
        <v>98</v>
      </c>
      <c r="E23" s="2430"/>
      <c r="F23" s="2431"/>
      <c r="G23" s="849"/>
      <c r="H23" s="849"/>
      <c r="I23" s="850">
        <v>0</v>
      </c>
      <c r="J23" s="850">
        <v>0</v>
      </c>
      <c r="K23" s="850">
        <v>0</v>
      </c>
      <c r="L23" s="850">
        <v>0</v>
      </c>
      <c r="M23" s="850">
        <v>0</v>
      </c>
      <c r="N23" s="850">
        <v>0</v>
      </c>
      <c r="O23" s="850">
        <v>0</v>
      </c>
      <c r="P23" s="850">
        <v>0</v>
      </c>
      <c r="Q23" s="850">
        <v>0</v>
      </c>
      <c r="R23" s="850">
        <v>0</v>
      </c>
      <c r="S23" s="850">
        <v>0</v>
      </c>
      <c r="T23" s="850">
        <v>0</v>
      </c>
    </row>
    <row r="24" spans="1:21">
      <c r="A24" s="131" t="s">
        <v>125</v>
      </c>
      <c r="B24" s="2427" t="s">
        <v>93</v>
      </c>
      <c r="C24" s="2428"/>
      <c r="D24" s="2429" t="s">
        <v>93</v>
      </c>
      <c r="E24" s="2430"/>
      <c r="F24" s="2431"/>
      <c r="G24" s="849"/>
      <c r="H24" s="849"/>
      <c r="I24" s="850">
        <v>0.5</v>
      </c>
      <c r="J24" s="850">
        <v>0.5</v>
      </c>
      <c r="K24" s="850">
        <v>0.5</v>
      </c>
      <c r="L24" s="850">
        <v>0.5</v>
      </c>
      <c r="M24" s="850">
        <v>0.5</v>
      </c>
      <c r="N24" s="850">
        <v>0.5</v>
      </c>
      <c r="O24" s="850">
        <v>0.5</v>
      </c>
      <c r="P24" s="850">
        <v>0.5</v>
      </c>
      <c r="Q24" s="850">
        <v>0.5</v>
      </c>
      <c r="R24" s="850">
        <v>0.5</v>
      </c>
      <c r="S24" s="850">
        <v>0.5</v>
      </c>
      <c r="T24" s="850">
        <v>0.5</v>
      </c>
    </row>
    <row r="25" spans="1:21">
      <c r="A25" s="131" t="s">
        <v>126</v>
      </c>
      <c r="B25" s="2427" t="s">
        <v>95</v>
      </c>
      <c r="C25" s="2428"/>
      <c r="D25" s="2429" t="s">
        <v>95</v>
      </c>
      <c r="E25" s="2430"/>
      <c r="F25" s="2431"/>
      <c r="G25" s="849"/>
      <c r="H25" s="849"/>
      <c r="I25" s="850">
        <v>0.5</v>
      </c>
      <c r="J25" s="850">
        <v>0.5</v>
      </c>
      <c r="K25" s="850">
        <v>0.5</v>
      </c>
      <c r="L25" s="850">
        <v>0.5</v>
      </c>
      <c r="M25" s="850">
        <v>0.5</v>
      </c>
      <c r="N25" s="850">
        <v>0.5</v>
      </c>
      <c r="O25" s="850">
        <v>0.5</v>
      </c>
      <c r="P25" s="850">
        <v>0.5</v>
      </c>
      <c r="Q25" s="850">
        <v>0.5</v>
      </c>
      <c r="R25" s="850">
        <v>0.5</v>
      </c>
      <c r="S25" s="850">
        <v>0.5</v>
      </c>
      <c r="T25" s="850">
        <v>0.5</v>
      </c>
    </row>
    <row r="26" spans="1:21">
      <c r="A26" s="131" t="s">
        <v>127</v>
      </c>
      <c r="B26" s="2427" t="s">
        <v>92</v>
      </c>
      <c r="C26" s="2428"/>
      <c r="D26" s="2429" t="s">
        <v>92</v>
      </c>
      <c r="E26" s="2430"/>
      <c r="F26" s="2431"/>
      <c r="G26" s="849"/>
      <c r="H26" s="849"/>
      <c r="I26" s="850">
        <v>0.5</v>
      </c>
      <c r="J26" s="850">
        <v>0.5</v>
      </c>
      <c r="K26" s="850">
        <v>0.5</v>
      </c>
      <c r="L26" s="850">
        <v>0.5</v>
      </c>
      <c r="M26" s="850">
        <v>0.5</v>
      </c>
      <c r="N26" s="850">
        <v>0.5</v>
      </c>
      <c r="O26" s="850">
        <v>0.5</v>
      </c>
      <c r="P26" s="850">
        <v>0.5</v>
      </c>
      <c r="Q26" s="850">
        <v>0.5</v>
      </c>
      <c r="R26" s="850">
        <v>0.5</v>
      </c>
      <c r="S26" s="850">
        <v>0.5</v>
      </c>
      <c r="T26" s="850">
        <v>0.5</v>
      </c>
    </row>
    <row r="27" spans="1:21">
      <c r="A27" s="131" t="s">
        <v>128</v>
      </c>
      <c r="B27" s="2427" t="s">
        <v>99</v>
      </c>
      <c r="C27" s="2428"/>
      <c r="D27" s="2429" t="s">
        <v>99</v>
      </c>
      <c r="E27" s="2430"/>
      <c r="F27" s="2431"/>
      <c r="G27" s="849"/>
      <c r="H27" s="849"/>
      <c r="I27" s="850">
        <v>1</v>
      </c>
      <c r="J27" s="850">
        <v>1</v>
      </c>
      <c r="K27" s="850">
        <v>1</v>
      </c>
      <c r="L27" s="850">
        <v>1</v>
      </c>
      <c r="M27" s="850">
        <v>1</v>
      </c>
      <c r="N27" s="850">
        <v>1</v>
      </c>
      <c r="O27" s="850">
        <v>1</v>
      </c>
      <c r="P27" s="850">
        <v>1</v>
      </c>
      <c r="Q27" s="850">
        <v>1</v>
      </c>
      <c r="R27" s="850">
        <v>1</v>
      </c>
      <c r="S27" s="850">
        <v>1</v>
      </c>
      <c r="T27" s="850">
        <v>1</v>
      </c>
    </row>
    <row r="28" spans="1:21">
      <c r="A28" s="131" t="s">
        <v>129</v>
      </c>
      <c r="B28" s="2427" t="s">
        <v>91</v>
      </c>
      <c r="C28" s="2428"/>
      <c r="D28" s="2429" t="s">
        <v>91</v>
      </c>
      <c r="E28" s="2430"/>
      <c r="F28" s="2431"/>
      <c r="G28" s="849"/>
      <c r="H28" s="849"/>
      <c r="I28" s="850">
        <v>0.5</v>
      </c>
      <c r="J28" s="850">
        <v>0.5</v>
      </c>
      <c r="K28" s="850">
        <v>0.5</v>
      </c>
      <c r="L28" s="850">
        <v>0.5</v>
      </c>
      <c r="M28" s="850">
        <v>0.5</v>
      </c>
      <c r="N28" s="850">
        <v>0.5</v>
      </c>
      <c r="O28" s="850">
        <v>0.5</v>
      </c>
      <c r="P28" s="850">
        <v>0.5</v>
      </c>
      <c r="Q28" s="850">
        <v>0.5</v>
      </c>
      <c r="R28" s="850">
        <v>0.5</v>
      </c>
      <c r="S28" s="850">
        <v>0.5</v>
      </c>
      <c r="T28" s="850">
        <v>0.5</v>
      </c>
    </row>
    <row r="29" spans="1:21">
      <c r="A29" s="131" t="s">
        <v>130</v>
      </c>
      <c r="B29" s="2427" t="s">
        <v>90</v>
      </c>
      <c r="C29" s="2428"/>
      <c r="D29" s="2429" t="s">
        <v>90</v>
      </c>
      <c r="E29" s="2430"/>
      <c r="F29" s="2431"/>
      <c r="G29" s="849"/>
      <c r="H29" s="849"/>
      <c r="I29" s="850">
        <v>0</v>
      </c>
      <c r="J29" s="850">
        <v>0</v>
      </c>
      <c r="K29" s="850">
        <v>0</v>
      </c>
      <c r="L29" s="850">
        <v>0</v>
      </c>
      <c r="M29" s="850">
        <v>0</v>
      </c>
      <c r="N29" s="850">
        <v>0</v>
      </c>
      <c r="O29" s="850">
        <v>0</v>
      </c>
      <c r="P29" s="850">
        <v>0</v>
      </c>
      <c r="Q29" s="850">
        <v>0</v>
      </c>
      <c r="R29" s="850">
        <v>0</v>
      </c>
      <c r="S29" s="850">
        <v>0</v>
      </c>
      <c r="T29" s="850">
        <v>0</v>
      </c>
    </row>
    <row r="30" spans="1:21">
      <c r="A30" s="131" t="s">
        <v>131</v>
      </c>
      <c r="B30" s="2427" t="s">
        <v>101</v>
      </c>
      <c r="C30" s="2428"/>
      <c r="D30" s="2429" t="s">
        <v>101</v>
      </c>
      <c r="E30" s="2430"/>
      <c r="F30" s="2431"/>
      <c r="G30" s="849"/>
      <c r="H30" s="849"/>
      <c r="I30" s="850">
        <v>2</v>
      </c>
      <c r="J30" s="850">
        <v>2</v>
      </c>
      <c r="K30" s="850">
        <v>2</v>
      </c>
      <c r="L30" s="850">
        <v>2</v>
      </c>
      <c r="M30" s="850">
        <v>2</v>
      </c>
      <c r="N30" s="850">
        <v>2</v>
      </c>
      <c r="O30" s="850">
        <v>2</v>
      </c>
      <c r="P30" s="850">
        <v>2</v>
      </c>
      <c r="Q30" s="850">
        <v>2</v>
      </c>
      <c r="R30" s="850">
        <v>2</v>
      </c>
      <c r="S30" s="850">
        <v>2</v>
      </c>
      <c r="T30" s="850">
        <v>2</v>
      </c>
    </row>
    <row r="31" spans="1:21">
      <c r="A31" s="131" t="s">
        <v>132</v>
      </c>
      <c r="B31" s="2427" t="s">
        <v>89</v>
      </c>
      <c r="C31" s="2428"/>
      <c r="D31" s="2429" t="s">
        <v>133</v>
      </c>
      <c r="E31" s="2430"/>
      <c r="F31" s="2431"/>
      <c r="G31" s="849"/>
      <c r="H31" s="849"/>
      <c r="I31" s="850">
        <v>5</v>
      </c>
      <c r="J31" s="850">
        <v>5</v>
      </c>
      <c r="K31" s="850">
        <v>5</v>
      </c>
      <c r="L31" s="850">
        <v>5</v>
      </c>
      <c r="M31" s="850">
        <v>5</v>
      </c>
      <c r="N31" s="850">
        <v>5</v>
      </c>
      <c r="O31" s="850">
        <v>5</v>
      </c>
      <c r="P31" s="850">
        <v>5</v>
      </c>
      <c r="Q31" s="850">
        <v>5</v>
      </c>
      <c r="R31" s="850">
        <v>5</v>
      </c>
      <c r="S31" s="850">
        <v>5</v>
      </c>
      <c r="T31" s="850">
        <v>5</v>
      </c>
    </row>
    <row r="32" spans="1:21">
      <c r="A32" s="131" t="s">
        <v>134</v>
      </c>
      <c r="B32" s="2427" t="s">
        <v>100</v>
      </c>
      <c r="C32" s="2428"/>
      <c r="D32" s="2429" t="s">
        <v>100</v>
      </c>
      <c r="E32" s="2430"/>
      <c r="F32" s="2431"/>
      <c r="G32" s="849"/>
      <c r="H32" s="849"/>
      <c r="I32" s="850">
        <v>3</v>
      </c>
      <c r="J32" s="850">
        <v>3</v>
      </c>
      <c r="K32" s="850">
        <v>3</v>
      </c>
      <c r="L32" s="850">
        <v>3</v>
      </c>
      <c r="M32" s="850">
        <v>3</v>
      </c>
      <c r="N32" s="850">
        <v>3</v>
      </c>
      <c r="O32" s="850">
        <v>3</v>
      </c>
      <c r="P32" s="850">
        <v>3</v>
      </c>
      <c r="Q32" s="850">
        <v>3</v>
      </c>
      <c r="R32" s="850">
        <v>3</v>
      </c>
      <c r="S32" s="850">
        <v>3</v>
      </c>
      <c r="T32" s="850">
        <v>3</v>
      </c>
    </row>
    <row r="33" spans="1:21">
      <c r="A33" s="131" t="s">
        <v>135</v>
      </c>
      <c r="B33" s="2427" t="s">
        <v>103</v>
      </c>
      <c r="C33" s="2428"/>
      <c r="D33" s="2429" t="s">
        <v>103</v>
      </c>
      <c r="E33" s="2430"/>
      <c r="F33" s="2431"/>
      <c r="G33" s="849"/>
      <c r="H33" s="849"/>
      <c r="I33" s="850">
        <v>1</v>
      </c>
      <c r="J33" s="850">
        <v>1</v>
      </c>
      <c r="K33" s="850">
        <v>1</v>
      </c>
      <c r="L33" s="850">
        <v>1</v>
      </c>
      <c r="M33" s="850">
        <v>1</v>
      </c>
      <c r="N33" s="850">
        <v>1</v>
      </c>
      <c r="O33" s="850">
        <v>1</v>
      </c>
      <c r="P33" s="850">
        <v>1</v>
      </c>
      <c r="Q33" s="850">
        <v>1</v>
      </c>
      <c r="R33" s="850">
        <v>1</v>
      </c>
      <c r="S33" s="850">
        <v>1</v>
      </c>
      <c r="T33" s="850">
        <v>1</v>
      </c>
    </row>
    <row r="34" spans="1:21">
      <c r="A34" s="131" t="s">
        <v>136</v>
      </c>
      <c r="B34" s="2427" t="s">
        <v>96</v>
      </c>
      <c r="C34" s="2428"/>
      <c r="D34" s="2429" t="s">
        <v>96</v>
      </c>
      <c r="E34" s="2430"/>
      <c r="F34" s="2431"/>
      <c r="G34" s="849"/>
      <c r="H34" s="849"/>
      <c r="I34" s="850">
        <v>0.75</v>
      </c>
      <c r="J34" s="850">
        <v>0.75</v>
      </c>
      <c r="K34" s="850">
        <v>0.75</v>
      </c>
      <c r="L34" s="850">
        <v>0.75</v>
      </c>
      <c r="M34" s="850">
        <v>0.75</v>
      </c>
      <c r="N34" s="850">
        <v>0.75</v>
      </c>
      <c r="O34" s="850">
        <v>0.75</v>
      </c>
      <c r="P34" s="850">
        <v>0.75</v>
      </c>
      <c r="Q34" s="850">
        <v>0.75</v>
      </c>
      <c r="R34" s="850">
        <v>0.75</v>
      </c>
      <c r="S34" s="850">
        <v>0.75</v>
      </c>
      <c r="T34" s="850">
        <v>0.75</v>
      </c>
    </row>
    <row r="35" spans="1:21">
      <c r="A35" s="131" t="s">
        <v>137</v>
      </c>
      <c r="B35" s="2427" t="s">
        <v>102</v>
      </c>
      <c r="C35" s="2428"/>
      <c r="D35" s="2429" t="s">
        <v>102</v>
      </c>
      <c r="E35" s="2430"/>
      <c r="F35" s="2431"/>
      <c r="G35" s="849"/>
      <c r="H35" s="849"/>
      <c r="I35" s="850">
        <v>2</v>
      </c>
      <c r="J35" s="850">
        <v>2</v>
      </c>
      <c r="K35" s="850">
        <v>2</v>
      </c>
      <c r="L35" s="850">
        <v>2</v>
      </c>
      <c r="M35" s="850">
        <v>2</v>
      </c>
      <c r="N35" s="850">
        <v>2</v>
      </c>
      <c r="O35" s="850">
        <v>2</v>
      </c>
      <c r="P35" s="850">
        <v>2</v>
      </c>
      <c r="Q35" s="850">
        <v>2</v>
      </c>
      <c r="R35" s="850">
        <v>2</v>
      </c>
      <c r="S35" s="850">
        <v>2</v>
      </c>
      <c r="T35" s="850">
        <v>2</v>
      </c>
    </row>
    <row r="36" spans="1:21">
      <c r="A36" s="131" t="s">
        <v>138</v>
      </c>
      <c r="B36" s="2427" t="s">
        <v>97</v>
      </c>
      <c r="C36" s="2428"/>
      <c r="D36" s="2429" t="s">
        <v>97</v>
      </c>
      <c r="E36" s="2430"/>
      <c r="F36" s="2431"/>
      <c r="G36" s="849"/>
      <c r="H36" s="849"/>
      <c r="I36" s="850">
        <v>3</v>
      </c>
      <c r="J36" s="850">
        <v>3</v>
      </c>
      <c r="K36" s="850">
        <v>3</v>
      </c>
      <c r="L36" s="850">
        <v>3</v>
      </c>
      <c r="M36" s="850">
        <v>3</v>
      </c>
      <c r="N36" s="850">
        <v>3</v>
      </c>
      <c r="O36" s="850">
        <v>3</v>
      </c>
      <c r="P36" s="850">
        <v>3</v>
      </c>
      <c r="Q36" s="850">
        <v>3</v>
      </c>
      <c r="R36" s="850">
        <v>3</v>
      </c>
      <c r="S36" s="850">
        <v>3</v>
      </c>
      <c r="T36" s="850">
        <v>3</v>
      </c>
    </row>
    <row r="37" spans="1:21">
      <c r="A37" s="131" t="s">
        <v>139</v>
      </c>
      <c r="B37" s="2427" t="s">
        <v>94</v>
      </c>
      <c r="C37" s="2428"/>
      <c r="D37" s="2429" t="s">
        <v>94</v>
      </c>
      <c r="E37" s="2430"/>
      <c r="F37" s="2431"/>
      <c r="G37" s="849"/>
      <c r="H37" s="849"/>
      <c r="I37" s="850">
        <v>1</v>
      </c>
      <c r="J37" s="850">
        <v>1</v>
      </c>
      <c r="K37" s="850">
        <v>1</v>
      </c>
      <c r="L37" s="850">
        <v>1</v>
      </c>
      <c r="M37" s="850">
        <v>1</v>
      </c>
      <c r="N37" s="850">
        <v>1</v>
      </c>
      <c r="O37" s="850">
        <v>1</v>
      </c>
      <c r="P37" s="850">
        <v>1</v>
      </c>
      <c r="Q37" s="850">
        <v>1</v>
      </c>
      <c r="R37" s="850">
        <v>1</v>
      </c>
      <c r="S37" s="850">
        <v>1</v>
      </c>
      <c r="T37" s="850">
        <v>1</v>
      </c>
    </row>
    <row r="38" spans="1:21" ht="15" thickBot="1">
      <c r="A38" s="857"/>
      <c r="B38" s="2422" t="s">
        <v>141</v>
      </c>
      <c r="C38" s="2423"/>
      <c r="D38" s="2424" t="s">
        <v>37</v>
      </c>
      <c r="E38" s="2425"/>
      <c r="F38" s="2426"/>
      <c r="G38" s="858">
        <f>SUM(G22:G37)</f>
        <v>0</v>
      </c>
      <c r="H38" s="859">
        <f>SUM(H22:H37)</f>
        <v>0</v>
      </c>
      <c r="I38" s="848">
        <f>SUM(I22:I37)</f>
        <v>21.1</v>
      </c>
      <c r="J38" s="848">
        <f t="shared" ref="J38:T38" si="1">SUM(J22:J37)</f>
        <v>21.1</v>
      </c>
      <c r="K38" s="848">
        <f t="shared" si="1"/>
        <v>21.1</v>
      </c>
      <c r="L38" s="848">
        <f t="shared" si="1"/>
        <v>21.1</v>
      </c>
      <c r="M38" s="848">
        <f t="shared" si="1"/>
        <v>21.1</v>
      </c>
      <c r="N38" s="848">
        <f t="shared" si="1"/>
        <v>21.1</v>
      </c>
      <c r="O38" s="848">
        <f t="shared" si="1"/>
        <v>21.1</v>
      </c>
      <c r="P38" s="848">
        <f t="shared" si="1"/>
        <v>21.1</v>
      </c>
      <c r="Q38" s="848">
        <f t="shared" si="1"/>
        <v>21.1</v>
      </c>
      <c r="R38" s="848">
        <f t="shared" si="1"/>
        <v>21.1</v>
      </c>
      <c r="S38" s="848">
        <f t="shared" si="1"/>
        <v>21.1</v>
      </c>
      <c r="T38" s="848">
        <f t="shared" si="1"/>
        <v>21.1</v>
      </c>
      <c r="U38" s="866">
        <f>SUM(G38:T38)</f>
        <v>253.19999999999996</v>
      </c>
    </row>
    <row r="39" spans="1:21" ht="15" thickBot="1">
      <c r="A39" s="2432" t="s">
        <v>314</v>
      </c>
      <c r="B39" s="2433"/>
      <c r="C39" s="2433"/>
      <c r="D39" s="2433"/>
      <c r="E39" s="2433"/>
      <c r="F39" s="2433"/>
      <c r="G39" s="2433"/>
      <c r="H39" s="2434"/>
      <c r="I39" s="856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</row>
    <row r="40" spans="1:21" ht="28.8">
      <c r="A40" s="860" t="s">
        <v>107</v>
      </c>
      <c r="B40" s="2435" t="s">
        <v>108</v>
      </c>
      <c r="C40" s="2436"/>
      <c r="D40" s="2437" t="s">
        <v>109</v>
      </c>
      <c r="E40" s="2438"/>
      <c r="F40" s="2439"/>
      <c r="G40" s="860" t="s">
        <v>110</v>
      </c>
      <c r="H40" s="860" t="s">
        <v>293</v>
      </c>
      <c r="I40" s="842" t="s">
        <v>111</v>
      </c>
      <c r="J40" s="842" t="s">
        <v>112</v>
      </c>
      <c r="K40" s="842" t="s">
        <v>113</v>
      </c>
      <c r="L40" s="842" t="s">
        <v>114</v>
      </c>
      <c r="M40" s="842" t="s">
        <v>115</v>
      </c>
      <c r="N40" s="842" t="s">
        <v>116</v>
      </c>
      <c r="O40" s="842" t="s">
        <v>117</v>
      </c>
      <c r="P40" s="842" t="s">
        <v>118</v>
      </c>
      <c r="Q40" s="842" t="s">
        <v>119</v>
      </c>
      <c r="R40" s="842" t="s">
        <v>120</v>
      </c>
      <c r="S40" s="842" t="s">
        <v>121</v>
      </c>
      <c r="T40" s="842" t="s">
        <v>122</v>
      </c>
    </row>
    <row r="41" spans="1:21">
      <c r="A41" s="131" t="s">
        <v>123</v>
      </c>
      <c r="B41" s="2427" t="s">
        <v>104</v>
      </c>
      <c r="C41" s="2428"/>
      <c r="D41" s="2429" t="s">
        <v>104</v>
      </c>
      <c r="E41" s="2430"/>
      <c r="F41" s="2431"/>
      <c r="G41" s="849"/>
      <c r="H41" s="849"/>
      <c r="I41" s="850"/>
      <c r="J41" s="850"/>
      <c r="K41" s="850"/>
      <c r="L41" s="850"/>
      <c r="M41" s="850"/>
      <c r="N41" s="850"/>
      <c r="O41" s="850"/>
      <c r="P41" s="850"/>
      <c r="Q41" s="850"/>
      <c r="R41" s="850"/>
      <c r="S41" s="850"/>
      <c r="T41" s="850"/>
    </row>
    <row r="42" spans="1:21">
      <c r="A42" s="131" t="s">
        <v>124</v>
      </c>
      <c r="B42" s="2427" t="s">
        <v>98</v>
      </c>
      <c r="C42" s="2428"/>
      <c r="D42" s="2429" t="s">
        <v>98</v>
      </c>
      <c r="E42" s="2430"/>
      <c r="F42" s="2431"/>
      <c r="G42" s="849"/>
      <c r="H42" s="849"/>
      <c r="I42" s="850"/>
      <c r="J42" s="850"/>
      <c r="K42" s="850"/>
      <c r="L42" s="850"/>
      <c r="M42" s="850"/>
      <c r="N42" s="850"/>
      <c r="O42" s="850"/>
      <c r="P42" s="850"/>
      <c r="Q42" s="850"/>
      <c r="R42" s="850"/>
      <c r="S42" s="850"/>
      <c r="T42" s="850"/>
    </row>
    <row r="43" spans="1:21">
      <c r="A43" s="131" t="s">
        <v>125</v>
      </c>
      <c r="B43" s="2427" t="s">
        <v>93</v>
      </c>
      <c r="C43" s="2428"/>
      <c r="D43" s="2429" t="s">
        <v>93</v>
      </c>
      <c r="E43" s="2430"/>
      <c r="F43" s="2431"/>
      <c r="G43" s="849"/>
      <c r="H43" s="849"/>
      <c r="I43" s="850"/>
      <c r="J43" s="850"/>
      <c r="K43" s="850"/>
      <c r="L43" s="850"/>
      <c r="M43" s="850"/>
      <c r="N43" s="850"/>
      <c r="O43" s="850"/>
      <c r="P43" s="850"/>
      <c r="Q43" s="850"/>
      <c r="R43" s="850"/>
      <c r="S43" s="850"/>
      <c r="T43" s="850"/>
    </row>
    <row r="44" spans="1:21">
      <c r="A44" s="131" t="s">
        <v>126</v>
      </c>
      <c r="B44" s="2427" t="s">
        <v>95</v>
      </c>
      <c r="C44" s="2428"/>
      <c r="D44" s="2429" t="s">
        <v>95</v>
      </c>
      <c r="E44" s="2430"/>
      <c r="F44" s="2431"/>
      <c r="G44" s="849"/>
      <c r="H44" s="849"/>
      <c r="I44" s="850"/>
      <c r="J44" s="850"/>
      <c r="K44" s="850"/>
      <c r="L44" s="850"/>
      <c r="M44" s="850"/>
      <c r="N44" s="850"/>
      <c r="O44" s="850"/>
      <c r="P44" s="850"/>
      <c r="Q44" s="850"/>
      <c r="R44" s="850"/>
      <c r="S44" s="850"/>
      <c r="T44" s="850"/>
    </row>
    <row r="45" spans="1:21">
      <c r="A45" s="131" t="s">
        <v>127</v>
      </c>
      <c r="B45" s="2427" t="s">
        <v>92</v>
      </c>
      <c r="C45" s="2428"/>
      <c r="D45" s="2429" t="s">
        <v>92</v>
      </c>
      <c r="E45" s="2430"/>
      <c r="F45" s="2431"/>
      <c r="G45" s="849"/>
      <c r="H45" s="849"/>
      <c r="I45" s="850"/>
      <c r="J45" s="850"/>
      <c r="K45" s="850"/>
      <c r="L45" s="850"/>
      <c r="M45" s="850"/>
      <c r="N45" s="850"/>
      <c r="O45" s="850"/>
      <c r="P45" s="850"/>
      <c r="Q45" s="850"/>
      <c r="R45" s="850"/>
      <c r="S45" s="850"/>
      <c r="T45" s="850"/>
    </row>
    <row r="46" spans="1:21">
      <c r="A46" s="131" t="s">
        <v>128</v>
      </c>
      <c r="B46" s="2427" t="s">
        <v>99</v>
      </c>
      <c r="C46" s="2428"/>
      <c r="D46" s="2429" t="s">
        <v>99</v>
      </c>
      <c r="E46" s="2430"/>
      <c r="F46" s="2431"/>
      <c r="G46" s="849"/>
      <c r="H46" s="849"/>
      <c r="I46" s="850"/>
      <c r="J46" s="850"/>
      <c r="K46" s="850"/>
      <c r="L46" s="850"/>
      <c r="M46" s="850"/>
      <c r="N46" s="850"/>
      <c r="O46" s="850"/>
      <c r="P46" s="850"/>
      <c r="Q46" s="850"/>
      <c r="R46" s="850"/>
      <c r="S46" s="850"/>
      <c r="T46" s="850"/>
    </row>
    <row r="47" spans="1:21">
      <c r="A47" s="131" t="s">
        <v>129</v>
      </c>
      <c r="B47" s="2427" t="s">
        <v>91</v>
      </c>
      <c r="C47" s="2428"/>
      <c r="D47" s="2429" t="s">
        <v>91</v>
      </c>
      <c r="E47" s="2430"/>
      <c r="F47" s="2431"/>
      <c r="G47" s="849"/>
      <c r="H47" s="849"/>
      <c r="I47" s="850"/>
      <c r="J47" s="850"/>
      <c r="K47" s="850"/>
      <c r="L47" s="850"/>
      <c r="M47" s="850"/>
      <c r="N47" s="850"/>
      <c r="O47" s="850"/>
      <c r="P47" s="850"/>
      <c r="Q47" s="850"/>
      <c r="R47" s="850"/>
      <c r="S47" s="850"/>
      <c r="T47" s="850"/>
    </row>
    <row r="48" spans="1:21">
      <c r="A48" s="131" t="s">
        <v>130</v>
      </c>
      <c r="B48" s="2427" t="s">
        <v>90</v>
      </c>
      <c r="C48" s="2428"/>
      <c r="D48" s="2429" t="s">
        <v>90</v>
      </c>
      <c r="E48" s="2430"/>
      <c r="F48" s="2431"/>
      <c r="G48" s="849"/>
      <c r="H48" s="849"/>
      <c r="I48" s="850"/>
      <c r="J48" s="850"/>
      <c r="K48" s="850"/>
      <c r="L48" s="850"/>
      <c r="M48" s="850"/>
      <c r="N48" s="850"/>
      <c r="O48" s="850"/>
      <c r="P48" s="850"/>
      <c r="Q48" s="850"/>
      <c r="R48" s="850"/>
      <c r="S48" s="850"/>
      <c r="T48" s="850"/>
    </row>
    <row r="49" spans="1:21">
      <c r="A49" s="131" t="s">
        <v>131</v>
      </c>
      <c r="B49" s="2427" t="s">
        <v>101</v>
      </c>
      <c r="C49" s="2428"/>
      <c r="D49" s="2429" t="s">
        <v>101</v>
      </c>
      <c r="E49" s="2430"/>
      <c r="F49" s="2431"/>
      <c r="G49" s="849"/>
      <c r="H49" s="849"/>
      <c r="I49" s="850"/>
      <c r="J49" s="850"/>
      <c r="K49" s="850"/>
      <c r="L49" s="850"/>
      <c r="M49" s="850"/>
      <c r="N49" s="850"/>
      <c r="O49" s="850"/>
      <c r="P49" s="850"/>
      <c r="Q49" s="850"/>
      <c r="R49" s="850"/>
      <c r="S49" s="850"/>
      <c r="T49" s="850"/>
    </row>
    <row r="50" spans="1:21">
      <c r="A50" s="131" t="s">
        <v>132</v>
      </c>
      <c r="B50" s="2427" t="s">
        <v>89</v>
      </c>
      <c r="C50" s="2428"/>
      <c r="D50" s="2429" t="s">
        <v>133</v>
      </c>
      <c r="E50" s="2430"/>
      <c r="F50" s="2431"/>
      <c r="G50" s="849"/>
      <c r="H50" s="849"/>
      <c r="I50" s="850"/>
      <c r="J50" s="850"/>
      <c r="K50" s="850"/>
      <c r="L50" s="850"/>
      <c r="M50" s="850"/>
      <c r="N50" s="850"/>
      <c r="O50" s="850"/>
      <c r="P50" s="850"/>
      <c r="Q50" s="850"/>
      <c r="R50" s="850"/>
      <c r="S50" s="850"/>
      <c r="T50" s="850"/>
    </row>
    <row r="51" spans="1:21">
      <c r="A51" s="131" t="s">
        <v>134</v>
      </c>
      <c r="B51" s="2427" t="s">
        <v>100</v>
      </c>
      <c r="C51" s="2428"/>
      <c r="D51" s="2429" t="s">
        <v>100</v>
      </c>
      <c r="E51" s="2430"/>
      <c r="F51" s="2431"/>
      <c r="G51" s="849"/>
      <c r="H51" s="849"/>
      <c r="I51" s="850">
        <v>20</v>
      </c>
      <c r="J51" s="850">
        <v>20</v>
      </c>
      <c r="K51" s="850">
        <v>20</v>
      </c>
      <c r="L51" s="850">
        <v>20</v>
      </c>
      <c r="M51" s="850">
        <v>20</v>
      </c>
      <c r="N51" s="850">
        <v>20</v>
      </c>
      <c r="O51" s="850">
        <v>20</v>
      </c>
      <c r="P51" s="850">
        <v>20</v>
      </c>
      <c r="Q51" s="850">
        <v>20</v>
      </c>
      <c r="R51" s="850">
        <v>20</v>
      </c>
      <c r="S51" s="850">
        <v>20</v>
      </c>
      <c r="T51" s="850">
        <v>20</v>
      </c>
    </row>
    <row r="52" spans="1:21">
      <c r="A52" s="131" t="s">
        <v>135</v>
      </c>
      <c r="B52" s="2427" t="s">
        <v>103</v>
      </c>
      <c r="C52" s="2428"/>
      <c r="D52" s="2429" t="s">
        <v>103</v>
      </c>
      <c r="E52" s="2430"/>
      <c r="F52" s="2431"/>
      <c r="G52" s="849"/>
      <c r="H52" s="849"/>
      <c r="I52" s="850">
        <v>25</v>
      </c>
      <c r="J52" s="850">
        <v>25</v>
      </c>
      <c r="K52" s="850">
        <v>25</v>
      </c>
      <c r="L52" s="850">
        <v>25</v>
      </c>
      <c r="M52" s="850">
        <v>25</v>
      </c>
      <c r="N52" s="850">
        <v>25</v>
      </c>
      <c r="O52" s="850">
        <v>25</v>
      </c>
      <c r="P52" s="850">
        <v>25</v>
      </c>
      <c r="Q52" s="850">
        <v>25</v>
      </c>
      <c r="R52" s="850">
        <v>25</v>
      </c>
      <c r="S52" s="850">
        <v>25</v>
      </c>
      <c r="T52" s="850">
        <v>25</v>
      </c>
    </row>
    <row r="53" spans="1:21">
      <c r="A53" s="131" t="s">
        <v>136</v>
      </c>
      <c r="B53" s="2427" t="s">
        <v>96</v>
      </c>
      <c r="C53" s="2428"/>
      <c r="D53" s="2429" t="s">
        <v>96</v>
      </c>
      <c r="E53" s="2430"/>
      <c r="F53" s="2431"/>
      <c r="G53" s="849"/>
      <c r="H53" s="849"/>
      <c r="I53" s="850"/>
      <c r="J53" s="850"/>
      <c r="K53" s="850"/>
      <c r="L53" s="850"/>
      <c r="M53" s="850"/>
      <c r="N53" s="850"/>
      <c r="O53" s="850"/>
      <c r="P53" s="850"/>
      <c r="Q53" s="850"/>
      <c r="R53" s="850"/>
      <c r="S53" s="850"/>
      <c r="T53" s="850"/>
    </row>
    <row r="54" spans="1:21">
      <c r="A54" s="131" t="s">
        <v>137</v>
      </c>
      <c r="B54" s="2427" t="s">
        <v>102</v>
      </c>
      <c r="C54" s="2428"/>
      <c r="D54" s="2429" t="s">
        <v>102</v>
      </c>
      <c r="E54" s="2430"/>
      <c r="F54" s="2431"/>
      <c r="G54" s="849"/>
      <c r="H54" s="849"/>
      <c r="I54" s="850"/>
      <c r="J54" s="850"/>
      <c r="K54" s="850"/>
      <c r="L54" s="850"/>
      <c r="M54" s="850"/>
      <c r="N54" s="850"/>
      <c r="O54" s="850"/>
      <c r="P54" s="850"/>
      <c r="Q54" s="850"/>
      <c r="R54" s="850"/>
      <c r="S54" s="850"/>
      <c r="T54" s="850"/>
    </row>
    <row r="55" spans="1:21">
      <c r="A55" s="131" t="s">
        <v>138</v>
      </c>
      <c r="B55" s="2427" t="s">
        <v>97</v>
      </c>
      <c r="C55" s="2428"/>
      <c r="D55" s="2429" t="s">
        <v>97</v>
      </c>
      <c r="E55" s="2430"/>
      <c r="F55" s="2431"/>
      <c r="G55" s="849"/>
      <c r="H55" s="849"/>
      <c r="I55" s="850"/>
      <c r="J55" s="850"/>
      <c r="K55" s="850"/>
      <c r="L55" s="850"/>
      <c r="M55" s="850"/>
      <c r="N55" s="850"/>
      <c r="O55" s="850"/>
      <c r="P55" s="850"/>
      <c r="Q55" s="850"/>
      <c r="R55" s="850"/>
      <c r="S55" s="850"/>
      <c r="T55" s="850"/>
    </row>
    <row r="56" spans="1:21">
      <c r="A56" s="131" t="s">
        <v>139</v>
      </c>
      <c r="B56" s="2427" t="s">
        <v>94</v>
      </c>
      <c r="C56" s="2428"/>
      <c r="D56" s="2429" t="s">
        <v>94</v>
      </c>
      <c r="E56" s="2430"/>
      <c r="F56" s="2431"/>
      <c r="G56" s="849"/>
      <c r="H56" s="849"/>
      <c r="I56" s="850"/>
      <c r="J56" s="850"/>
      <c r="K56" s="850"/>
      <c r="L56" s="850"/>
      <c r="M56" s="850"/>
      <c r="N56" s="850"/>
      <c r="O56" s="850"/>
      <c r="P56" s="850"/>
      <c r="Q56" s="850"/>
      <c r="R56" s="850"/>
      <c r="S56" s="850"/>
      <c r="T56" s="850"/>
    </row>
    <row r="57" spans="1:21" ht="15" thickBot="1">
      <c r="A57" s="857"/>
      <c r="B57" s="2422" t="s">
        <v>141</v>
      </c>
      <c r="C57" s="2423"/>
      <c r="D57" s="2424" t="s">
        <v>37</v>
      </c>
      <c r="E57" s="2425"/>
      <c r="F57" s="2426"/>
      <c r="G57" s="858">
        <f>SUM(G41:G56)</f>
        <v>0</v>
      </c>
      <c r="H57" s="859">
        <f>SUM(H41:H56)</f>
        <v>0</v>
      </c>
      <c r="I57" s="848">
        <f>SUM(I41:I56)</f>
        <v>45</v>
      </c>
      <c r="J57" s="848">
        <f t="shared" ref="J57:T57" si="2">SUM(J41:J56)</f>
        <v>45</v>
      </c>
      <c r="K57" s="848">
        <f t="shared" si="2"/>
        <v>45</v>
      </c>
      <c r="L57" s="848">
        <f t="shared" si="2"/>
        <v>45</v>
      </c>
      <c r="M57" s="848">
        <f t="shared" si="2"/>
        <v>45</v>
      </c>
      <c r="N57" s="848">
        <f t="shared" si="2"/>
        <v>45</v>
      </c>
      <c r="O57" s="848">
        <f t="shared" si="2"/>
        <v>45</v>
      </c>
      <c r="P57" s="848">
        <f t="shared" si="2"/>
        <v>45</v>
      </c>
      <c r="Q57" s="848">
        <f t="shared" si="2"/>
        <v>45</v>
      </c>
      <c r="R57" s="848">
        <f t="shared" si="2"/>
        <v>45</v>
      </c>
      <c r="S57" s="848">
        <f t="shared" si="2"/>
        <v>45</v>
      </c>
      <c r="T57" s="848">
        <f t="shared" si="2"/>
        <v>45</v>
      </c>
      <c r="U57" s="866">
        <f>SUM(G57:T57)</f>
        <v>540</v>
      </c>
    </row>
    <row r="58" spans="1:21" ht="15" thickBot="1">
      <c r="A58" s="2432" t="s">
        <v>315</v>
      </c>
      <c r="B58" s="2433"/>
      <c r="C58" s="2433"/>
      <c r="D58" s="2433"/>
      <c r="E58" s="2433"/>
      <c r="F58" s="2433"/>
      <c r="G58" s="2433"/>
      <c r="H58" s="2434"/>
      <c r="I58" s="856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</row>
    <row r="59" spans="1:21" ht="28.8">
      <c r="A59" s="860" t="s">
        <v>107</v>
      </c>
      <c r="B59" s="861" t="s">
        <v>108</v>
      </c>
      <c r="C59" s="862"/>
      <c r="D59" s="863" t="s">
        <v>109</v>
      </c>
      <c r="E59" s="864"/>
      <c r="F59" s="865"/>
      <c r="G59" s="860" t="s">
        <v>110</v>
      </c>
      <c r="H59" s="860" t="s">
        <v>293</v>
      </c>
      <c r="I59" s="842" t="s">
        <v>111</v>
      </c>
      <c r="J59" s="842" t="s">
        <v>112</v>
      </c>
      <c r="K59" s="842" t="s">
        <v>113</v>
      </c>
      <c r="L59" s="842" t="s">
        <v>114</v>
      </c>
      <c r="M59" s="842" t="s">
        <v>115</v>
      </c>
      <c r="N59" s="842" t="s">
        <v>116</v>
      </c>
      <c r="O59" s="842" t="s">
        <v>117</v>
      </c>
      <c r="P59" s="842" t="s">
        <v>118</v>
      </c>
      <c r="Q59" s="842" t="s">
        <v>119</v>
      </c>
      <c r="R59" s="842" t="s">
        <v>120</v>
      </c>
      <c r="S59" s="842" t="s">
        <v>121</v>
      </c>
      <c r="T59" s="842" t="s">
        <v>122</v>
      </c>
    </row>
    <row r="60" spans="1:21">
      <c r="A60" s="131" t="s">
        <v>123</v>
      </c>
      <c r="B60" s="2427" t="s">
        <v>104</v>
      </c>
      <c r="C60" s="2428"/>
      <c r="D60" s="2429" t="s">
        <v>104</v>
      </c>
      <c r="E60" s="2430"/>
      <c r="F60" s="2431"/>
      <c r="G60" s="849"/>
      <c r="H60" s="849"/>
      <c r="I60" s="850">
        <v>0</v>
      </c>
      <c r="J60" s="850">
        <v>0</v>
      </c>
      <c r="K60" s="850">
        <v>0</v>
      </c>
      <c r="L60" s="850">
        <v>0</v>
      </c>
      <c r="M60" s="850">
        <v>0</v>
      </c>
      <c r="N60" s="850">
        <v>0</v>
      </c>
      <c r="O60" s="850">
        <v>0</v>
      </c>
      <c r="P60" s="850">
        <v>0</v>
      </c>
      <c r="Q60" s="850">
        <v>0</v>
      </c>
      <c r="R60" s="850">
        <v>0</v>
      </c>
      <c r="S60" s="850">
        <v>0</v>
      </c>
      <c r="T60" s="850">
        <v>0</v>
      </c>
    </row>
    <row r="61" spans="1:21">
      <c r="A61" s="131" t="s">
        <v>124</v>
      </c>
      <c r="B61" s="2427" t="s">
        <v>98</v>
      </c>
      <c r="C61" s="2428"/>
      <c r="D61" s="2429" t="s">
        <v>98</v>
      </c>
      <c r="E61" s="2430"/>
      <c r="F61" s="2431"/>
      <c r="G61" s="849"/>
      <c r="H61" s="849"/>
      <c r="I61" s="850">
        <v>0</v>
      </c>
      <c r="J61" s="850">
        <v>0</v>
      </c>
      <c r="K61" s="850">
        <v>0</v>
      </c>
      <c r="L61" s="850">
        <v>0</v>
      </c>
      <c r="M61" s="850">
        <v>0</v>
      </c>
      <c r="N61" s="850">
        <v>0</v>
      </c>
      <c r="O61" s="850">
        <v>0</v>
      </c>
      <c r="P61" s="850">
        <v>0</v>
      </c>
      <c r="Q61" s="850">
        <v>0</v>
      </c>
      <c r="R61" s="850">
        <v>0</v>
      </c>
      <c r="S61" s="850">
        <v>0</v>
      </c>
      <c r="T61" s="850">
        <v>0</v>
      </c>
    </row>
    <row r="62" spans="1:21">
      <c r="A62" s="131" t="s">
        <v>125</v>
      </c>
      <c r="B62" s="2427" t="s">
        <v>93</v>
      </c>
      <c r="C62" s="2428"/>
      <c r="D62" s="2429" t="s">
        <v>93</v>
      </c>
      <c r="E62" s="2430"/>
      <c r="F62" s="2431"/>
      <c r="G62" s="849"/>
      <c r="H62" s="849"/>
      <c r="I62" s="850">
        <v>0</v>
      </c>
      <c r="J62" s="850">
        <v>0</v>
      </c>
      <c r="K62" s="850">
        <v>0</v>
      </c>
      <c r="L62" s="850">
        <v>0</v>
      </c>
      <c r="M62" s="850">
        <v>0</v>
      </c>
      <c r="N62" s="850">
        <v>0</v>
      </c>
      <c r="O62" s="850">
        <v>0</v>
      </c>
      <c r="P62" s="850">
        <v>0</v>
      </c>
      <c r="Q62" s="850">
        <v>0</v>
      </c>
      <c r="R62" s="850">
        <v>0</v>
      </c>
      <c r="S62" s="850">
        <v>0</v>
      </c>
      <c r="T62" s="850">
        <v>0</v>
      </c>
    </row>
    <row r="63" spans="1:21">
      <c r="A63" s="131" t="s">
        <v>126</v>
      </c>
      <c r="B63" s="2427" t="s">
        <v>95</v>
      </c>
      <c r="C63" s="2428"/>
      <c r="D63" s="2429" t="s">
        <v>95</v>
      </c>
      <c r="E63" s="2430"/>
      <c r="F63" s="2431"/>
      <c r="G63" s="849"/>
      <c r="H63" s="849"/>
      <c r="I63" s="850">
        <v>0</v>
      </c>
      <c r="J63" s="850">
        <v>0</v>
      </c>
      <c r="K63" s="850">
        <v>0</v>
      </c>
      <c r="L63" s="850">
        <v>0</v>
      </c>
      <c r="M63" s="850">
        <v>0</v>
      </c>
      <c r="N63" s="850">
        <v>0</v>
      </c>
      <c r="O63" s="850">
        <v>0</v>
      </c>
      <c r="P63" s="850">
        <v>0</v>
      </c>
      <c r="Q63" s="850">
        <v>0</v>
      </c>
      <c r="R63" s="850">
        <v>0</v>
      </c>
      <c r="S63" s="850">
        <v>0</v>
      </c>
      <c r="T63" s="850">
        <v>0</v>
      </c>
    </row>
    <row r="64" spans="1:21">
      <c r="A64" s="131" t="s">
        <v>127</v>
      </c>
      <c r="B64" s="2427" t="s">
        <v>92</v>
      </c>
      <c r="C64" s="2428"/>
      <c r="D64" s="2429" t="s">
        <v>92</v>
      </c>
      <c r="E64" s="2430"/>
      <c r="F64" s="2431"/>
      <c r="G64" s="849"/>
      <c r="H64" s="849"/>
      <c r="I64" s="850">
        <v>0</v>
      </c>
      <c r="J64" s="850">
        <v>0</v>
      </c>
      <c r="K64" s="850">
        <v>0</v>
      </c>
      <c r="L64" s="850">
        <v>0</v>
      </c>
      <c r="M64" s="850">
        <v>0</v>
      </c>
      <c r="N64" s="850">
        <v>0</v>
      </c>
      <c r="O64" s="850">
        <v>0</v>
      </c>
      <c r="P64" s="850">
        <v>0</v>
      </c>
      <c r="Q64" s="850">
        <v>0</v>
      </c>
      <c r="R64" s="850">
        <v>0</v>
      </c>
      <c r="S64" s="850">
        <v>0</v>
      </c>
      <c r="T64" s="850">
        <v>0</v>
      </c>
    </row>
    <row r="65" spans="1:21">
      <c r="A65" s="131" t="s">
        <v>128</v>
      </c>
      <c r="B65" s="2427" t="s">
        <v>99</v>
      </c>
      <c r="C65" s="2428"/>
      <c r="D65" s="2429" t="s">
        <v>99</v>
      </c>
      <c r="E65" s="2430"/>
      <c r="F65" s="2431"/>
      <c r="G65" s="849"/>
      <c r="H65" s="849"/>
      <c r="I65" s="850">
        <v>60</v>
      </c>
      <c r="J65" s="850">
        <v>40</v>
      </c>
      <c r="K65" s="850">
        <v>20</v>
      </c>
      <c r="L65" s="850">
        <v>0</v>
      </c>
      <c r="M65" s="850">
        <v>0</v>
      </c>
      <c r="N65" s="850">
        <v>0</v>
      </c>
      <c r="O65" s="850">
        <v>0</v>
      </c>
      <c r="P65" s="850">
        <v>0</v>
      </c>
      <c r="Q65" s="850">
        <v>0</v>
      </c>
      <c r="R65" s="850">
        <v>0</v>
      </c>
      <c r="S65" s="850">
        <v>20</v>
      </c>
      <c r="T65" s="850">
        <v>20</v>
      </c>
    </row>
    <row r="66" spans="1:21">
      <c r="A66" s="131" t="s">
        <v>129</v>
      </c>
      <c r="B66" s="2427" t="s">
        <v>91</v>
      </c>
      <c r="C66" s="2428"/>
      <c r="D66" s="2429" t="s">
        <v>91</v>
      </c>
      <c r="E66" s="2430"/>
      <c r="F66" s="2431"/>
      <c r="G66" s="849"/>
      <c r="H66" s="849"/>
      <c r="I66" s="850">
        <v>0</v>
      </c>
      <c r="J66" s="850">
        <v>0</v>
      </c>
      <c r="K66" s="850">
        <v>0</v>
      </c>
      <c r="L66" s="850">
        <v>0</v>
      </c>
      <c r="M66" s="850">
        <v>0</v>
      </c>
      <c r="N66" s="850">
        <v>0</v>
      </c>
      <c r="O66" s="850">
        <v>0</v>
      </c>
      <c r="P66" s="850">
        <v>0</v>
      </c>
      <c r="Q66" s="850">
        <v>0</v>
      </c>
      <c r="R66" s="850">
        <v>25</v>
      </c>
      <c r="S66" s="850">
        <v>25</v>
      </c>
      <c r="T66" s="850">
        <v>25</v>
      </c>
    </row>
    <row r="67" spans="1:21">
      <c r="A67" s="131" t="s">
        <v>130</v>
      </c>
      <c r="B67" s="2427" t="s">
        <v>90</v>
      </c>
      <c r="C67" s="2428"/>
      <c r="D67" s="2429" t="s">
        <v>90</v>
      </c>
      <c r="E67" s="2430"/>
      <c r="F67" s="2431"/>
      <c r="G67" s="849"/>
      <c r="H67" s="849"/>
      <c r="I67" s="850">
        <v>20</v>
      </c>
      <c r="J67" s="850">
        <v>20</v>
      </c>
      <c r="K67" s="850">
        <v>20</v>
      </c>
      <c r="L67" s="850">
        <v>20</v>
      </c>
      <c r="M67" s="850">
        <v>0</v>
      </c>
      <c r="N67" s="850">
        <v>0</v>
      </c>
      <c r="O67" s="850">
        <v>0</v>
      </c>
      <c r="P67" s="850">
        <v>0</v>
      </c>
      <c r="Q67" s="850">
        <v>0</v>
      </c>
      <c r="R67" s="850">
        <v>0</v>
      </c>
      <c r="S67" s="850">
        <v>0</v>
      </c>
      <c r="T67" s="850">
        <v>0</v>
      </c>
    </row>
    <row r="68" spans="1:21">
      <c r="A68" s="131" t="s">
        <v>131</v>
      </c>
      <c r="B68" s="2427" t="s">
        <v>101</v>
      </c>
      <c r="C68" s="2428"/>
      <c r="D68" s="2429" t="s">
        <v>101</v>
      </c>
      <c r="E68" s="2430"/>
      <c r="F68" s="2431"/>
      <c r="G68" s="849"/>
      <c r="H68" s="849"/>
      <c r="I68" s="850">
        <v>0</v>
      </c>
      <c r="J68" s="850">
        <v>0</v>
      </c>
      <c r="K68" s="850">
        <v>0</v>
      </c>
      <c r="L68" s="850">
        <v>0</v>
      </c>
      <c r="M68" s="850">
        <v>0</v>
      </c>
      <c r="N68" s="850">
        <v>0</v>
      </c>
      <c r="O68" s="850">
        <v>0</v>
      </c>
      <c r="P68" s="850">
        <v>0</v>
      </c>
      <c r="Q68" s="850">
        <v>0</v>
      </c>
      <c r="R68" s="850">
        <v>0</v>
      </c>
      <c r="S68" s="850">
        <v>0</v>
      </c>
      <c r="T68" s="850">
        <v>0</v>
      </c>
    </row>
    <row r="69" spans="1:21">
      <c r="A69" s="131" t="s">
        <v>132</v>
      </c>
      <c r="B69" s="2427" t="s">
        <v>89</v>
      </c>
      <c r="C69" s="2428"/>
      <c r="D69" s="2429" t="s">
        <v>133</v>
      </c>
      <c r="E69" s="2430"/>
      <c r="F69" s="2431"/>
      <c r="G69" s="849"/>
      <c r="H69" s="849"/>
      <c r="I69" s="850">
        <v>0</v>
      </c>
      <c r="J69" s="850">
        <v>0</v>
      </c>
      <c r="K69" s="850">
        <v>0</v>
      </c>
      <c r="L69" s="850">
        <v>0</v>
      </c>
      <c r="M69" s="850">
        <v>0</v>
      </c>
      <c r="N69" s="850">
        <v>0</v>
      </c>
      <c r="O69" s="850">
        <v>0</v>
      </c>
      <c r="P69" s="850">
        <v>0</v>
      </c>
      <c r="Q69" s="850">
        <v>0</v>
      </c>
      <c r="R69" s="850">
        <v>0</v>
      </c>
      <c r="S69" s="850">
        <v>0</v>
      </c>
      <c r="T69" s="850">
        <v>0</v>
      </c>
    </row>
    <row r="70" spans="1:21">
      <c r="A70" s="131" t="s">
        <v>134</v>
      </c>
      <c r="B70" s="2427" t="s">
        <v>100</v>
      </c>
      <c r="C70" s="2428"/>
      <c r="D70" s="2429" t="s">
        <v>100</v>
      </c>
      <c r="E70" s="2430"/>
      <c r="F70" s="2431"/>
      <c r="G70" s="849"/>
      <c r="H70" s="849"/>
      <c r="I70" s="850">
        <v>0</v>
      </c>
      <c r="J70" s="850">
        <v>0</v>
      </c>
      <c r="K70" s="850">
        <v>0</v>
      </c>
      <c r="L70" s="850">
        <v>0</v>
      </c>
      <c r="M70" s="850">
        <v>0</v>
      </c>
      <c r="N70" s="850">
        <v>0</v>
      </c>
      <c r="O70" s="850">
        <v>0</v>
      </c>
      <c r="P70" s="850">
        <v>0</v>
      </c>
      <c r="Q70" s="850">
        <v>0</v>
      </c>
      <c r="R70" s="850">
        <v>0</v>
      </c>
      <c r="S70" s="850">
        <v>0</v>
      </c>
      <c r="T70" s="850">
        <v>0</v>
      </c>
    </row>
    <row r="71" spans="1:21">
      <c r="A71" s="131" t="s">
        <v>135</v>
      </c>
      <c r="B71" s="2427" t="s">
        <v>103</v>
      </c>
      <c r="C71" s="2428"/>
      <c r="D71" s="2429" t="s">
        <v>103</v>
      </c>
      <c r="E71" s="2430"/>
      <c r="F71" s="2431"/>
      <c r="G71" s="849"/>
      <c r="H71" s="849"/>
      <c r="I71" s="850">
        <v>0</v>
      </c>
      <c r="J71" s="850">
        <v>0</v>
      </c>
      <c r="K71" s="850">
        <v>0</v>
      </c>
      <c r="L71" s="850">
        <v>0</v>
      </c>
      <c r="M71" s="850">
        <v>0</v>
      </c>
      <c r="N71" s="850">
        <v>0</v>
      </c>
      <c r="O71" s="850">
        <v>0</v>
      </c>
      <c r="P71" s="850">
        <v>0</v>
      </c>
      <c r="Q71" s="850">
        <v>0</v>
      </c>
      <c r="R71" s="850">
        <v>0</v>
      </c>
      <c r="S71" s="850">
        <v>0</v>
      </c>
      <c r="T71" s="850">
        <v>0</v>
      </c>
    </row>
    <row r="72" spans="1:21">
      <c r="A72" s="131" t="s">
        <v>136</v>
      </c>
      <c r="B72" s="2427" t="s">
        <v>96</v>
      </c>
      <c r="C72" s="2428"/>
      <c r="D72" s="2429" t="s">
        <v>96</v>
      </c>
      <c r="E72" s="2430"/>
      <c r="F72" s="2431"/>
      <c r="G72" s="849"/>
      <c r="H72" s="849"/>
      <c r="I72" s="850">
        <v>75</v>
      </c>
      <c r="J72" s="850">
        <v>75</v>
      </c>
      <c r="K72" s="850">
        <v>75</v>
      </c>
      <c r="L72" s="850">
        <v>0</v>
      </c>
      <c r="M72" s="850">
        <v>0</v>
      </c>
      <c r="N72" s="850">
        <v>0</v>
      </c>
      <c r="O72" s="850">
        <v>0</v>
      </c>
      <c r="P72" s="850">
        <v>0</v>
      </c>
      <c r="Q72" s="850">
        <v>0</v>
      </c>
      <c r="R72" s="850">
        <v>100</v>
      </c>
      <c r="S72" s="850">
        <v>100</v>
      </c>
      <c r="T72" s="850">
        <v>100</v>
      </c>
    </row>
    <row r="73" spans="1:21">
      <c r="A73" s="131" t="s">
        <v>137</v>
      </c>
      <c r="B73" s="2427" t="s">
        <v>102</v>
      </c>
      <c r="C73" s="2428"/>
      <c r="D73" s="2429" t="s">
        <v>102</v>
      </c>
      <c r="E73" s="2430"/>
      <c r="F73" s="2431"/>
      <c r="G73" s="849"/>
      <c r="H73" s="849"/>
      <c r="I73" s="850">
        <v>20</v>
      </c>
      <c r="J73" s="850">
        <v>0</v>
      </c>
      <c r="K73" s="850">
        <v>0</v>
      </c>
      <c r="L73" s="850">
        <v>0</v>
      </c>
      <c r="M73" s="850">
        <v>0</v>
      </c>
      <c r="N73" s="850">
        <v>0</v>
      </c>
      <c r="O73" s="850">
        <v>0</v>
      </c>
      <c r="P73" s="850">
        <v>0</v>
      </c>
      <c r="Q73" s="850">
        <v>0</v>
      </c>
      <c r="R73" s="850">
        <v>0</v>
      </c>
      <c r="S73" s="850">
        <v>20</v>
      </c>
      <c r="T73" s="850">
        <v>20</v>
      </c>
    </row>
    <row r="74" spans="1:21">
      <c r="A74" s="131" t="s">
        <v>138</v>
      </c>
      <c r="B74" s="2427" t="s">
        <v>97</v>
      </c>
      <c r="C74" s="2428"/>
      <c r="D74" s="2429" t="s">
        <v>97</v>
      </c>
      <c r="E74" s="2430"/>
      <c r="F74" s="2431"/>
      <c r="G74" s="849"/>
      <c r="H74" s="849"/>
      <c r="I74" s="850">
        <v>0</v>
      </c>
      <c r="J74" s="850">
        <v>0</v>
      </c>
      <c r="K74" s="850">
        <v>0</v>
      </c>
      <c r="L74" s="850">
        <v>0</v>
      </c>
      <c r="M74" s="850">
        <v>0</v>
      </c>
      <c r="N74" s="850">
        <v>0</v>
      </c>
      <c r="O74" s="850">
        <v>0</v>
      </c>
      <c r="P74" s="850">
        <v>0</v>
      </c>
      <c r="Q74" s="850">
        <v>0</v>
      </c>
      <c r="R74" s="850">
        <v>0</v>
      </c>
      <c r="S74" s="850">
        <v>0</v>
      </c>
      <c r="T74" s="850">
        <v>0</v>
      </c>
    </row>
    <row r="75" spans="1:21">
      <c r="A75" s="131" t="s">
        <v>139</v>
      </c>
      <c r="B75" s="2427" t="s">
        <v>94</v>
      </c>
      <c r="C75" s="2428"/>
      <c r="D75" s="2429" t="s">
        <v>94</v>
      </c>
      <c r="E75" s="2430"/>
      <c r="F75" s="2431"/>
      <c r="G75" s="849"/>
      <c r="H75" s="849"/>
      <c r="I75" s="850">
        <v>100</v>
      </c>
      <c r="J75" s="850">
        <v>100</v>
      </c>
      <c r="K75" s="850">
        <v>100</v>
      </c>
      <c r="L75" s="850">
        <v>25</v>
      </c>
      <c r="M75" s="850">
        <v>25</v>
      </c>
      <c r="N75" s="850">
        <v>25</v>
      </c>
      <c r="O75" s="850">
        <v>0</v>
      </c>
      <c r="P75" s="850">
        <v>0</v>
      </c>
      <c r="Q75" s="850">
        <v>0</v>
      </c>
      <c r="R75" s="850">
        <v>200</v>
      </c>
      <c r="S75" s="850">
        <v>200</v>
      </c>
      <c r="T75" s="850">
        <v>200</v>
      </c>
    </row>
    <row r="76" spans="1:21">
      <c r="A76" s="846"/>
      <c r="B76" s="851" t="s">
        <v>141</v>
      </c>
      <c r="C76" s="852"/>
      <c r="D76" s="853" t="s">
        <v>37</v>
      </c>
      <c r="E76" s="854"/>
      <c r="F76" s="855"/>
      <c r="G76" s="843">
        <f>SUM(G60:G75)</f>
        <v>0</v>
      </c>
      <c r="H76" s="844">
        <f>SUM(H60:H75)</f>
        <v>0</v>
      </c>
      <c r="I76" s="848">
        <f>SUM(I60:I75)</f>
        <v>275</v>
      </c>
      <c r="J76" s="848">
        <f t="shared" ref="J76" si="3">SUM(J60:J75)</f>
        <v>235</v>
      </c>
      <c r="K76" s="848">
        <f t="shared" ref="K76" si="4">SUM(K60:K75)</f>
        <v>215</v>
      </c>
      <c r="L76" s="848">
        <f t="shared" ref="L76" si="5">SUM(L60:L75)</f>
        <v>45</v>
      </c>
      <c r="M76" s="848">
        <f t="shared" ref="M76" si="6">SUM(M60:M75)</f>
        <v>25</v>
      </c>
      <c r="N76" s="848">
        <f t="shared" ref="N76" si="7">SUM(N60:N75)</f>
        <v>25</v>
      </c>
      <c r="O76" s="848">
        <f t="shared" ref="O76" si="8">SUM(O60:O75)</f>
        <v>0</v>
      </c>
      <c r="P76" s="848">
        <f t="shared" ref="P76" si="9">SUM(P60:P75)</f>
        <v>0</v>
      </c>
      <c r="Q76" s="848">
        <f t="shared" ref="Q76" si="10">SUM(Q60:Q75)</f>
        <v>0</v>
      </c>
      <c r="R76" s="848">
        <f t="shared" ref="R76" si="11">SUM(R60:R75)</f>
        <v>325</v>
      </c>
      <c r="S76" s="848">
        <f t="shared" ref="S76" si="12">SUM(S60:S75)</f>
        <v>365</v>
      </c>
      <c r="T76" s="848">
        <f t="shared" ref="T76" si="13">SUM(T60:T75)</f>
        <v>365</v>
      </c>
      <c r="U76" s="866">
        <f>SUM(G76:T76)</f>
        <v>1875</v>
      </c>
    </row>
  </sheetData>
  <mergeCells count="144">
    <mergeCell ref="B75:C75"/>
    <mergeCell ref="D75:F75"/>
    <mergeCell ref="A1:H1"/>
    <mergeCell ref="B60:C60"/>
    <mergeCell ref="D60:F60"/>
    <mergeCell ref="B61:C61"/>
    <mergeCell ref="D61:F61"/>
    <mergeCell ref="B62:C62"/>
    <mergeCell ref="D62:F62"/>
    <mergeCell ref="B63:C63"/>
    <mergeCell ref="D63:F63"/>
    <mergeCell ref="B64:C64"/>
    <mergeCell ref="D64:F64"/>
    <mergeCell ref="B65:C65"/>
    <mergeCell ref="D65:F65"/>
    <mergeCell ref="B66:C66"/>
    <mergeCell ref="D66:F66"/>
    <mergeCell ref="B72:C72"/>
    <mergeCell ref="D72:F72"/>
    <mergeCell ref="B73:C73"/>
    <mergeCell ref="D73:F73"/>
    <mergeCell ref="B74:C74"/>
    <mergeCell ref="D74:F74"/>
    <mergeCell ref="B69:C69"/>
    <mergeCell ref="D69:F69"/>
    <mergeCell ref="B70:C70"/>
    <mergeCell ref="D70:F70"/>
    <mergeCell ref="B71:C71"/>
    <mergeCell ref="D71:F71"/>
    <mergeCell ref="B67:C67"/>
    <mergeCell ref="D67:F67"/>
    <mergeCell ref="B68:C68"/>
    <mergeCell ref="D68:F68"/>
    <mergeCell ref="A58:H58"/>
    <mergeCell ref="B57:C57"/>
    <mergeCell ref="D57:F57"/>
    <mergeCell ref="B54:C54"/>
    <mergeCell ref="D54:F54"/>
    <mergeCell ref="B55:C55"/>
    <mergeCell ref="D55:F55"/>
    <mergeCell ref="B56:C56"/>
    <mergeCell ref="D56:F56"/>
    <mergeCell ref="B51:C51"/>
    <mergeCell ref="D51:F51"/>
    <mergeCell ref="B52:C52"/>
    <mergeCell ref="D52:F52"/>
    <mergeCell ref="B53:C53"/>
    <mergeCell ref="D53:F53"/>
    <mergeCell ref="B48:C48"/>
    <mergeCell ref="D48:F48"/>
    <mergeCell ref="B49:C49"/>
    <mergeCell ref="D49:F49"/>
    <mergeCell ref="B50:C50"/>
    <mergeCell ref="D50:F50"/>
    <mergeCell ref="B45:C45"/>
    <mergeCell ref="D45:F45"/>
    <mergeCell ref="B46:C46"/>
    <mergeCell ref="D46:F46"/>
    <mergeCell ref="B47:C47"/>
    <mergeCell ref="D47:F47"/>
    <mergeCell ref="B42:C42"/>
    <mergeCell ref="D42:F42"/>
    <mergeCell ref="B43:C43"/>
    <mergeCell ref="D43:F43"/>
    <mergeCell ref="B44:C44"/>
    <mergeCell ref="D44:F44"/>
    <mergeCell ref="A39:H39"/>
    <mergeCell ref="B40:C40"/>
    <mergeCell ref="D40:F40"/>
    <mergeCell ref="B41:C41"/>
    <mergeCell ref="D41:F41"/>
    <mergeCell ref="D22:F22"/>
    <mergeCell ref="B22:C22"/>
    <mergeCell ref="D21:F21"/>
    <mergeCell ref="B21:C21"/>
    <mergeCell ref="D27:F27"/>
    <mergeCell ref="B28:C28"/>
    <mergeCell ref="D28:F28"/>
    <mergeCell ref="B23:C23"/>
    <mergeCell ref="D23:F23"/>
    <mergeCell ref="B24:C24"/>
    <mergeCell ref="D24:F24"/>
    <mergeCell ref="B25:C25"/>
    <mergeCell ref="D25:F25"/>
    <mergeCell ref="A20:H20"/>
    <mergeCell ref="B38:C38"/>
    <mergeCell ref="D38:F38"/>
    <mergeCell ref="B35:C35"/>
    <mergeCell ref="D35:F35"/>
    <mergeCell ref="B36:C36"/>
    <mergeCell ref="D36:F36"/>
    <mergeCell ref="B37:C37"/>
    <mergeCell ref="D37:F37"/>
    <mergeCell ref="B32:C32"/>
    <mergeCell ref="D32:F32"/>
    <mergeCell ref="B33:C33"/>
    <mergeCell ref="D33:F33"/>
    <mergeCell ref="B34:C34"/>
    <mergeCell ref="D34:F34"/>
    <mergeCell ref="B29:C29"/>
    <mergeCell ref="D29:F29"/>
    <mergeCell ref="B30:C30"/>
    <mergeCell ref="D30:F30"/>
    <mergeCell ref="B31:C31"/>
    <mergeCell ref="D31:F31"/>
    <mergeCell ref="B26:C26"/>
    <mergeCell ref="D26:F26"/>
    <mergeCell ref="B27:C27"/>
    <mergeCell ref="B19:C19"/>
    <mergeCell ref="D19:F19"/>
    <mergeCell ref="B17:C17"/>
    <mergeCell ref="D17:F17"/>
    <mergeCell ref="B18:C18"/>
    <mergeCell ref="D18:F18"/>
    <mergeCell ref="B14:C14"/>
    <mergeCell ref="D14:F14"/>
    <mergeCell ref="B15:C15"/>
    <mergeCell ref="D15:F15"/>
    <mergeCell ref="B16:C16"/>
    <mergeCell ref="D16:F16"/>
    <mergeCell ref="B11:C11"/>
    <mergeCell ref="D11:F11"/>
    <mergeCell ref="B12:C12"/>
    <mergeCell ref="D12:F12"/>
    <mergeCell ref="B13:C13"/>
    <mergeCell ref="D13:F13"/>
    <mergeCell ref="B8:C8"/>
    <mergeCell ref="D8:F8"/>
    <mergeCell ref="B9:C9"/>
    <mergeCell ref="D9:F9"/>
    <mergeCell ref="B10:C10"/>
    <mergeCell ref="D10:F10"/>
    <mergeCell ref="B5:C5"/>
    <mergeCell ref="D5:F5"/>
    <mergeCell ref="B6:C6"/>
    <mergeCell ref="D6:F6"/>
    <mergeCell ref="B7:C7"/>
    <mergeCell ref="D7:F7"/>
    <mergeCell ref="B2:C2"/>
    <mergeCell ref="D2:F2"/>
    <mergeCell ref="B3:C3"/>
    <mergeCell ref="D3:F3"/>
    <mergeCell ref="B4:C4"/>
    <mergeCell ref="D4:F4"/>
  </mergeCells>
  <pageMargins left="0.25" right="0.25" top="0.75" bottom="0.75" header="0.3" footer="0.3"/>
  <pageSetup paperSize="9" scale="67" fitToHeight="0" orientation="landscape" r:id="rId1"/>
  <headerFooter>
    <oddHeader>&amp;CBALPET A.Ş.
2015 BÜTÇE ÇALIŞMASI - MADENİ YAĞ / ADBLUE 
GAZYAĞI - KALYAK - SATIŞ HEDEFİ</oddHeader>
    <oddFooter>Sayfa &amp;P / &amp;N</oddFooter>
  </headerFooter>
  <rowBreaks count="1" manualBreakCount="1">
    <brk id="38" max="19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17"/>
  <sheetViews>
    <sheetView workbookViewId="0">
      <selection activeCell="E6" sqref="E6"/>
    </sheetView>
  </sheetViews>
  <sheetFormatPr defaultRowHeight="13.2"/>
  <cols>
    <col min="1" max="1" width="16.109375" bestFit="1" customWidth="1"/>
  </cols>
  <sheetData>
    <row r="1" spans="1:4">
      <c r="C1" t="s">
        <v>180</v>
      </c>
      <c r="D1" t="s">
        <v>181</v>
      </c>
    </row>
    <row r="2" spans="1:4">
      <c r="A2" t="s">
        <v>89</v>
      </c>
      <c r="B2" t="s">
        <v>176</v>
      </c>
    </row>
    <row r="3" spans="1:4">
      <c r="A3" t="s">
        <v>90</v>
      </c>
      <c r="B3" t="s">
        <v>177</v>
      </c>
    </row>
    <row r="4" spans="1:4">
      <c r="A4" t="s">
        <v>91</v>
      </c>
      <c r="B4" t="s">
        <v>178</v>
      </c>
    </row>
    <row r="5" spans="1:4">
      <c r="A5" t="s">
        <v>92</v>
      </c>
      <c r="B5" t="s">
        <v>177</v>
      </c>
    </row>
    <row r="6" spans="1:4">
      <c r="A6" t="s">
        <v>93</v>
      </c>
      <c r="B6" t="s">
        <v>179</v>
      </c>
    </row>
    <row r="7" spans="1:4">
      <c r="A7" t="s">
        <v>94</v>
      </c>
      <c r="B7" t="s">
        <v>176</v>
      </c>
    </row>
    <row r="8" spans="1:4">
      <c r="A8" t="s">
        <v>95</v>
      </c>
      <c r="B8" t="s">
        <v>177</v>
      </c>
    </row>
    <row r="9" spans="1:4">
      <c r="A9" t="s">
        <v>96</v>
      </c>
      <c r="B9" t="s">
        <v>176</v>
      </c>
    </row>
    <row r="10" spans="1:4">
      <c r="A10" t="s">
        <v>97</v>
      </c>
      <c r="B10" t="s">
        <v>176</v>
      </c>
    </row>
    <row r="11" spans="1:4">
      <c r="A11" t="s">
        <v>98</v>
      </c>
      <c r="B11" t="s">
        <v>177</v>
      </c>
    </row>
    <row r="12" spans="1:4">
      <c r="A12" t="s">
        <v>99</v>
      </c>
      <c r="B12" t="s">
        <v>178</v>
      </c>
    </row>
    <row r="13" spans="1:4">
      <c r="A13" t="s">
        <v>100</v>
      </c>
      <c r="B13" t="s">
        <v>176</v>
      </c>
    </row>
    <row r="14" spans="1:4">
      <c r="A14" t="s">
        <v>101</v>
      </c>
      <c r="B14" t="s">
        <v>176</v>
      </c>
    </row>
    <row r="15" spans="1:4">
      <c r="A15" t="s">
        <v>102</v>
      </c>
      <c r="B15" t="s">
        <v>176</v>
      </c>
    </row>
    <row r="16" spans="1:4">
      <c r="A16" t="s">
        <v>103</v>
      </c>
      <c r="B16" t="s">
        <v>179</v>
      </c>
    </row>
    <row r="17" spans="1:2">
      <c r="A17" t="s">
        <v>104</v>
      </c>
      <c r="B17" t="s">
        <v>177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>
      <selection activeCell="C2" sqref="C2"/>
    </sheetView>
  </sheetViews>
  <sheetFormatPr defaultRowHeight="13.2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workbookViewId="0"/>
  </sheetViews>
  <sheetFormatPr defaultRowHeight="13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57</vt:i4>
      </vt:variant>
      <vt:variant>
        <vt:lpstr>Adlandırılmış Aralıklar</vt:lpstr>
      </vt:variant>
      <vt:variant>
        <vt:i4>37</vt:i4>
      </vt:variant>
    </vt:vector>
  </HeadingPairs>
  <TitlesOfParts>
    <vt:vector size="94" baseType="lpstr">
      <vt:lpstr>Balpet_İçindekiler</vt:lpstr>
      <vt:lpstr>vvv</vt:lpstr>
      <vt:lpstr>Kapak1</vt:lpstr>
      <vt:lpstr>Sayfa2</vt:lpstr>
      <vt:lpstr>Onay</vt:lpstr>
      <vt:lpstr>Nakit Akım</vt:lpstr>
      <vt:lpstr>Diğer Gelir Ve Giderler 2024</vt:lpstr>
      <vt:lpstr>Bütçe 2024 Kabuller</vt:lpstr>
      <vt:lpstr>Yatırım Konsolide</vt:lpstr>
      <vt:lpstr>Yatırım Bütçesi_2024 LPG</vt:lpstr>
      <vt:lpstr>Yatırım Bütçesi_2024</vt:lpstr>
      <vt:lpstr>BPET Konsolide</vt:lpstr>
      <vt:lpstr>Perakende Özet M3</vt:lpstr>
      <vt:lpstr>Yatırım Bütçesi 2</vt:lpstr>
      <vt:lpstr>NOTLAR</vt:lpstr>
      <vt:lpstr>Genel Yönetim Giderleri</vt:lpstr>
      <vt:lpstr> Satış Konsolide</vt:lpstr>
      <vt:lpstr>Pazarlama&amp;Satış(d+a) GMY+MDR</vt:lpstr>
      <vt:lpstr>MADENİ YAĞ GİDER BÜTÇESİ</vt:lpstr>
      <vt:lpstr>İHALE</vt:lpstr>
      <vt:lpstr>ENDÜSTRİYEL</vt:lpstr>
      <vt:lpstr>DAĞITICI</vt:lpstr>
      <vt:lpstr>Deniz Satış &amp; Konsolide</vt:lpstr>
      <vt:lpstr>Ötv'siz Deniz</vt:lpstr>
      <vt:lpstr>Ötv'li Deniz</vt:lpstr>
      <vt:lpstr>DAĞITICI-ÖTV'SİZ-İHALE HEDEF</vt:lpstr>
      <vt:lpstr>SAHA AYLIK ÜRÜN M3</vt:lpstr>
      <vt:lpstr>Alış Fiyat</vt:lpstr>
      <vt:lpstr>Satış Fiyat</vt:lpstr>
      <vt:lpstr>M.Yağ_Adbulue</vt:lpstr>
      <vt:lpstr>Yatırım Bütçesi</vt:lpstr>
      <vt:lpstr>Balpet Kredi</vt:lpstr>
      <vt:lpstr>Satış Kanalları M3</vt:lpstr>
      <vt:lpstr>İskonto Oranı</vt:lpstr>
      <vt:lpstr>M.Yağ Alış Fiyat</vt:lpstr>
      <vt:lpstr>Perakende</vt:lpstr>
      <vt:lpstr>Mersin</vt:lpstr>
      <vt:lpstr>Ankara</vt:lpstr>
      <vt:lpstr>Antalya</vt:lpstr>
      <vt:lpstr>Konya</vt:lpstr>
      <vt:lpstr>Trakya</vt:lpstr>
      <vt:lpstr>Kayseri</vt:lpstr>
      <vt:lpstr>Diyarbakır</vt:lpstr>
      <vt:lpstr>Erzurum</vt:lpstr>
      <vt:lpstr>Marmara2</vt:lpstr>
      <vt:lpstr>Ege</vt:lpstr>
      <vt:lpstr>Malatya</vt:lpstr>
      <vt:lpstr>Marmara1</vt:lpstr>
      <vt:lpstr>Karadeniz</vt:lpstr>
      <vt:lpstr>Şanlıurfa</vt:lpstr>
      <vt:lpstr>Saha-ikmal</vt:lpstr>
      <vt:lpstr>Fiyatlar_Onur</vt:lpstr>
      <vt:lpstr>İskonto Oran</vt:lpstr>
      <vt:lpstr>M.YAĞ</vt:lpstr>
      <vt:lpstr>Lpg Alış Fiyat</vt:lpstr>
      <vt:lpstr>Satış Miktarları</vt:lpstr>
      <vt:lpstr>Sayfa1</vt:lpstr>
      <vt:lpstr>' Satış Konsolide'!Yazdırma_Alanı</vt:lpstr>
      <vt:lpstr>'Alış Fiyat'!Yazdırma_Alanı</vt:lpstr>
      <vt:lpstr>Ankara!Yazdırma_Alanı</vt:lpstr>
      <vt:lpstr>Antalya!Yazdırma_Alanı</vt:lpstr>
      <vt:lpstr>Balpet_İçindekiler!Yazdırma_Alanı</vt:lpstr>
      <vt:lpstr>'BPET Konsolide'!Yazdırma_Alanı</vt:lpstr>
      <vt:lpstr>'Bütçe 2024 Kabuller'!Yazdırma_Alanı</vt:lpstr>
      <vt:lpstr>DAĞITICI!Yazdırma_Alanı</vt:lpstr>
      <vt:lpstr>'Deniz Satış &amp; Konsolide'!Yazdırma_Alanı</vt:lpstr>
      <vt:lpstr>'Diğer Gelir Ve Giderler 2024'!Yazdırma_Alanı</vt:lpstr>
      <vt:lpstr>Diyarbakır!Yazdırma_Alanı</vt:lpstr>
      <vt:lpstr>Ege!Yazdırma_Alanı</vt:lpstr>
      <vt:lpstr>ENDÜSTRİYEL!Yazdırma_Alanı</vt:lpstr>
      <vt:lpstr>Erzurum!Yazdırma_Alanı</vt:lpstr>
      <vt:lpstr>Fiyatlar_Onur!Yazdırma_Alanı</vt:lpstr>
      <vt:lpstr>'Genel Yönetim Giderleri'!Yazdırma_Alanı</vt:lpstr>
      <vt:lpstr>İHALE!Yazdırma_Alanı</vt:lpstr>
      <vt:lpstr>Kapak1!Yazdırma_Alanı</vt:lpstr>
      <vt:lpstr>Karadeniz!Yazdırma_Alanı</vt:lpstr>
      <vt:lpstr>Kayseri!Yazdırma_Alanı</vt:lpstr>
      <vt:lpstr>Konya!Yazdırma_Alanı</vt:lpstr>
      <vt:lpstr>M.YAĞ!Yazdırma_Alanı</vt:lpstr>
      <vt:lpstr>M.Yağ_Adbulue!Yazdırma_Alanı</vt:lpstr>
      <vt:lpstr>'MADENİ YAĞ GİDER BÜTÇESİ'!Yazdırma_Alanı</vt:lpstr>
      <vt:lpstr>Malatya!Yazdırma_Alanı</vt:lpstr>
      <vt:lpstr>Marmara1!Yazdırma_Alanı</vt:lpstr>
      <vt:lpstr>Marmara2!Yazdırma_Alanı</vt:lpstr>
      <vt:lpstr>Mersin!Yazdırma_Alanı</vt:lpstr>
      <vt:lpstr>'Nakit Akım'!Yazdırma_Alanı</vt:lpstr>
      <vt:lpstr>Onay!Yazdırma_Alanı</vt:lpstr>
      <vt:lpstr>'Ötv''li Deniz'!Yazdırma_Alanı</vt:lpstr>
      <vt:lpstr>'Ötv''siz Deniz'!Yazdırma_Alanı</vt:lpstr>
      <vt:lpstr>Perakende!Yazdırma_Alanı</vt:lpstr>
      <vt:lpstr>'Perakende Özet M3'!Yazdırma_Alanı</vt:lpstr>
      <vt:lpstr>'Satış Fiyat'!Yazdırma_Alanı</vt:lpstr>
      <vt:lpstr>Şanlıurfa!Yazdırma_Alanı</vt:lpstr>
      <vt:lpstr>Trakya!Yazdırma_Alanı</vt:lpstr>
    </vt:vector>
  </TitlesOfParts>
  <Company>BALPET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ILTER</dc:creator>
  <cp:lastModifiedBy>Mustafa Ceylan</cp:lastModifiedBy>
  <cp:lastPrinted>2023-10-26T10:02:36Z</cp:lastPrinted>
  <dcterms:created xsi:type="dcterms:W3CDTF">2013-09-24T13:01:37Z</dcterms:created>
  <dcterms:modified xsi:type="dcterms:W3CDTF">2023-11-20T06:29:44Z</dcterms:modified>
</cp:coreProperties>
</file>