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54E7D04B-8432-464F-9C6B-69E72C1D6855}" xr6:coauthVersionLast="44" xr6:coauthVersionMax="44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Flight Data" sheetId="1" r:id="rId1"/>
    <sheet name="Weight&amp;Balance" sheetId="2" r:id="rId2"/>
    <sheet name="Sartaj Moved Weight and Balance" sheetId="4" r:id="rId3"/>
    <sheet name="Changing CG" sheetId="3" r:id="rId4"/>
    <sheet name="Reference Data" sheetId="6" r:id="rId5"/>
    <sheet name="Reference Weight&amp;Balance" sheetId="8" r:id="rId6"/>
    <sheet name="Reference Moved Weight&amp;Balance" sheetId="10" r:id="rId7"/>
    <sheet name="Changing CG Referen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9" l="1"/>
  <c r="C18" i="9"/>
  <c r="B19" i="9"/>
  <c r="B18" i="9"/>
  <c r="H19" i="10"/>
  <c r="G19" i="10"/>
  <c r="C19" i="10"/>
  <c r="D13" i="10"/>
  <c r="D12" i="10"/>
  <c r="G11" i="10"/>
  <c r="G15" i="10" s="1"/>
  <c r="G23" i="10" s="1"/>
  <c r="D11" i="10"/>
  <c r="D10" i="10"/>
  <c r="D9" i="10"/>
  <c r="D8" i="10"/>
  <c r="H7" i="10"/>
  <c r="D7" i="10"/>
  <c r="D6" i="10"/>
  <c r="D5" i="10"/>
  <c r="D19" i="10" s="1"/>
  <c r="H11" i="10" s="1"/>
  <c r="H15" i="10" s="1"/>
  <c r="F15" i="10" s="1"/>
  <c r="I9" i="9"/>
  <c r="I10" i="9"/>
  <c r="I11" i="9"/>
  <c r="I12" i="9"/>
  <c r="I13" i="9"/>
  <c r="I14" i="9"/>
  <c r="I8" i="9"/>
  <c r="F10" i="9"/>
  <c r="C9" i="9"/>
  <c r="C10" i="9"/>
  <c r="C11" i="9"/>
  <c r="C12" i="9"/>
  <c r="C13" i="9"/>
  <c r="C14" i="9"/>
  <c r="C8" i="9"/>
  <c r="B9" i="9"/>
  <c r="B10" i="9"/>
  <c r="B11" i="9"/>
  <c r="B12" i="9"/>
  <c r="B13" i="9"/>
  <c r="B14" i="9"/>
  <c r="B8" i="9"/>
  <c r="G19" i="9"/>
  <c r="F19" i="9"/>
  <c r="G18" i="9"/>
  <c r="F18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E10" i="9"/>
  <c r="A10" i="9"/>
  <c r="A11" i="9" s="1"/>
  <c r="A12" i="9" s="1"/>
  <c r="A13" i="9" s="1"/>
  <c r="A14" i="9" s="1"/>
  <c r="G9" i="9"/>
  <c r="F9" i="9"/>
  <c r="E9" i="9"/>
  <c r="A9" i="9"/>
  <c r="F8" i="9"/>
  <c r="E8" i="9"/>
  <c r="A8" i="9"/>
  <c r="G19" i="8"/>
  <c r="H19" i="8"/>
  <c r="C19" i="8"/>
  <c r="G11" i="8" s="1"/>
  <c r="G15" i="8" s="1"/>
  <c r="D13" i="8"/>
  <c r="D19" i="8" s="1"/>
  <c r="H11" i="8" s="1"/>
  <c r="H15" i="8" s="1"/>
  <c r="D12" i="8"/>
  <c r="D11" i="8"/>
  <c r="D10" i="8"/>
  <c r="D9" i="8"/>
  <c r="D8" i="8"/>
  <c r="H7" i="8"/>
  <c r="D7" i="8"/>
  <c r="D6" i="8"/>
  <c r="D5" i="8"/>
  <c r="H18" i="9" l="1"/>
  <c r="I18" i="9" s="1"/>
  <c r="J18" i="9" s="1"/>
  <c r="H23" i="10"/>
  <c r="F23" i="10" s="1"/>
  <c r="H12" i="9"/>
  <c r="J12" i="9" s="1"/>
  <c r="H10" i="9"/>
  <c r="J10" i="9" s="1"/>
  <c r="H13" i="9"/>
  <c r="J13" i="9" s="1"/>
  <c r="H11" i="9"/>
  <c r="J11" i="9" s="1"/>
  <c r="H14" i="9"/>
  <c r="J14" i="9" s="1"/>
  <c r="H19" i="9"/>
  <c r="H9" i="9"/>
  <c r="J9" i="9" s="1"/>
  <c r="G8" i="9"/>
  <c r="H8" i="9" s="1"/>
  <c r="J8" i="9" s="1"/>
  <c r="G23" i="8"/>
  <c r="F15" i="8"/>
  <c r="H23" i="8"/>
  <c r="J19" i="3"/>
  <c r="J18" i="3"/>
  <c r="J9" i="3"/>
  <c r="J10" i="3"/>
  <c r="J11" i="3"/>
  <c r="J12" i="3"/>
  <c r="J13" i="3"/>
  <c r="J14" i="3"/>
  <c r="J8" i="3"/>
  <c r="G19" i="3"/>
  <c r="F19" i="3"/>
  <c r="G18" i="3"/>
  <c r="F18" i="3"/>
  <c r="H18" i="3" s="1"/>
  <c r="I18" i="3" s="1"/>
  <c r="B19" i="3"/>
  <c r="C19" i="3" s="1"/>
  <c r="B18" i="3"/>
  <c r="C18" i="3" s="1"/>
  <c r="H19" i="4"/>
  <c r="C19" i="4"/>
  <c r="D13" i="4"/>
  <c r="D12" i="4"/>
  <c r="G11" i="4"/>
  <c r="G15" i="4" s="1"/>
  <c r="G23" i="4" s="1"/>
  <c r="D11" i="4"/>
  <c r="D10" i="4"/>
  <c r="D9" i="4"/>
  <c r="D8" i="4"/>
  <c r="H7" i="4"/>
  <c r="D7" i="4"/>
  <c r="D6" i="4"/>
  <c r="D5" i="4"/>
  <c r="G11" i="3"/>
  <c r="G12" i="3"/>
  <c r="G13" i="3"/>
  <c r="G14" i="3"/>
  <c r="G10" i="3"/>
  <c r="F11" i="3"/>
  <c r="G9" i="3" s="1"/>
  <c r="F12" i="3"/>
  <c r="F13" i="3"/>
  <c r="F14" i="3"/>
  <c r="F10" i="3"/>
  <c r="G8" i="3" s="1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8" i="3"/>
  <c r="C8" i="3" s="1"/>
  <c r="A8" i="3"/>
  <c r="A9" i="3" s="1"/>
  <c r="A10" i="3" s="1"/>
  <c r="A11" i="3" s="1"/>
  <c r="A12" i="3" s="1"/>
  <c r="A13" i="3" s="1"/>
  <c r="A14" i="3" s="1"/>
  <c r="I19" i="9" l="1"/>
  <c r="J19" i="9" s="1"/>
  <c r="F23" i="8"/>
  <c r="H14" i="3"/>
  <c r="I14" i="3" s="1"/>
  <c r="H19" i="3"/>
  <c r="I19" i="3" s="1"/>
  <c r="H8" i="3"/>
  <c r="I8" i="3" s="1"/>
  <c r="H9" i="3"/>
  <c r="I9" i="3" s="1"/>
  <c r="D19" i="4"/>
  <c r="H11" i="4" s="1"/>
  <c r="H15" i="4" s="1"/>
  <c r="F15" i="4" s="1"/>
  <c r="H11" i="3"/>
  <c r="I11" i="3" s="1"/>
  <c r="H13" i="3"/>
  <c r="I13" i="3" s="1"/>
  <c r="H12" i="3"/>
  <c r="I12" i="3" s="1"/>
  <c r="H10" i="3"/>
  <c r="I10" i="3" s="1"/>
  <c r="H19" i="2"/>
  <c r="C19" i="2"/>
  <c r="D13" i="2"/>
  <c r="D12" i="2"/>
  <c r="G11" i="2"/>
  <c r="G15" i="2" s="1"/>
  <c r="G23" i="2" s="1"/>
  <c r="D11" i="2"/>
  <c r="D10" i="2"/>
  <c r="D9" i="2"/>
  <c r="D8" i="2"/>
  <c r="H7" i="2"/>
  <c r="D7" i="2"/>
  <c r="D6" i="2"/>
  <c r="D5" i="2"/>
  <c r="D19" i="2" s="1"/>
  <c r="H11" i="2" s="1"/>
  <c r="H15" i="2" s="1"/>
  <c r="F15" i="2" s="1"/>
  <c r="H23" i="4" l="1"/>
  <c r="F23" i="4" s="1"/>
  <c r="H23" i="2"/>
  <c r="F23" i="2" s="1"/>
</calcChain>
</file>

<file path=xl/sharedStrings.xml><?xml version="1.0" encoding="utf-8"?>
<sst xmlns="http://schemas.openxmlformats.org/spreadsheetml/2006/main" count="526" uniqueCount="134">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</sst>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64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3" priority="39">
      <formula>LEN(TRIM(D3))=0</formula>
    </cfRule>
  </conditionalFormatting>
  <conditionalFormatting sqref="B34 D34:J34">
    <cfRule type="containsBlanks" dxfId="62" priority="32">
      <formula>LEN(TRIM(B34))=0</formula>
    </cfRule>
  </conditionalFormatting>
  <conditionalFormatting sqref="D18">
    <cfRule type="containsBlanks" dxfId="61" priority="34">
      <formula>LEN(TRIM(D18))=0</formula>
    </cfRule>
  </conditionalFormatting>
  <conditionalFormatting sqref="B28:J33">
    <cfRule type="containsBlanks" dxfId="60" priority="33">
      <formula>LEN(TRIM(B28))=0</formula>
    </cfRule>
  </conditionalFormatting>
  <conditionalFormatting sqref="D59:M65">
    <cfRule type="containsBlanks" dxfId="59" priority="30">
      <formula>LEN(TRIM(D59))=0</formula>
    </cfRule>
  </conditionalFormatting>
  <conditionalFormatting sqref="D44:J50">
    <cfRule type="containsBlanks" dxfId="58" priority="31">
      <formula>LEN(TRIM(D44))=0</formula>
    </cfRule>
  </conditionalFormatting>
  <conditionalFormatting sqref="C70">
    <cfRule type="containsBlanks" dxfId="57" priority="29">
      <formula>LEN(TRIM(C70))=0</formula>
    </cfRule>
  </conditionalFormatting>
  <conditionalFormatting sqref="C71">
    <cfRule type="containsBlanks" dxfId="56" priority="28">
      <formula>LEN(TRIM(C71))=0</formula>
    </cfRule>
  </conditionalFormatting>
  <conditionalFormatting sqref="H71">
    <cfRule type="containsBlanks" dxfId="55" priority="27">
      <formula>LEN(TRIM(H71))=0</formula>
    </cfRule>
  </conditionalFormatting>
  <conditionalFormatting sqref="B75:M76">
    <cfRule type="containsBlanks" dxfId="54" priority="26">
      <formula>LEN(TRIM(B75))=0</formula>
    </cfRule>
  </conditionalFormatting>
  <conditionalFormatting sqref="D3:D4">
    <cfRule type="containsBlanks" dxfId="53" priority="21">
      <formula>LEN(TRIM(D3))=0</formula>
    </cfRule>
  </conditionalFormatting>
  <conditionalFormatting sqref="E39">
    <cfRule type="containsBlanks" dxfId="52" priority="22">
      <formula>LEN(TRIM(E39))=0</formula>
    </cfRule>
  </conditionalFormatting>
  <conditionalFormatting sqref="D83:D84">
    <cfRule type="containsBlanks" dxfId="51" priority="20">
      <formula>LEN(TRIM(D83))=0</formula>
    </cfRule>
  </conditionalFormatting>
  <conditionalFormatting sqref="G83:G84">
    <cfRule type="containsBlanks" dxfId="50" priority="19">
      <formula>LEN(TRIM(G83))=0</formula>
    </cfRule>
  </conditionalFormatting>
  <conditionalFormatting sqref="J83:J84">
    <cfRule type="containsBlanks" dxfId="49" priority="18">
      <formula>LEN(TRIM(J83))=0</formula>
    </cfRule>
  </conditionalFormatting>
  <conditionalFormatting sqref="B59:B65">
    <cfRule type="containsBlanks" dxfId="48" priority="17">
      <formula>LEN(TRIM(B59))=0</formula>
    </cfRule>
  </conditionalFormatting>
  <conditionalFormatting sqref="B44:B50">
    <cfRule type="containsBlanks" dxfId="47" priority="16">
      <formula>LEN(TRIM(B44))=0</formula>
    </cfRule>
  </conditionalFormatting>
  <conditionalFormatting sqref="C34">
    <cfRule type="containsBlanks" dxfId="46" priority="15">
      <formula>LEN(TRIM(C34))=0</formula>
    </cfRule>
  </conditionalFormatting>
  <conditionalFormatting sqref="C44">
    <cfRule type="containsBlanks" dxfId="45" priority="14">
      <formula>LEN(TRIM(C44))=0</formula>
    </cfRule>
  </conditionalFormatting>
  <conditionalFormatting sqref="C45">
    <cfRule type="containsBlanks" dxfId="44" priority="13">
      <formula>LEN(TRIM(C45))=0</formula>
    </cfRule>
  </conditionalFormatting>
  <conditionalFormatting sqref="C46">
    <cfRule type="containsBlanks" dxfId="43" priority="12">
      <formula>LEN(TRIM(C46))=0</formula>
    </cfRule>
  </conditionalFormatting>
  <conditionalFormatting sqref="C47">
    <cfRule type="containsBlanks" dxfId="42" priority="11">
      <formula>LEN(TRIM(C47))=0</formula>
    </cfRule>
  </conditionalFormatting>
  <conditionalFormatting sqref="C48">
    <cfRule type="containsBlanks" dxfId="41" priority="10">
      <formula>LEN(TRIM(C48))=0</formula>
    </cfRule>
  </conditionalFormatting>
  <conditionalFormatting sqref="C49">
    <cfRule type="containsBlanks" dxfId="40" priority="9">
      <formula>LEN(TRIM(C49))=0</formula>
    </cfRule>
  </conditionalFormatting>
  <conditionalFormatting sqref="C50">
    <cfRule type="containsBlanks" dxfId="39" priority="8">
      <formula>LEN(TRIM(C50))=0</formula>
    </cfRule>
  </conditionalFormatting>
  <conditionalFormatting sqref="C59">
    <cfRule type="containsBlanks" dxfId="38" priority="7">
      <formula>LEN(TRIM(C59))=0</formula>
    </cfRule>
  </conditionalFormatting>
  <conditionalFormatting sqref="C60">
    <cfRule type="containsBlanks" dxfId="37" priority="6">
      <formula>LEN(TRIM(C60))=0</formula>
    </cfRule>
  </conditionalFormatting>
  <conditionalFormatting sqref="C61">
    <cfRule type="containsBlanks" dxfId="36" priority="5">
      <formula>LEN(TRIM(C61))=0</formula>
    </cfRule>
  </conditionalFormatting>
  <conditionalFormatting sqref="C62">
    <cfRule type="containsBlanks" dxfId="35" priority="4">
      <formula>LEN(TRIM(C62))=0</formula>
    </cfRule>
  </conditionalFormatting>
  <conditionalFormatting sqref="C63">
    <cfRule type="containsBlanks" dxfId="34" priority="3">
      <formula>LEN(TRIM(C63))=0</formula>
    </cfRule>
  </conditionalFormatting>
  <conditionalFormatting sqref="C64">
    <cfRule type="containsBlanks" dxfId="33" priority="2">
      <formula>LEN(TRIM(C64))=0</formula>
    </cfRule>
  </conditionalFormatting>
  <conditionalFormatting sqref="C65">
    <cfRule type="containsBlanks" dxfId="32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G15" sqref="G15:G16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v>80</v>
      </c>
      <c r="D5" s="5">
        <f t="shared" ref="D5:D13" si="0">B5*C5</f>
        <v>10480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v>102</v>
      </c>
      <c r="D6" s="5">
        <f t="shared" si="0"/>
        <v>13362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v>81</v>
      </c>
      <c r="D7" s="5">
        <f t="shared" si="0"/>
        <v>17334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v>66</v>
      </c>
      <c r="D8" s="5">
        <f t="shared" si="0"/>
        <v>14124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v>99</v>
      </c>
      <c r="D9" s="5">
        <f t="shared" si="0"/>
        <v>24849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v>64</v>
      </c>
      <c r="D10" s="5">
        <f t="shared" si="0"/>
        <v>16064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v>81</v>
      </c>
      <c r="D11" s="5">
        <f t="shared" si="0"/>
        <v>23328</v>
      </c>
      <c r="E11" s="17"/>
      <c r="F11" s="17"/>
      <c r="G11" s="18">
        <f>C19</f>
        <v>760</v>
      </c>
      <c r="H11" s="18">
        <f>D19</f>
        <v>163013</v>
      </c>
    </row>
    <row r="12" spans="1:8" ht="15" thickBot="1" x14ac:dyDescent="0.35">
      <c r="A12" s="5" t="s">
        <v>82</v>
      </c>
      <c r="B12" s="5">
        <v>288</v>
      </c>
      <c r="C12" s="5">
        <v>99</v>
      </c>
      <c r="D12" s="5">
        <f t="shared" si="0"/>
        <v>28512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v>88</v>
      </c>
      <c r="D13" s="5">
        <f t="shared" si="0"/>
        <v>14960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285.74158690176324</v>
      </c>
      <c r="G15" s="13">
        <f>G7+G11</f>
        <v>9925</v>
      </c>
      <c r="H15" s="13">
        <f>H11+H7</f>
        <v>2835985.25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760</v>
      </c>
      <c r="D19" s="9">
        <f>SUM(D5:D13)+SUM(D16:D18)</f>
        <v>163013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285.67096256684493</v>
      </c>
      <c r="G23" s="13">
        <f>G15+G19</f>
        <v>14025</v>
      </c>
      <c r="H23" s="13">
        <f>H19+H15</f>
        <v>4006535.25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D29" sqref="D29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v>80</v>
      </c>
      <c r="D5" s="5">
        <f t="shared" ref="D5:D13" si="0">B5*C5</f>
        <v>10480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v>102</v>
      </c>
      <c r="D6" s="5">
        <f t="shared" si="0"/>
        <v>13362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v>81</v>
      </c>
      <c r="D7" s="5">
        <f t="shared" si="0"/>
        <v>17334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v>66</v>
      </c>
      <c r="D8" s="5">
        <f t="shared" si="0"/>
        <v>14124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v>99</v>
      </c>
      <c r="D9" s="5">
        <f t="shared" si="0"/>
        <v>24849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v>64</v>
      </c>
      <c r="D10" s="5">
        <f t="shared" si="0"/>
        <v>16064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v>81</v>
      </c>
      <c r="D11" s="5">
        <f t="shared" si="0"/>
        <v>23328</v>
      </c>
      <c r="E11" s="17"/>
      <c r="F11" s="17"/>
      <c r="G11" s="18">
        <f>C19</f>
        <v>760</v>
      </c>
      <c r="H11" s="18">
        <f>D19</f>
        <v>149351</v>
      </c>
    </row>
    <row r="12" spans="1:8" ht="15" thickBot="1" x14ac:dyDescent="0.35">
      <c r="A12" s="5" t="s">
        <v>82</v>
      </c>
      <c r="B12" s="5">
        <v>150</v>
      </c>
      <c r="C12" s="5">
        <v>99</v>
      </c>
      <c r="D12" s="5">
        <f t="shared" si="0"/>
        <v>14850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v>88</v>
      </c>
      <c r="D13" s="5">
        <f t="shared" si="0"/>
        <v>14960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284.36506297229221</v>
      </c>
      <c r="G15" s="13">
        <f>G7+G11</f>
        <v>9925</v>
      </c>
      <c r="H15" s="13">
        <f>H11+H7</f>
        <v>2822323.25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760</v>
      </c>
      <c r="D19" s="9">
        <f>SUM(D5:D13)+SUM(D16:D18)</f>
        <v>149351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284.69684491978609</v>
      </c>
      <c r="G23" s="13">
        <f>G15+G19</f>
        <v>14025</v>
      </c>
      <c r="H23" s="13">
        <f>H19+H15</f>
        <v>3992873.25</v>
      </c>
    </row>
    <row r="24" spans="1:8" x14ac:dyDescent="0.3">
      <c r="E24" s="13"/>
      <c r="F24" s="16"/>
      <c r="G24" s="13"/>
      <c r="H24" s="13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tabSelected="1" workbookViewId="0">
      <selection activeCell="K7" sqref="K7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'Flight Data'!L59</f>
        <v>778</v>
      </c>
      <c r="C8">
        <f>'Weight&amp;Balance'!G$19-B8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F10</f>
        <v>912479.99999999988</v>
      </c>
      <c r="H8">
        <f>((F8-G8)/(D8-E8))*(C8-E8)+G8</f>
        <v>925067.73999999987</v>
      </c>
      <c r="I8">
        <f>('Weight&amp;Balance'!H$15+H8)/('Weight&amp;Balance'!G$15+'Changing CG'!C8)</f>
        <v>283.91733902015551</v>
      </c>
      <c r="J8">
        <f>(I8-B$1)/B$2</f>
        <v>0.39957198098487906</v>
      </c>
    </row>
    <row r="9" spans="1:10" x14ac:dyDescent="0.3">
      <c r="A9">
        <f>A8+1</f>
        <v>2</v>
      </c>
      <c r="B9">
        <f>'Flight Data'!L60</f>
        <v>797</v>
      </c>
      <c r="C9">
        <f>'Weight&amp;Balance'!G$19-B9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912479.99999999988</v>
      </c>
      <c r="H9">
        <f t="shared" ref="H9:H19" si="1">((F9-G9)/(D9-E9))*(C9-E9)+G9</f>
        <v>914196.50999999989</v>
      </c>
      <c r="I9">
        <f>('Weight&amp;Balance'!H$15+H9)/('Weight&amp;Balance'!G$15+'Changing CG'!C9)</f>
        <v>283.50330813426064</v>
      </c>
      <c r="J9">
        <f t="shared" ref="J9:J14" si="2">(I9-B$1)/B$2</f>
        <v>0.39445922615782453</v>
      </c>
    </row>
    <row r="10" spans="1:10" x14ac:dyDescent="0.3">
      <c r="A10">
        <f t="shared" ref="A10:A14" si="3">A9+1</f>
        <v>3</v>
      </c>
      <c r="B10">
        <f>'Flight Data'!L61</f>
        <v>826</v>
      </c>
      <c r="C10">
        <f>'Weight&amp;Balance'!G$19-B10</f>
        <v>3274</v>
      </c>
      <c r="D10">
        <v>3300</v>
      </c>
      <c r="E10">
        <f t="shared" si="0"/>
        <v>3200</v>
      </c>
      <c r="F10">
        <f>9124.8*100</f>
        <v>912479.99999999988</v>
      </c>
      <c r="G10">
        <f>8839.04*100</f>
        <v>883904.00000000012</v>
      </c>
      <c r="H10">
        <f t="shared" si="1"/>
        <v>905050.24</v>
      </c>
      <c r="I10">
        <f>('Weight&amp;Balance'!H$15+H10)/('Weight&amp;Balance'!G$15+'Changing CG'!C10)</f>
        <v>283.4332517614971</v>
      </c>
      <c r="J10">
        <f t="shared" si="2"/>
        <v>0.39359411906022596</v>
      </c>
    </row>
    <row r="11" spans="1:10" x14ac:dyDescent="0.3">
      <c r="A11">
        <f t="shared" si="3"/>
        <v>4</v>
      </c>
      <c r="B11">
        <f>'Flight Data'!L62</f>
        <v>839</v>
      </c>
      <c r="C11">
        <f>'Weight&amp;Balance'!G$19-B11</f>
        <v>3261</v>
      </c>
      <c r="D11">
        <v>3300</v>
      </c>
      <c r="E11">
        <f t="shared" si="0"/>
        <v>3200</v>
      </c>
      <c r="F11">
        <f t="shared" ref="F11:F14" si="4">9124.8*100</f>
        <v>912479.99999999988</v>
      </c>
      <c r="G11">
        <f t="shared" ref="G11:G14" si="5">8839.04*100</f>
        <v>883904.00000000012</v>
      </c>
      <c r="H11">
        <f t="shared" si="1"/>
        <v>901335.36</v>
      </c>
      <c r="I11">
        <f>('Weight&amp;Balance'!H$15+H11)/('Weight&amp;Balance'!G$15+'Changing CG'!C11)</f>
        <v>283.43095783406642</v>
      </c>
      <c r="J11">
        <f t="shared" si="2"/>
        <v>0.39356579197414687</v>
      </c>
    </row>
    <row r="12" spans="1:10" x14ac:dyDescent="0.3">
      <c r="A12">
        <f t="shared" si="3"/>
        <v>5</v>
      </c>
      <c r="B12">
        <f>'Flight Data'!L63</f>
        <v>857</v>
      </c>
      <c r="C12">
        <f>'Weight&amp;Balance'!G$19-B12</f>
        <v>3243</v>
      </c>
      <c r="D12">
        <v>3300</v>
      </c>
      <c r="E12">
        <f t="shared" si="0"/>
        <v>3200</v>
      </c>
      <c r="F12">
        <f t="shared" si="4"/>
        <v>912479.99999999988</v>
      </c>
      <c r="G12">
        <f t="shared" si="5"/>
        <v>883904.00000000012</v>
      </c>
      <c r="H12">
        <f t="shared" si="1"/>
        <v>896191.68</v>
      </c>
      <c r="I12">
        <f>('Weight&amp;Balance'!H$15+H12)/('Weight&amp;Balance'!G$15+'Changing CG'!C12)</f>
        <v>283.42777414945323</v>
      </c>
      <c r="J12">
        <f t="shared" si="2"/>
        <v>0.3935264775185629</v>
      </c>
    </row>
    <row r="13" spans="1:10" x14ac:dyDescent="0.3">
      <c r="A13">
        <f t="shared" si="3"/>
        <v>6</v>
      </c>
      <c r="B13">
        <f>'Flight Data'!L64</f>
        <v>872</v>
      </c>
      <c r="C13">
        <f>'Weight&amp;Balance'!G$19-B13</f>
        <v>3228</v>
      </c>
      <c r="D13">
        <v>3300</v>
      </c>
      <c r="E13">
        <f t="shared" si="0"/>
        <v>3200</v>
      </c>
      <c r="F13">
        <f t="shared" si="4"/>
        <v>912479.99999999988</v>
      </c>
      <c r="G13">
        <f t="shared" si="5"/>
        <v>883904.00000000012</v>
      </c>
      <c r="H13">
        <f t="shared" si="1"/>
        <v>891905.28</v>
      </c>
      <c r="I13">
        <f>('Weight&amp;Balance'!H$15+H13)/('Weight&amp;Balance'!G$15+'Changing CG'!C13)</f>
        <v>283.42511442256523</v>
      </c>
      <c r="J13">
        <f t="shared" si="2"/>
        <v>0.39349363327445325</v>
      </c>
    </row>
    <row r="14" spans="1:10" x14ac:dyDescent="0.3">
      <c r="A14">
        <f t="shared" si="3"/>
        <v>7</v>
      </c>
      <c r="B14">
        <f>'Flight Data'!L65</f>
        <v>889</v>
      </c>
      <c r="C14">
        <f>'Weight&amp;Balance'!G$19-B14</f>
        <v>3211</v>
      </c>
      <c r="D14">
        <v>3300</v>
      </c>
      <c r="E14">
        <f t="shared" si="0"/>
        <v>3200</v>
      </c>
      <c r="F14">
        <f t="shared" si="4"/>
        <v>912479.99999999988</v>
      </c>
      <c r="G14">
        <f t="shared" si="5"/>
        <v>883904.00000000012</v>
      </c>
      <c r="H14">
        <f t="shared" si="1"/>
        <v>887047.3600000001</v>
      </c>
      <c r="I14">
        <f>('Weight&amp;Balance'!H$15+H14)/('Weight&amp;Balance'!G$15+'Changing CG'!C14)</f>
        <v>283.4220927222899</v>
      </c>
      <c r="J14">
        <f t="shared" si="2"/>
        <v>0.39345631911941098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('Sartaj Moved Weight and Balance'!H$15+'Changing CG'!H18)/('Sartaj Moved Weight and Balance'!G$15+'Changing CG'!C18)</f>
        <v>284.55533668878212</v>
      </c>
      <c r="J18">
        <f>(I18-B$1)/B$2</f>
        <v>0.4074504407110659</v>
      </c>
    </row>
    <row r="19" spans="1:10" x14ac:dyDescent="0.3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284.55238972555617</v>
      </c>
      <c r="J19">
        <f>(I19-B$1)/B$2</f>
        <v>0.40741404946352389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61" workbookViewId="0">
      <selection activeCell="D18" sqref="D18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1" priority="36">
      <formula>LEN(TRIM(D3))=0</formula>
    </cfRule>
  </conditionalFormatting>
  <conditionalFormatting sqref="B34">
    <cfRule type="containsBlanks" dxfId="30" priority="33">
      <formula>LEN(TRIM(B34))=0</formula>
    </cfRule>
  </conditionalFormatting>
  <conditionalFormatting sqref="D18">
    <cfRule type="containsBlanks" dxfId="29" priority="35">
      <formula>LEN(TRIM(D18))=0</formula>
    </cfRule>
  </conditionalFormatting>
  <conditionalFormatting sqref="B28:C33">
    <cfRule type="containsBlanks" dxfId="28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N18" sqref="N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v>95</v>
      </c>
      <c r="D5" s="5">
        <f t="shared" ref="D5:D13" si="0">B5*C5</f>
        <v>12445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v>92</v>
      </c>
      <c r="D6" s="5">
        <f t="shared" si="0"/>
        <v>12052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v>66</v>
      </c>
      <c r="D7" s="5">
        <f t="shared" si="0"/>
        <v>14124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v>61</v>
      </c>
      <c r="D8" s="5">
        <f t="shared" si="0"/>
        <v>13054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v>75</v>
      </c>
      <c r="D9" s="5">
        <f t="shared" si="0"/>
        <v>18825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v>78</v>
      </c>
      <c r="D10" s="5">
        <f t="shared" si="0"/>
        <v>19578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v>86</v>
      </c>
      <c r="D11" s="5">
        <f t="shared" si="0"/>
        <v>24768</v>
      </c>
      <c r="E11" s="17"/>
      <c r="F11" s="17"/>
      <c r="G11" s="18">
        <f>C19</f>
        <v>695</v>
      </c>
      <c r="H11" s="18">
        <f>D19</f>
        <v>147010</v>
      </c>
    </row>
    <row r="12" spans="1:8" ht="15" thickBot="1" x14ac:dyDescent="0.35">
      <c r="A12" s="5" t="s">
        <v>82</v>
      </c>
      <c r="B12" s="5">
        <v>288</v>
      </c>
      <c r="C12" s="2">
        <v>68</v>
      </c>
      <c r="D12" s="5">
        <f t="shared" si="0"/>
        <v>19584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v>74</v>
      </c>
      <c r="D13" s="5">
        <f t="shared" si="0"/>
        <v>12580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286.0022565922921</v>
      </c>
      <c r="G15" s="13">
        <f>G7+G11</f>
        <v>9860</v>
      </c>
      <c r="H15" s="13">
        <f>H11+H7</f>
        <v>2819982.25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695</v>
      </c>
      <c r="D19" s="9">
        <f>SUM(D5:D13)+SUM(D16:D18)</f>
        <v>147010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286.88226096333574</v>
      </c>
      <c r="G23" s="13">
        <f>G15+G19</f>
        <v>13910</v>
      </c>
      <c r="H23" s="13">
        <f>H19+H15</f>
        <v>3990532.25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5:H6"/>
    <mergeCell ref="E7:E8"/>
    <mergeCell ref="F7:F8"/>
    <mergeCell ref="G7:G8"/>
    <mergeCell ref="H7:H8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B13" sqref="B13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v>95</v>
      </c>
      <c r="D5" s="5">
        <f t="shared" ref="D5:D13" si="0">B5*C5</f>
        <v>12445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v>92</v>
      </c>
      <c r="D6" s="5">
        <f t="shared" si="0"/>
        <v>12052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v>66</v>
      </c>
      <c r="D7" s="5">
        <f t="shared" si="0"/>
        <v>14124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v>61</v>
      </c>
      <c r="D8" s="5">
        <f t="shared" si="0"/>
        <v>13054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v>75</v>
      </c>
      <c r="D9" s="5">
        <f t="shared" si="0"/>
        <v>18825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v>78</v>
      </c>
      <c r="D10" s="5">
        <f t="shared" si="0"/>
        <v>19578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v>86</v>
      </c>
      <c r="D11" s="5">
        <f t="shared" si="0"/>
        <v>24768</v>
      </c>
      <c r="E11" s="17"/>
      <c r="F11" s="17"/>
      <c r="G11" s="18">
        <f>C19</f>
        <v>695</v>
      </c>
      <c r="H11" s="18">
        <f>D19</f>
        <v>137626</v>
      </c>
    </row>
    <row r="12" spans="1:8" ht="15" thickBot="1" x14ac:dyDescent="0.35">
      <c r="A12" s="5" t="s">
        <v>82</v>
      </c>
      <c r="B12" s="5">
        <v>150</v>
      </c>
      <c r="C12" s="2">
        <v>68</v>
      </c>
      <c r="D12" s="5">
        <f t="shared" si="0"/>
        <v>10200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v>74</v>
      </c>
      <c r="D13" s="5">
        <f t="shared" si="0"/>
        <v>12580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285.05053245436108</v>
      </c>
      <c r="G15" s="13">
        <f>G7+G11</f>
        <v>9860</v>
      </c>
      <c r="H15" s="13">
        <f>H11+H7</f>
        <v>2810598.25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695</v>
      </c>
      <c r="D19" s="9">
        <f>SUM(D5:D13)+SUM(D16:D18)</f>
        <v>137626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286.20763838964774</v>
      </c>
      <c r="G23" s="13">
        <f>G15+G19</f>
        <v>13910</v>
      </c>
      <c r="H23" s="13">
        <f>H19+H15</f>
        <v>3981148.25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5:H6"/>
    <mergeCell ref="E7:E8"/>
    <mergeCell ref="F7:F8"/>
    <mergeCell ref="G7:G8"/>
    <mergeCell ref="H7:H8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J19"/>
  <sheetViews>
    <sheetView workbookViewId="0">
      <selection activeCell="C8" sqref="C8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F10</f>
        <v>969696.99999999988</v>
      </c>
      <c r="H8">
        <f>((F8-G8)/(D8-E8))*(C8-E8)+G8</f>
        <v>969696.99999999988</v>
      </c>
      <c r="I8">
        <f>('Reference Weight&amp;Balance'!H$15+H8)/('Reference Weight&amp;Balance'!G$15+'Changing CG Reference'!C8)</f>
        <v>286.09989808244001</v>
      </c>
      <c r="J8">
        <f>(I8-B$1)/B$2</f>
        <v>0.42652380936576934</v>
      </c>
    </row>
    <row r="9" spans="1:10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912479.99999999988</v>
      </c>
      <c r="H9">
        <f t="shared" ref="H9:H19" si="1">((F9-G9)/(D9-E9))*(C9-E9)+G9</f>
        <v>944521.5199999999</v>
      </c>
      <c r="I9">
        <f>('Reference Weight&amp;Balance'!H$15+H9)/('Reference Weight&amp;Balance'!G$15+'Changing CG Reference'!C9)</f>
        <v>284.84441358958838</v>
      </c>
      <c r="J9">
        <f t="shared" ref="J9:J14" si="2">(I9-B$1)/B$2</f>
        <v>0.4110201727536229</v>
      </c>
    </row>
    <row r="10" spans="1:10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8839.04*100</f>
        <v>883904.00000000012</v>
      </c>
      <c r="H10">
        <f t="shared" si="1"/>
        <v>901062.60000000009</v>
      </c>
      <c r="I10">
        <f>('Reference Weight&amp;Balance'!H$15+H10)/('Reference Weight&amp;Balance'!G$15+'Changing CG Reference'!C10)</f>
        <v>282.32510242792108</v>
      </c>
      <c r="J10">
        <f t="shared" si="2"/>
        <v>0.37990988426674582</v>
      </c>
    </row>
    <row r="11" spans="1:10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 t="shared" ref="F11:F14" si="4">9124.8*100</f>
        <v>912479.99999999988</v>
      </c>
      <c r="G11">
        <f t="shared" ref="G11:G14" si="5">8839.04*100</f>
        <v>883904.00000000012</v>
      </c>
      <c r="H11">
        <f t="shared" si="1"/>
        <v>911051.2</v>
      </c>
      <c r="I11">
        <f>('Reference Weight&amp;Balance'!H$15+H11)/('Reference Weight&amp;Balance'!G$15+'Changing CG Reference'!C11)</f>
        <v>283.62093880653742</v>
      </c>
      <c r="J11">
        <f t="shared" si="2"/>
        <v>0.39591181534375675</v>
      </c>
    </row>
    <row r="12" spans="1:10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si="4"/>
        <v>912479.99999999988</v>
      </c>
      <c r="G12">
        <f t="shared" si="5"/>
        <v>883904.00000000012</v>
      </c>
      <c r="H12">
        <f t="shared" si="1"/>
        <v>898763.52</v>
      </c>
      <c r="I12">
        <f>('Reference Weight&amp;Balance'!H$15+H12)/('Reference Weight&amp;Balance'!G$15+'Changing CG Reference'!C12)</f>
        <v>283.61392388651615</v>
      </c>
      <c r="J12">
        <f t="shared" si="2"/>
        <v>0.39582519000390398</v>
      </c>
    </row>
    <row r="13" spans="1:10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4"/>
        <v>912479.99999999988</v>
      </c>
      <c r="G13">
        <f t="shared" si="5"/>
        <v>883904.00000000012</v>
      </c>
      <c r="H13">
        <f t="shared" si="1"/>
        <v>891048</v>
      </c>
      <c r="I13">
        <f>('Reference Weight&amp;Balance'!H$15+H13)/('Reference Weight&amp;Balance'!G$15+'Changing CG Reference'!C13)</f>
        <v>283.60949560565535</v>
      </c>
      <c r="J13">
        <f t="shared" si="2"/>
        <v>0.39577050636768768</v>
      </c>
    </row>
    <row r="14" spans="1:10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4"/>
        <v>912479.99999999988</v>
      </c>
      <c r="G14">
        <f t="shared" si="5"/>
        <v>883904.00000000012</v>
      </c>
      <c r="H14">
        <f t="shared" si="1"/>
        <v>885047.04000000015</v>
      </c>
      <c r="I14">
        <f>('Reference Weight&amp;Balance'!H$15+H14)/('Reference Weight&amp;Balance'!G$15+'Changing CG Reference'!C14)</f>
        <v>283.60603873239438</v>
      </c>
      <c r="J14">
        <f t="shared" si="2"/>
        <v>0.39572781837977744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Moved Weight&amp;Balance'!H$15+H18)/('Reference Moved Weight&amp;Balance'!G$15+'Changing CG Reference'!C18)</f>
        <v>285.07327423440017</v>
      </c>
      <c r="J18">
        <f>(I18-B$1)/B$2</f>
        <v>0.41384631062484772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285.07174230769232</v>
      </c>
      <c r="J19">
        <f>(I19-B$1)/B$2</f>
        <v>0.41382739327849238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 Data</vt:lpstr>
      <vt:lpstr>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2020-03-21T20:10:02Z</dcterms:modified>
</cp:coreProperties>
</file>