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0BFD8C3A-886B-4D2A-BB9E-B71C04EA7192}" xr6:coauthVersionLast="44" xr6:coauthVersionMax="44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Flight Data" sheetId="1" r:id="rId1"/>
    <sheet name="Weight&amp;Balance" sheetId="2" r:id="rId2"/>
    <sheet name="Sartaj Moved Weight and Balance" sheetId="4" r:id="rId3"/>
    <sheet name="Changing CG" sheetId="3" r:id="rId4"/>
    <sheet name="Reference Data" sheetId="6" r:id="rId5"/>
    <sheet name="Reference Weight&amp;Balance" sheetId="8" r:id="rId6"/>
    <sheet name="Reference Moved Weight&amp;Balance" sheetId="10" r:id="rId7"/>
    <sheet name="Changing CG Referenc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9" l="1"/>
  <c r="G12" i="9"/>
  <c r="G13" i="9"/>
  <c r="G14" i="9"/>
  <c r="G10" i="9"/>
  <c r="F12" i="9"/>
  <c r="F13" i="9"/>
  <c r="F14" i="9"/>
  <c r="F11" i="9"/>
  <c r="G8" i="9"/>
  <c r="G11" i="3"/>
  <c r="G12" i="3"/>
  <c r="G13" i="3"/>
  <c r="G14" i="3"/>
  <c r="G10" i="3"/>
  <c r="G8" i="3"/>
  <c r="F11" i="3"/>
  <c r="F12" i="3"/>
  <c r="F13" i="3"/>
  <c r="F14" i="3"/>
  <c r="F10" i="3"/>
  <c r="B18" i="3"/>
  <c r="G15" i="4" l="1"/>
  <c r="H15" i="4"/>
  <c r="F15" i="4"/>
  <c r="B14" i="3"/>
  <c r="G23" i="4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C19" i="9" l="1"/>
  <c r="C18" i="9"/>
  <c r="B19" i="9"/>
  <c r="B18" i="9"/>
  <c r="H19" i="10"/>
  <c r="G19" i="10"/>
  <c r="C19" i="10"/>
  <c r="D13" i="10"/>
  <c r="D12" i="10"/>
  <c r="G11" i="10"/>
  <c r="G15" i="10" s="1"/>
  <c r="G23" i="10" s="1"/>
  <c r="D11" i="10"/>
  <c r="D10" i="10"/>
  <c r="D9" i="10"/>
  <c r="D8" i="10"/>
  <c r="H7" i="10"/>
  <c r="D7" i="10"/>
  <c r="D6" i="10"/>
  <c r="D5" i="10"/>
  <c r="F10" i="9"/>
  <c r="C9" i="9"/>
  <c r="C10" i="9"/>
  <c r="C11" i="9"/>
  <c r="C12" i="9"/>
  <c r="C13" i="9"/>
  <c r="C14" i="9"/>
  <c r="C8" i="9"/>
  <c r="B9" i="9"/>
  <c r="B10" i="9"/>
  <c r="B11" i="9"/>
  <c r="B12" i="9"/>
  <c r="B13" i="9"/>
  <c r="B14" i="9"/>
  <c r="B8" i="9"/>
  <c r="G19" i="9"/>
  <c r="F19" i="9"/>
  <c r="G18" i="9"/>
  <c r="F18" i="9"/>
  <c r="E14" i="9"/>
  <c r="E13" i="9"/>
  <c r="E12" i="9"/>
  <c r="E11" i="9"/>
  <c r="E10" i="9"/>
  <c r="A10" i="9"/>
  <c r="A11" i="9" s="1"/>
  <c r="A12" i="9" s="1"/>
  <c r="A13" i="9" s="1"/>
  <c r="A14" i="9" s="1"/>
  <c r="G9" i="9"/>
  <c r="F9" i="9"/>
  <c r="E9" i="9"/>
  <c r="A9" i="9"/>
  <c r="F8" i="9"/>
  <c r="E8" i="9"/>
  <c r="A8" i="9"/>
  <c r="G19" i="8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D19" i="10" l="1"/>
  <c r="H11" i="10" s="1"/>
  <c r="H15" i="10" s="1"/>
  <c r="F15" i="10" s="1"/>
  <c r="D19" i="8"/>
  <c r="H11" i="8" s="1"/>
  <c r="H15" i="8" s="1"/>
  <c r="H18" i="9"/>
  <c r="I18" i="9" s="1"/>
  <c r="J18" i="9" s="1"/>
  <c r="H23" i="10"/>
  <c r="F23" i="10" s="1"/>
  <c r="H12" i="9"/>
  <c r="H10" i="9"/>
  <c r="H13" i="9"/>
  <c r="H11" i="9"/>
  <c r="H14" i="9"/>
  <c r="H19" i="9"/>
  <c r="H9" i="9"/>
  <c r="H8" i="9"/>
  <c r="G23" i="8"/>
  <c r="G19" i="3"/>
  <c r="F19" i="3"/>
  <c r="G18" i="3"/>
  <c r="F18" i="3"/>
  <c r="B19" i="3"/>
  <c r="C19" i="3" s="1"/>
  <c r="C18" i="3"/>
  <c r="H18" i="3" s="1"/>
  <c r="I18" i="3" s="1"/>
  <c r="H19" i="4"/>
  <c r="C19" i="4"/>
  <c r="G11" i="4" s="1"/>
  <c r="D13" i="4"/>
  <c r="D11" i="4"/>
  <c r="D10" i="4"/>
  <c r="D9" i="4"/>
  <c r="D8" i="4"/>
  <c r="H7" i="4"/>
  <c r="D7" i="4"/>
  <c r="D6" i="4"/>
  <c r="D5" i="4"/>
  <c r="G9" i="3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C14" i="3"/>
  <c r="B8" i="3"/>
  <c r="C8" i="3" s="1"/>
  <c r="A8" i="3"/>
  <c r="A9" i="3" s="1"/>
  <c r="A10" i="3" s="1"/>
  <c r="A11" i="3" s="1"/>
  <c r="A12" i="3" s="1"/>
  <c r="A13" i="3" s="1"/>
  <c r="A14" i="3" s="1"/>
  <c r="I11" i="9" l="1"/>
  <c r="J11" i="9" s="1"/>
  <c r="I10" i="9"/>
  <c r="J10" i="9" s="1"/>
  <c r="I13" i="9"/>
  <c r="J13" i="9" s="1"/>
  <c r="I14" i="9"/>
  <c r="J14" i="9" s="1"/>
  <c r="I8" i="9"/>
  <c r="J8" i="9" s="1"/>
  <c r="I9" i="9"/>
  <c r="J9" i="9" s="1"/>
  <c r="H23" i="8"/>
  <c r="F23" i="8" s="1"/>
  <c r="F15" i="8"/>
  <c r="I12" i="9"/>
  <c r="J12" i="9" s="1"/>
  <c r="I19" i="9"/>
  <c r="J19" i="9" s="1"/>
  <c r="H14" i="3"/>
  <c r="H19" i="3"/>
  <c r="H8" i="3"/>
  <c r="I8" i="3" s="1"/>
  <c r="H9" i="3"/>
  <c r="D19" i="4"/>
  <c r="H11" i="4" s="1"/>
  <c r="H11" i="3"/>
  <c r="H13" i="3"/>
  <c r="H12" i="3"/>
  <c r="H10" i="3"/>
  <c r="H19" i="2"/>
  <c r="C19" i="2"/>
  <c r="D13" i="2"/>
  <c r="D12" i="2"/>
  <c r="G11" i="2"/>
  <c r="G15" i="2" s="1"/>
  <c r="G23" i="2" s="1"/>
  <c r="D11" i="2"/>
  <c r="D10" i="2"/>
  <c r="D9" i="2"/>
  <c r="D8" i="2"/>
  <c r="H7" i="2"/>
  <c r="D7" i="2"/>
  <c r="D6" i="2"/>
  <c r="D5" i="2"/>
  <c r="D19" i="2" l="1"/>
  <c r="H11" i="2" s="1"/>
  <c r="H15" i="2" s="1"/>
  <c r="F15" i="2" s="1"/>
  <c r="I10" i="3"/>
  <c r="J10" i="3" s="1"/>
  <c r="I13" i="3"/>
  <c r="J13" i="3" s="1"/>
  <c r="I11" i="3"/>
  <c r="J11" i="3" s="1"/>
  <c r="J8" i="3"/>
  <c r="J18" i="3"/>
  <c r="I19" i="3"/>
  <c r="J19" i="3" s="1"/>
  <c r="H23" i="4"/>
  <c r="F23" i="4" s="1"/>
  <c r="H23" i="2"/>
  <c r="F23" i="2" s="1"/>
  <c r="I14" i="3" l="1"/>
  <c r="J14" i="3" s="1"/>
  <c r="I9" i="3"/>
  <c r="J9" i="3" s="1"/>
  <c r="I12" i="3"/>
  <c r="J12" i="3" s="1"/>
</calcChain>
</file>

<file path=xl/sharedStrings.xml><?xml version="1.0" encoding="utf-8"?>
<sst xmlns="http://schemas.openxmlformats.org/spreadsheetml/2006/main" count="526" uniqueCount="134">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</sst>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71"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A14" sqref="A14:D15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7"/>
      <c r="F11" s="17"/>
      <c r="G11" s="18">
        <f>C19</f>
        <v>1675.8000000000002</v>
      </c>
      <c r="H11" s="18">
        <f>D19</f>
        <v>359443.66500000004</v>
      </c>
    </row>
    <row r="12" spans="1:8" ht="15" thickBot="1" x14ac:dyDescent="0.35">
      <c r="A12" s="5" t="s">
        <v>82</v>
      </c>
      <c r="B12" s="5">
        <v>288</v>
      </c>
      <c r="C12" s="5">
        <f>2.205*99</f>
        <v>218.29500000000002</v>
      </c>
      <c r="D12" s="5">
        <f t="shared" si="0"/>
        <v>62868.960000000006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279.72252186185523</v>
      </c>
      <c r="G15" s="13">
        <f>G7+G11</f>
        <v>10840.8</v>
      </c>
      <c r="H15" s="13">
        <f>H11+H7</f>
        <v>3032415.915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359443.66500000004</v>
      </c>
      <c r="E19" s="17"/>
      <c r="F19" s="17"/>
      <c r="G19" s="18">
        <v>4100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281.30795640126365</v>
      </c>
      <c r="G23" s="13">
        <f>G15+G19</f>
        <v>14940.8</v>
      </c>
      <c r="H23" s="13">
        <f>H19+H15</f>
        <v>4202965.915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7"/>
      <c r="F11" s="17"/>
      <c r="G11" s="18">
        <f>C19</f>
        <v>1675.8000000000002</v>
      </c>
      <c r="H11" s="18">
        <f>D19</f>
        <v>329318.95500000002</v>
      </c>
    </row>
    <row r="12" spans="1:8" ht="15" thickBot="1" x14ac:dyDescent="0.35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276.94369465353111</v>
      </c>
      <c r="G15" s="13">
        <f>G7+G11</f>
        <v>10840.8</v>
      </c>
      <c r="H15" s="13">
        <f>H11+H7</f>
        <v>3002291.2050000001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17"/>
      <c r="F19" s="17"/>
      <c r="G19" s="18">
        <v>4100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279.29168484953954</v>
      </c>
      <c r="G23" s="13">
        <f>G15+G19</f>
        <v>14940.8</v>
      </c>
      <c r="H23" s="13">
        <f>H19+H15</f>
        <v>4172841.2050000001</v>
      </c>
    </row>
    <row r="24" spans="1:8" x14ac:dyDescent="0.3">
      <c r="E24" s="13"/>
      <c r="F24" s="16"/>
      <c r="G24" s="13"/>
      <c r="H24" s="13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19"/>
  <sheetViews>
    <sheetView workbookViewId="0">
      <selection activeCell="I23" sqref="I23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'Flight Data'!L59</f>
        <v>778</v>
      </c>
      <c r="C8">
        <f>'Weight&amp;Balance'!G$19-B8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9410.62*100</f>
        <v>941062.00000000012</v>
      </c>
      <c r="H8">
        <f>((F8-G8)/(D8-E8))*(C8-E8)+G8</f>
        <v>947361.70000000007</v>
      </c>
      <c r="I8">
        <f>('Weight&amp;Balance'!H$15+H8)/('Weight&amp;Balance'!G$15+'Changing CG'!C8)</f>
        <v>281.00217577032794</v>
      </c>
      <c r="J8">
        <f>(I8-B$1)/B$2</f>
        <v>0.36357342270101178</v>
      </c>
    </row>
    <row r="9" spans="1:10" x14ac:dyDescent="0.3">
      <c r="A9">
        <f>A8+1</f>
        <v>2</v>
      </c>
      <c r="B9">
        <f>'Flight Data'!L60</f>
        <v>797</v>
      </c>
      <c r="C9">
        <f>'Weight&amp;Balance'!G$19-B9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941921.05000000016</v>
      </c>
      <c r="I9">
        <f>('Weight&amp;Balance'!H$15+H9)/('Weight&amp;Balance'!G$15+'Changing CG'!C9)</f>
        <v>280.9949917985266</v>
      </c>
      <c r="J9">
        <f t="shared" ref="J9:J14" si="2">(I9-B$1)/B$2</f>
        <v>0.36348470978669539</v>
      </c>
    </row>
    <row r="10" spans="1:10" x14ac:dyDescent="0.3">
      <c r="A10">
        <f t="shared" ref="A10:A14" si="3">A9+1</f>
        <v>3</v>
      </c>
      <c r="B10">
        <f>'Flight Data'!L61</f>
        <v>826</v>
      </c>
      <c r="C10">
        <f>'Weight&amp;Balance'!G$19-B10</f>
        <v>3274</v>
      </c>
      <c r="D10">
        <v>3300</v>
      </c>
      <c r="E10">
        <f t="shared" si="0"/>
        <v>3200</v>
      </c>
      <c r="F10">
        <f>9410.62*100</f>
        <v>941062.00000000012</v>
      </c>
      <c r="G10">
        <f>9124.8*100</f>
        <v>912479.99999999988</v>
      </c>
      <c r="H10">
        <f t="shared" si="1"/>
        <v>933630.68</v>
      </c>
      <c r="I10">
        <f>('Weight&amp;Balance'!H$15+H10)/('Weight&amp;Balance'!G$15+'Changing CG'!C10)</f>
        <v>280.98496578059911</v>
      </c>
      <c r="J10">
        <f t="shared" si="2"/>
        <v>0.36336090121757358</v>
      </c>
    </row>
    <row r="11" spans="1:10" x14ac:dyDescent="0.3">
      <c r="A11">
        <f t="shared" si="3"/>
        <v>4</v>
      </c>
      <c r="B11">
        <f>'Flight Data'!L62</f>
        <v>839</v>
      </c>
      <c r="C11">
        <f>'Weight&amp;Balance'!G$19-B11</f>
        <v>3261</v>
      </c>
      <c r="D11">
        <v>3300</v>
      </c>
      <c r="E11">
        <f t="shared" si="0"/>
        <v>3200</v>
      </c>
      <c r="F11">
        <f t="shared" ref="F11:F14" si="4">9410.62*100</f>
        <v>941062.00000000012</v>
      </c>
      <c r="G11">
        <f t="shared" ref="G11:G14" si="5">9124.8*100</f>
        <v>912479.99999999988</v>
      </c>
      <c r="H11">
        <f t="shared" si="1"/>
        <v>929915.02</v>
      </c>
      <c r="I11">
        <f>('Weight&amp;Balance'!H$15+H11)/('Weight&amp;Balance'!G$15+'Changing CG'!C11)</f>
        <v>280.98050851664328</v>
      </c>
      <c r="J11">
        <f t="shared" si="2"/>
        <v>0.36330585967699774</v>
      </c>
    </row>
    <row r="12" spans="1:10" x14ac:dyDescent="0.3">
      <c r="A12">
        <f t="shared" si="3"/>
        <v>5</v>
      </c>
      <c r="B12">
        <f>'Flight Data'!L63</f>
        <v>857</v>
      </c>
      <c r="C12">
        <f>'Weight&amp;Balance'!G$19-B12</f>
        <v>3243</v>
      </c>
      <c r="D12">
        <v>3300</v>
      </c>
      <c r="E12">
        <f t="shared" si="0"/>
        <v>3200</v>
      </c>
      <c r="F12">
        <f t="shared" si="4"/>
        <v>941062.00000000012</v>
      </c>
      <c r="G12">
        <f t="shared" si="5"/>
        <v>912479.99999999988</v>
      </c>
      <c r="H12">
        <f t="shared" si="1"/>
        <v>924770.26</v>
      </c>
      <c r="I12">
        <f>('Weight&amp;Balance'!H$15+H12)/('Weight&amp;Balance'!G$15+'Changing CG'!C12)</f>
        <v>280.97432333603149</v>
      </c>
      <c r="J12">
        <f t="shared" si="2"/>
        <v>0.3632294805634908</v>
      </c>
    </row>
    <row r="13" spans="1:10" x14ac:dyDescent="0.3">
      <c r="A13">
        <f t="shared" si="3"/>
        <v>6</v>
      </c>
      <c r="B13">
        <f>'Flight Data'!L64</f>
        <v>872</v>
      </c>
      <c r="C13">
        <f>'Weight&amp;Balance'!G$19-B13</f>
        <v>3228</v>
      </c>
      <c r="D13">
        <v>3300</v>
      </c>
      <c r="E13">
        <f t="shared" si="0"/>
        <v>3200</v>
      </c>
      <c r="F13">
        <f t="shared" si="4"/>
        <v>941062.00000000012</v>
      </c>
      <c r="G13">
        <f t="shared" si="5"/>
        <v>912479.99999999988</v>
      </c>
      <c r="H13">
        <f t="shared" si="1"/>
        <v>920482.96</v>
      </c>
      <c r="I13">
        <f>('Weight&amp;Balance'!H$15+H13)/('Weight&amp;Balance'!G$15+'Changing CG'!C13)</f>
        <v>280.96915692880702</v>
      </c>
      <c r="J13">
        <f t="shared" si="2"/>
        <v>0.36316568200552013</v>
      </c>
    </row>
    <row r="14" spans="1:10" x14ac:dyDescent="0.3">
      <c r="A14">
        <f t="shared" si="3"/>
        <v>7</v>
      </c>
      <c r="B14">
        <f>'Flight Data'!L65</f>
        <v>889</v>
      </c>
      <c r="C14">
        <f>'Weight&amp;Balance'!G$19-B14</f>
        <v>3211</v>
      </c>
      <c r="D14">
        <v>3300</v>
      </c>
      <c r="E14">
        <f t="shared" si="0"/>
        <v>3200</v>
      </c>
      <c r="F14">
        <f t="shared" si="4"/>
        <v>941062.00000000012</v>
      </c>
      <c r="G14">
        <f t="shared" si="5"/>
        <v>912479.99999999988</v>
      </c>
      <c r="H14">
        <f t="shared" si="1"/>
        <v>915624.0199999999</v>
      </c>
      <c r="I14">
        <f>('Weight&amp;Balance'!H$15+H14)/('Weight&amp;Balance'!G$15+'Changing CG'!C14)</f>
        <v>280.96328833316733</v>
      </c>
      <c r="J14">
        <f t="shared" si="2"/>
        <v>0.36309321231374814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v>1</v>
      </c>
      <c r="B18">
        <f>'Flight Data'!L75</f>
        <v>912</v>
      </c>
      <c r="C18">
        <f>'Sartaj Moved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('Sartaj Moved Weight and Balance'!H$15+'Changing CG'!H18)/('Sartaj Moved Weight and Balance'!G$15+'Changing CG'!C18)</f>
        <v>278.80802955348997</v>
      </c>
      <c r="J18">
        <f>(I18-B$1)/B$2</f>
        <v>0.33647850769930809</v>
      </c>
    </row>
    <row r="19" spans="1:10" x14ac:dyDescent="0.3">
      <c r="A19">
        <v>2</v>
      </c>
      <c r="B19">
        <f>'Flight Data'!L76</f>
        <v>944</v>
      </c>
      <c r="C19">
        <f>'Sartaj Moved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('Sartaj Moved Weight and Balance'!H$15+'Changing CG'!H19)/('Sartaj Moved Weight and Balance'!G$15+'Changing CG'!C19)</f>
        <v>278.79213570244627</v>
      </c>
      <c r="J19">
        <f>(I19-B$1)/B$2</f>
        <v>0.33628223885460939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61" workbookViewId="0">
      <selection activeCell="D18" sqref="D18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7"/>
      <c r="F11" s="17"/>
      <c r="G11" s="18">
        <f>C19</f>
        <v>1532.4750000000004</v>
      </c>
      <c r="H11" s="18">
        <f>D19</f>
        <v>324157.05000000005</v>
      </c>
    </row>
    <row r="12" spans="1:8" ht="15" thickBot="1" x14ac:dyDescent="0.35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280.17165733035131</v>
      </c>
      <c r="G15" s="13">
        <f>G7+G11</f>
        <v>10697.475</v>
      </c>
      <c r="H15" s="13">
        <f>H11+H7</f>
        <v>2997129.3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17"/>
      <c r="F19" s="17"/>
      <c r="G19" s="18">
        <f>'Reference Data'!D18</f>
        <v>4050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282.60290659926528</v>
      </c>
      <c r="G23" s="13">
        <f>G15+G19</f>
        <v>14747.475</v>
      </c>
      <c r="H23" s="13">
        <f>H19+H15</f>
        <v>4167679.3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2" t="s">
        <v>64</v>
      </c>
      <c r="B1" s="12"/>
      <c r="C1" s="12"/>
      <c r="D1" s="12"/>
      <c r="E1" s="12" t="s">
        <v>65</v>
      </c>
      <c r="F1" s="12"/>
      <c r="G1" s="12"/>
      <c r="H1" s="12"/>
    </row>
    <row r="2" spans="1:8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3">
      <c r="A3" s="13" t="s">
        <v>66</v>
      </c>
      <c r="B3" s="13" t="s">
        <v>92</v>
      </c>
      <c r="C3" s="13" t="s">
        <v>67</v>
      </c>
      <c r="D3" s="13" t="s">
        <v>68</v>
      </c>
      <c r="E3" s="14" t="s">
        <v>69</v>
      </c>
      <c r="F3" s="14"/>
      <c r="G3" s="13" t="s">
        <v>70</v>
      </c>
      <c r="H3" s="13" t="s">
        <v>71</v>
      </c>
    </row>
    <row r="4" spans="1:8" x14ac:dyDescent="0.3">
      <c r="A4" s="13"/>
      <c r="B4" s="13"/>
      <c r="C4" s="13"/>
      <c r="D4" s="13"/>
      <c r="E4" s="14"/>
      <c r="F4" s="14"/>
      <c r="G4" s="13"/>
      <c r="H4" s="13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1" t="s">
        <v>73</v>
      </c>
      <c r="F5" s="11"/>
      <c r="G5" s="11"/>
      <c r="H5" s="11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1"/>
      <c r="F6" s="11"/>
      <c r="G6" s="11"/>
      <c r="H6" s="11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3" t="s">
        <v>76</v>
      </c>
      <c r="F7" s="13">
        <v>291.64999999999998</v>
      </c>
      <c r="G7" s="13">
        <v>9165</v>
      </c>
      <c r="H7" s="13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3"/>
      <c r="F8" s="13"/>
      <c r="G8" s="13"/>
      <c r="H8" s="13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1" t="s">
        <v>79</v>
      </c>
      <c r="F9" s="11"/>
      <c r="G9" s="11"/>
      <c r="H9" s="11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1"/>
      <c r="F10" s="11"/>
      <c r="G10" s="11"/>
      <c r="H10" s="11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7"/>
      <c r="F11" s="17"/>
      <c r="G11" s="18">
        <f>C19</f>
        <v>1532.4750000000004</v>
      </c>
      <c r="H11" s="18">
        <f>D19</f>
        <v>303465.33</v>
      </c>
    </row>
    <row r="12" spans="1:8" ht="15" thickBot="1" x14ac:dyDescent="0.35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17"/>
      <c r="F12" s="17"/>
      <c r="G12" s="18"/>
      <c r="H12" s="18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9" t="s">
        <v>84</v>
      </c>
      <c r="F13" s="19"/>
      <c r="G13" s="19"/>
      <c r="H13" s="19"/>
    </row>
    <row r="14" spans="1:8" x14ac:dyDescent="0.3">
      <c r="A14" s="15" t="s">
        <v>85</v>
      </c>
      <c r="B14" s="15"/>
      <c r="C14" s="15"/>
      <c r="D14" s="15"/>
      <c r="E14" s="19"/>
      <c r="F14" s="19"/>
      <c r="G14" s="19"/>
      <c r="H14" s="19"/>
    </row>
    <row r="15" spans="1:8" x14ac:dyDescent="0.3">
      <c r="A15" s="15"/>
      <c r="B15" s="15"/>
      <c r="C15" s="15"/>
      <c r="D15" s="15"/>
      <c r="E15" s="13" t="s">
        <v>86</v>
      </c>
      <c r="F15" s="16">
        <f>H15/G15</f>
        <v>278.23739527318361</v>
      </c>
      <c r="G15" s="13">
        <f>G7+G11</f>
        <v>10697.475</v>
      </c>
      <c r="H15" s="13">
        <f>H11+H7</f>
        <v>2976437.58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3"/>
      <c r="F16" s="16"/>
      <c r="G16" s="13"/>
      <c r="H16" s="13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1" t="s">
        <v>89</v>
      </c>
      <c r="F17" s="11"/>
      <c r="G17" s="11"/>
      <c r="H17" s="11"/>
    </row>
    <row r="18" spans="1:8" x14ac:dyDescent="0.3">
      <c r="B18" s="5">
        <v>338</v>
      </c>
      <c r="C18" s="5">
        <v>0</v>
      </c>
      <c r="D18">
        <v>0</v>
      </c>
      <c r="E18" s="11"/>
      <c r="F18" s="11"/>
      <c r="G18" s="11"/>
      <c r="H18" s="11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17"/>
      <c r="F19" s="17"/>
      <c r="G19" s="18">
        <f>'Reference Data'!D18</f>
        <v>4050</v>
      </c>
      <c r="H19" s="18">
        <f>11705.5*100</f>
        <v>1170550</v>
      </c>
    </row>
    <row r="20" spans="1:8" ht="15" thickBot="1" x14ac:dyDescent="0.35">
      <c r="E20" s="17"/>
      <c r="F20" s="17"/>
      <c r="G20" s="18"/>
      <c r="H20" s="18"/>
    </row>
    <row r="21" spans="1:8" ht="15" thickBot="1" x14ac:dyDescent="0.35">
      <c r="E21" s="19" t="s">
        <v>90</v>
      </c>
      <c r="F21" s="19"/>
      <c r="G21" s="19"/>
      <c r="H21" s="19"/>
    </row>
    <row r="22" spans="1:8" x14ac:dyDescent="0.3">
      <c r="E22" s="19"/>
      <c r="F22" s="19"/>
      <c r="G22" s="19"/>
      <c r="H22" s="19"/>
    </row>
    <row r="23" spans="1:8" x14ac:dyDescent="0.3">
      <c r="E23" s="13" t="s">
        <v>91</v>
      </c>
      <c r="F23" s="16">
        <f>H23/G23</f>
        <v>281.19983793835894</v>
      </c>
      <c r="G23" s="13">
        <f>G15+G19</f>
        <v>14747.475</v>
      </c>
      <c r="H23" s="13">
        <f>H19+H15</f>
        <v>4146987.58</v>
      </c>
    </row>
    <row r="24" spans="1:8" x14ac:dyDescent="0.3">
      <c r="E24" s="13"/>
      <c r="F24" s="16"/>
      <c r="G24" s="13"/>
      <c r="H24" s="13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J19"/>
  <sheetViews>
    <sheetView tabSelected="1" workbookViewId="0">
      <selection activeCell="G11" sqref="G11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6" spans="1:10" x14ac:dyDescent="0.3">
      <c r="A6" s="10" t="s">
        <v>102</v>
      </c>
    </row>
    <row r="7" spans="1:10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0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0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0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0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0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0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</row>
    <row r="16" spans="1:10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Moved Weight&amp;Balance'!H$15+H18)/('Reference Moved Weight&amp;Balance'!G$15+'Changing CG Reference'!C18)</f>
        <v>279.8158162041903</v>
      </c>
      <c r="J18">
        <f>(I18-B$1)/B$2</f>
        <v>0.34892339101247588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Flight Data</vt:lpstr>
      <vt:lpstr>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2020-03-22T20:07:44Z</dcterms:modified>
</cp:coreProperties>
</file>