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ta\OneDrive\Desktop\FlightDynamicsSVV\Measurement Analysis\"/>
    </mc:Choice>
  </mc:AlternateContent>
  <xr:revisionPtr revIDLastSave="0" documentId="13_ncr:1_{31F84CF2-A44F-4EFA-8182-C03834891450}" xr6:coauthVersionLast="44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Flight Data" sheetId="1" r:id="rId1"/>
    <sheet name="Flight Mass and CG for overleaf" sheetId="11" r:id="rId2"/>
    <sheet name="Flight Weight&amp;Balance" sheetId="2" r:id="rId3"/>
    <sheet name="Sartaj Moved Weight and Balance" sheetId="4" r:id="rId4"/>
    <sheet name="Changing CG" sheetId="3" r:id="rId5"/>
    <sheet name="Reference Data" sheetId="6" r:id="rId6"/>
    <sheet name="Reference Weight&amp;Balance" sheetId="8" r:id="rId7"/>
    <sheet name="Reference Moved Weight&amp;Balance" sheetId="10" r:id="rId8"/>
    <sheet name="Changing CG Referenc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1" l="1"/>
  <c r="D10" i="11" s="1"/>
  <c r="E10" i="11" s="1"/>
  <c r="C11" i="11"/>
  <c r="D11" i="11" s="1"/>
  <c r="E11" i="11" s="1"/>
  <c r="C12" i="11"/>
  <c r="D12" i="11" s="1"/>
  <c r="E12" i="11" s="1"/>
  <c r="C13" i="11"/>
  <c r="D13" i="11" s="1"/>
  <c r="E13" i="11" s="1"/>
  <c r="C14" i="11"/>
  <c r="D14" i="11" s="1"/>
  <c r="E14" i="11" s="1"/>
  <c r="C15" i="11"/>
  <c r="D15" i="11" s="1"/>
  <c r="E15" i="11" s="1"/>
  <c r="C9" i="11"/>
  <c r="D9" i="11" s="1"/>
  <c r="E9" i="11" s="1"/>
  <c r="H10" i="3"/>
  <c r="I10" i="3" s="1"/>
  <c r="H11" i="3"/>
  <c r="I11" i="3" s="1"/>
  <c r="H12" i="3"/>
  <c r="I12" i="3" s="1"/>
  <c r="H13" i="3"/>
  <c r="I13" i="3" s="1"/>
  <c r="H14" i="3"/>
  <c r="I14" i="3" s="1"/>
  <c r="H9" i="3"/>
  <c r="I9" i="3" s="1"/>
  <c r="G14" i="3"/>
  <c r="G11" i="3"/>
  <c r="G12" i="3"/>
  <c r="G13" i="3"/>
  <c r="G10" i="3"/>
  <c r="G9" i="3"/>
  <c r="F14" i="3"/>
  <c r="F11" i="3"/>
  <c r="F12" i="3"/>
  <c r="F13" i="3"/>
  <c r="F10" i="3"/>
  <c r="F9" i="3"/>
  <c r="C10" i="3"/>
  <c r="C11" i="3"/>
  <c r="C12" i="3"/>
  <c r="C13" i="3"/>
  <c r="C14" i="3"/>
  <c r="C9" i="3"/>
  <c r="B10" i="3"/>
  <c r="B11" i="3"/>
  <c r="B12" i="3"/>
  <c r="B13" i="3"/>
  <c r="B14" i="3"/>
  <c r="B9" i="3"/>
  <c r="C4" i="11"/>
  <c r="D4" i="11" s="1"/>
  <c r="E4" i="11" s="1"/>
  <c r="C5" i="11"/>
  <c r="D5" i="11" s="1"/>
  <c r="E5" i="11" s="1"/>
  <c r="C6" i="11"/>
  <c r="D6" i="11" s="1"/>
  <c r="E6" i="11" s="1"/>
  <c r="C7" i="11"/>
  <c r="D7" i="11" s="1"/>
  <c r="E7" i="11" s="1"/>
  <c r="C8" i="11"/>
  <c r="D8" i="11" s="1"/>
  <c r="E8" i="11" s="1"/>
  <c r="C3" i="11"/>
  <c r="D3" i="11" s="1"/>
  <c r="E3" i="11" s="1"/>
  <c r="F8" i="11" l="1"/>
  <c r="J14" i="3"/>
  <c r="G8" i="11" s="1"/>
  <c r="F5" i="11"/>
  <c r="J11" i="3"/>
  <c r="G5" i="11" s="1"/>
  <c r="F3" i="11"/>
  <c r="J9" i="3"/>
  <c r="G3" i="11" s="1"/>
  <c r="F7" i="11"/>
  <c r="J13" i="3"/>
  <c r="G7" i="11" s="1"/>
  <c r="F6" i="11"/>
  <c r="J12" i="3"/>
  <c r="G6" i="11" s="1"/>
  <c r="F4" i="11"/>
  <c r="J10" i="3"/>
  <c r="G4" i="11" s="1"/>
  <c r="I18" i="9"/>
  <c r="I19" i="9"/>
  <c r="L15" i="9" l="1"/>
  <c r="L14" i="9"/>
  <c r="G11" i="9" l="1"/>
  <c r="G12" i="9"/>
  <c r="G13" i="9"/>
  <c r="G14" i="9"/>
  <c r="G10" i="9"/>
  <c r="F12" i="9"/>
  <c r="F13" i="9"/>
  <c r="F14" i="9"/>
  <c r="F11" i="9"/>
  <c r="G8" i="9"/>
  <c r="G21" i="3"/>
  <c r="G22" i="3"/>
  <c r="G23" i="3"/>
  <c r="G24" i="3"/>
  <c r="G20" i="3"/>
  <c r="G18" i="3"/>
  <c r="F21" i="3"/>
  <c r="F22" i="3"/>
  <c r="F23" i="3"/>
  <c r="F24" i="3"/>
  <c r="F20" i="3"/>
  <c r="B28" i="3"/>
  <c r="C16" i="11" s="1"/>
  <c r="D16" i="11" s="1"/>
  <c r="E16" i="11" s="1"/>
  <c r="B24" i="3" l="1"/>
  <c r="D12" i="4"/>
  <c r="C13" i="10"/>
  <c r="C12" i="10"/>
  <c r="C11" i="10"/>
  <c r="C10" i="10"/>
  <c r="C9" i="10"/>
  <c r="C8" i="10"/>
  <c r="C7" i="10"/>
  <c r="C6" i="10"/>
  <c r="C5" i="10"/>
  <c r="C13" i="8"/>
  <c r="C12" i="8"/>
  <c r="C11" i="8"/>
  <c r="C10" i="8"/>
  <c r="C9" i="8"/>
  <c r="C8" i="8"/>
  <c r="C7" i="8"/>
  <c r="C6" i="8"/>
  <c r="C5" i="8"/>
  <c r="C13" i="2"/>
  <c r="C12" i="2"/>
  <c r="C11" i="2"/>
  <c r="C10" i="2"/>
  <c r="C9" i="2"/>
  <c r="C8" i="2"/>
  <c r="C7" i="2"/>
  <c r="C6" i="2"/>
  <c r="C5" i="2"/>
  <c r="C13" i="4"/>
  <c r="C12" i="4"/>
  <c r="C11" i="4"/>
  <c r="C10" i="4"/>
  <c r="C9" i="4"/>
  <c r="C8" i="4"/>
  <c r="C7" i="4"/>
  <c r="C6" i="4"/>
  <c r="C5" i="4"/>
  <c r="B19" i="9" l="1"/>
  <c r="B18" i="9"/>
  <c r="H19" i="10"/>
  <c r="G19" i="10"/>
  <c r="C19" i="9" s="1"/>
  <c r="C19" i="10"/>
  <c r="G11" i="10" s="1"/>
  <c r="G15" i="10" s="1"/>
  <c r="G23" i="10" s="1"/>
  <c r="D13" i="10"/>
  <c r="D12" i="10"/>
  <c r="D11" i="10"/>
  <c r="D10" i="10"/>
  <c r="D9" i="10"/>
  <c r="D8" i="10"/>
  <c r="H7" i="10"/>
  <c r="D7" i="10"/>
  <c r="D6" i="10"/>
  <c r="D5" i="10"/>
  <c r="F10" i="9"/>
  <c r="C9" i="9"/>
  <c r="C11" i="9"/>
  <c r="C12" i="9"/>
  <c r="C13" i="9"/>
  <c r="B9" i="9"/>
  <c r="B10" i="9"/>
  <c r="C10" i="9" s="1"/>
  <c r="B11" i="9"/>
  <c r="B12" i="9"/>
  <c r="B13" i="9"/>
  <c r="B14" i="9"/>
  <c r="C14" i="9" s="1"/>
  <c r="B8" i="9"/>
  <c r="G19" i="9"/>
  <c r="F19" i="9"/>
  <c r="G18" i="9"/>
  <c r="F18" i="9"/>
  <c r="E14" i="9"/>
  <c r="E13" i="9"/>
  <c r="E12" i="9"/>
  <c r="E11" i="9"/>
  <c r="E10" i="9"/>
  <c r="G9" i="9"/>
  <c r="F9" i="9"/>
  <c r="E9" i="9"/>
  <c r="A9" i="9"/>
  <c r="A10" i="9" s="1"/>
  <c r="A11" i="9" s="1"/>
  <c r="A12" i="9" s="1"/>
  <c r="A13" i="9" s="1"/>
  <c r="A14" i="9" s="1"/>
  <c r="F8" i="9"/>
  <c r="E8" i="9"/>
  <c r="A8" i="9"/>
  <c r="G19" i="8"/>
  <c r="C8" i="9" s="1"/>
  <c r="H19" i="8"/>
  <c r="C19" i="8"/>
  <c r="G11" i="8" s="1"/>
  <c r="G15" i="8" s="1"/>
  <c r="D13" i="8"/>
  <c r="D12" i="8"/>
  <c r="D11" i="8"/>
  <c r="D10" i="8"/>
  <c r="D9" i="8"/>
  <c r="D8" i="8"/>
  <c r="H7" i="8"/>
  <c r="D7" i="8"/>
  <c r="D6" i="8"/>
  <c r="D5" i="8"/>
  <c r="C18" i="9" l="1"/>
  <c r="D19" i="10"/>
  <c r="H11" i="10" s="1"/>
  <c r="H15" i="10" s="1"/>
  <c r="F15" i="10" s="1"/>
  <c r="D19" i="8"/>
  <c r="H11" i="8" s="1"/>
  <c r="H15" i="8" s="1"/>
  <c r="H18" i="9"/>
  <c r="J18" i="9" s="1"/>
  <c r="H23" i="10"/>
  <c r="F23" i="10" s="1"/>
  <c r="H12" i="9"/>
  <c r="H10" i="9"/>
  <c r="H13" i="9"/>
  <c r="H11" i="9"/>
  <c r="H14" i="9"/>
  <c r="H19" i="9"/>
  <c r="H9" i="9"/>
  <c r="H8" i="9"/>
  <c r="G23" i="8"/>
  <c r="G29" i="3"/>
  <c r="F29" i="3"/>
  <c r="G28" i="3"/>
  <c r="F28" i="3"/>
  <c r="B29" i="3"/>
  <c r="C28" i="3"/>
  <c r="H19" i="4"/>
  <c r="C19" i="4"/>
  <c r="G11" i="4" s="1"/>
  <c r="G15" i="4" s="1"/>
  <c r="G23" i="4" s="1"/>
  <c r="D13" i="4"/>
  <c r="D11" i="4"/>
  <c r="D10" i="4"/>
  <c r="D9" i="4"/>
  <c r="D8" i="4"/>
  <c r="H7" i="4"/>
  <c r="D7" i="4"/>
  <c r="D6" i="4"/>
  <c r="D5" i="4"/>
  <c r="G19" i="3"/>
  <c r="F19" i="3"/>
  <c r="F18" i="3"/>
  <c r="E19" i="3"/>
  <c r="E20" i="3"/>
  <c r="E21" i="3"/>
  <c r="E22" i="3"/>
  <c r="E23" i="3"/>
  <c r="E24" i="3"/>
  <c r="E18" i="3"/>
  <c r="B19" i="3"/>
  <c r="C19" i="3" s="1"/>
  <c r="B20" i="3"/>
  <c r="C20" i="3" s="1"/>
  <c r="B21" i="3"/>
  <c r="C21" i="3" s="1"/>
  <c r="B22" i="3"/>
  <c r="C22" i="3" s="1"/>
  <c r="B23" i="3"/>
  <c r="C23" i="3" s="1"/>
  <c r="C24" i="3"/>
  <c r="B18" i="3"/>
  <c r="C18" i="3" s="1"/>
  <c r="A18" i="3"/>
  <c r="A19" i="3" s="1"/>
  <c r="A20" i="3" s="1"/>
  <c r="A21" i="3" s="1"/>
  <c r="A22" i="3" s="1"/>
  <c r="A23" i="3" s="1"/>
  <c r="A24" i="3" s="1"/>
  <c r="C29" i="3" l="1"/>
  <c r="H29" i="3" s="1"/>
  <c r="C17" i="11"/>
  <c r="D17" i="11" s="1"/>
  <c r="E17" i="11" s="1"/>
  <c r="H28" i="3"/>
  <c r="I28" i="3" s="1"/>
  <c r="F16" i="11" s="1"/>
  <c r="I11" i="9"/>
  <c r="J11" i="9" s="1"/>
  <c r="I10" i="9"/>
  <c r="J10" i="9" s="1"/>
  <c r="I13" i="9"/>
  <c r="J13" i="9" s="1"/>
  <c r="I14" i="9"/>
  <c r="J14" i="9" s="1"/>
  <c r="I8" i="9"/>
  <c r="J8" i="9" s="1"/>
  <c r="I9" i="9"/>
  <c r="J9" i="9" s="1"/>
  <c r="H23" i="8"/>
  <c r="F23" i="8" s="1"/>
  <c r="F15" i="8"/>
  <c r="I12" i="9"/>
  <c r="J12" i="9" s="1"/>
  <c r="J19" i="9"/>
  <c r="H24" i="3"/>
  <c r="H18" i="3"/>
  <c r="H19" i="3"/>
  <c r="D19" i="4"/>
  <c r="H11" i="4" s="1"/>
  <c r="H15" i="4" s="1"/>
  <c r="F15" i="4" s="1"/>
  <c r="H21" i="3"/>
  <c r="H23" i="3"/>
  <c r="H22" i="3"/>
  <c r="H20" i="3"/>
  <c r="I19" i="2"/>
  <c r="C19" i="2"/>
  <c r="H11" i="2" s="1"/>
  <c r="H15" i="2" s="1"/>
  <c r="H23" i="2" s="1"/>
  <c r="D13" i="2"/>
  <c r="D12" i="2"/>
  <c r="D11" i="2"/>
  <c r="D10" i="2"/>
  <c r="D9" i="2"/>
  <c r="D8" i="2"/>
  <c r="I7" i="2"/>
  <c r="D7" i="2"/>
  <c r="D6" i="2"/>
  <c r="D5" i="2"/>
  <c r="D19" i="2" l="1"/>
  <c r="I11" i="2" s="1"/>
  <c r="I15" i="2" s="1"/>
  <c r="G15" i="2" s="1"/>
  <c r="J28" i="3"/>
  <c r="G16" i="11" s="1"/>
  <c r="I29" i="3"/>
  <c r="H23" i="4"/>
  <c r="F23" i="4" s="1"/>
  <c r="J29" i="3" l="1"/>
  <c r="G17" i="11" s="1"/>
  <c r="F17" i="11"/>
  <c r="I21" i="3"/>
  <c r="I20" i="3"/>
  <c r="I23" i="3"/>
  <c r="I23" i="2"/>
  <c r="G23" i="2" s="1"/>
  <c r="I18" i="3"/>
  <c r="I24" i="3"/>
  <c r="I19" i="3"/>
  <c r="I22" i="3"/>
  <c r="J22" i="3" l="1"/>
  <c r="G13" i="11" s="1"/>
  <c r="F13" i="11"/>
  <c r="J24" i="3"/>
  <c r="G15" i="11" s="1"/>
  <c r="F15" i="11"/>
  <c r="J19" i="3"/>
  <c r="G10" i="11" s="1"/>
  <c r="F10" i="11"/>
  <c r="J18" i="3"/>
  <c r="G9" i="11" s="1"/>
  <c r="F9" i="11"/>
  <c r="J23" i="3"/>
  <c r="G14" i="11" s="1"/>
  <c r="F14" i="11"/>
  <c r="J20" i="3"/>
  <c r="G11" i="11" s="1"/>
  <c r="F11" i="11"/>
  <c r="J21" i="3"/>
  <c r="G12" i="11" s="1"/>
  <c r="F12" i="11"/>
</calcChain>
</file>

<file path=xl/sharedStrings.xml><?xml version="1.0" encoding="utf-8"?>
<sst xmlns="http://schemas.openxmlformats.org/spreadsheetml/2006/main" count="546" uniqueCount="145">
  <si>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</si>
  <si>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</si>
  <si>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</si>
  <si>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</si>
  <si>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</si>
  <si>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</si>
  <si>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</si>
  <si>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</si>
  <si>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</si>
  <si>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</si>
  <si>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</si>
  <si>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</si>
  <si>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</si>
  <si>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</si>
  <si>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</si>
  <si>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</si>
  <si>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</si>
  <si>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</si>
  <si>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</si>
  <si>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</si>
  <si>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</si>
  <si>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</si>
  <si>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</si>
  <si>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</si>
  <si>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</si>
  <si>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</si>
  <si>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</si>
  <si>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</si>
  <si>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</si>
  <si>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</si>
  <si>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</si>
  <si>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</si>
  <si>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</si>
  <si>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</si>
  <si>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</si>
  <si>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</si>
  <si>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</si>
  <si>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</si>
  <si>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</si>
  <si>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</si>
  <si>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</si>
  <si>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</si>
  <si>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</si>
  <si>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</si>
  <si>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</si>
  <si>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</si>
  <si>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</si>
  <si>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</si>
  <si>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</si>
  <si>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</si>
  <si>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</si>
  <si>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</si>
  <si>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</si>
  <si>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</si>
  <si>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</si>
  <si>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</si>
  <si>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</si>
  <si>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</si>
  <si>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</si>
  <si>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</si>
  <si>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</si>
  <si>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</si>
  <si>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Hans</t>
  </si>
  <si>
    <t>Xander</t>
  </si>
  <si>
    <t>Payload Computations</t>
  </si>
  <si>
    <t>Mass and Balance Computations</t>
  </si>
  <si>
    <t>Crew and pax</t>
  </si>
  <si>
    <t>Mass [pounds]</t>
  </si>
  <si>
    <t>Moment [inch-pound]</t>
  </si>
  <si>
    <t>Item</t>
  </si>
  <si>
    <t>Mass [Pound]</t>
  </si>
  <si>
    <t>Moment [inch-pounds]</t>
  </si>
  <si>
    <t>Seat 1</t>
  </si>
  <si>
    <t>Basic Empty Mass</t>
  </si>
  <si>
    <t>Seat 2</t>
  </si>
  <si>
    <t>Seat 3</t>
  </si>
  <si>
    <t xml:space="preserve">Xcg datum at BEM = </t>
  </si>
  <si>
    <t>Seat 4</t>
  </si>
  <si>
    <t>Seat 5</t>
  </si>
  <si>
    <t>Payload</t>
  </si>
  <si>
    <t>Seat 6</t>
  </si>
  <si>
    <t>Seat 7</t>
  </si>
  <si>
    <t>Seat 8</t>
  </si>
  <si>
    <t>Seat 10</t>
  </si>
  <si>
    <t>Zero Fuel Mass</t>
  </si>
  <si>
    <t>Baggage</t>
  </si>
  <si>
    <t xml:space="preserve">Xcg datum at ZFM = </t>
  </si>
  <si>
    <t>Nose</t>
  </si>
  <si>
    <t>Aft Cabin</t>
  </si>
  <si>
    <t>Fuel Load</t>
  </si>
  <si>
    <t>Ramp Mass</t>
  </si>
  <si>
    <t xml:space="preserve">Xcg datum at RM = </t>
  </si>
  <si>
    <r>
      <t>X</t>
    </r>
    <r>
      <rPr>
        <vertAlign val="subscript"/>
        <sz val="11"/>
        <color rgb="FF000000"/>
        <rFont val="Calibri"/>
        <family val="2"/>
      </rPr>
      <t>cg datum</t>
    </r>
    <r>
      <rPr>
        <sz val="11"/>
        <color theme="1"/>
        <rFont val="Calibri"/>
        <family val="2"/>
        <scheme val="minor"/>
      </rPr>
      <t xml:space="preserve"> [inches]</t>
    </r>
  </si>
  <si>
    <t>Measurement nr.</t>
  </si>
  <si>
    <t>F.Used</t>
  </si>
  <si>
    <t>Fremaining</t>
  </si>
  <si>
    <t>Fremaining upper</t>
  </si>
  <si>
    <t>Fremaining lower</t>
  </si>
  <si>
    <t>Fmoment upper</t>
  </si>
  <si>
    <t>Fmoment lower</t>
  </si>
  <si>
    <t>Fmoment rem</t>
  </si>
  <si>
    <t>Xc.g in flight (inches)</t>
  </si>
  <si>
    <t xml:space="preserve">Trim Curve </t>
  </si>
  <si>
    <t>Shifted CG</t>
  </si>
  <si>
    <t>Measurement nr</t>
  </si>
  <si>
    <t xml:space="preserve">Fremaining </t>
  </si>
  <si>
    <t>xlemac</t>
  </si>
  <si>
    <t>MAC</t>
  </si>
  <si>
    <t>Xc.g [MAC]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</si>
  <si>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</si>
  <si>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</si>
  <si>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</si>
  <si>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</si>
  <si>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</si>
  <si>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</si>
  <si>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</si>
  <si>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</si>
  <si>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</si>
  <si>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</si>
  <si>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</si>
  <si>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</si>
  <si>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</si>
  <si>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</si>
  <si>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6.3</t>
  </si>
  <si>
    <t>4.5</t>
  </si>
  <si>
    <t>7.3</t>
  </si>
  <si>
    <t>3.5</t>
  </si>
  <si>
    <t>8.5</t>
  </si>
  <si>
    <t>2.5</t>
  </si>
  <si>
    <t>5.0</t>
  </si>
  <si>
    <t>4.1</t>
  </si>
  <si>
    <t>6.2</t>
  </si>
  <si>
    <t>3.4</t>
  </si>
  <si>
    <t>8.2</t>
  </si>
  <si>
    <t>Total Mass [lbs]</t>
  </si>
  <si>
    <t>Total Mass [kgs]</t>
  </si>
  <si>
    <t>Fuel Used [lbs]</t>
  </si>
  <si>
    <t>CL-CD Measurements</t>
  </si>
  <si>
    <t>F. Used</t>
  </si>
  <si>
    <t xml:space="preserve">Fremaining Upper </t>
  </si>
  <si>
    <t>Stationary measurements Elevator Curve</t>
  </si>
  <si>
    <t>Shift in center of Gravity</t>
  </si>
  <si>
    <t>Stationary  Measurements CL-CD</t>
  </si>
  <si>
    <r>
      <t xml:space="preserve">X </t>
    </r>
    <r>
      <rPr>
        <vertAlign val="subscript"/>
        <sz val="11"/>
        <color theme="1"/>
        <rFont val="Calibri"/>
        <family val="2"/>
        <scheme val="minor"/>
      </rPr>
      <t>cg Datum</t>
    </r>
    <r>
      <rPr>
        <sz val="11"/>
        <color theme="1"/>
        <rFont val="Calibri"/>
        <family val="2"/>
        <scheme val="minor"/>
      </rPr>
      <t xml:space="preserve"> [inches]</t>
    </r>
  </si>
  <si>
    <r>
      <t>X</t>
    </r>
    <r>
      <rPr>
        <vertAlign val="subscript"/>
        <sz val="11"/>
        <color theme="1"/>
        <rFont val="Calibri"/>
        <family val="2"/>
        <scheme val="minor"/>
      </rPr>
      <t>cg</t>
    </r>
    <r>
      <rPr>
        <sz val="11"/>
        <color theme="1"/>
        <rFont val="Calibri"/>
        <family val="2"/>
        <scheme val="minor"/>
      </rPr>
      <t xml:space="preserve"> [MAC]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</si>
</sst>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0.00000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0" fontId="2" fillId="0" borderId="3" xfId="0" applyFont="1" applyBorder="1"/>
    <xf numFmtId="0" fontId="0" fillId="0" borderId="3" xfId="0" applyBorder="1"/>
    <xf numFmtId="0" fontId="6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0" fillId="0" borderId="6" xfId="0" applyBorder="1"/>
    <xf numFmtId="1" fontId="0" fillId="0" borderId="6" xfId="0" applyNumberFormat="1" applyBorder="1"/>
    <xf numFmtId="166" fontId="0" fillId="0" borderId="6" xfId="0" applyNumberFormat="1" applyBorder="1"/>
    <xf numFmtId="2" fontId="0" fillId="0" borderId="6" xfId="0" applyNumberFormat="1" applyBorder="1"/>
    <xf numFmtId="165" fontId="0" fillId="0" borderId="7" xfId="0" applyNumberFormat="1" applyBorder="1"/>
    <xf numFmtId="0" fontId="0" fillId="0" borderId="0" xfId="0" applyBorder="1"/>
    <xf numFmtId="1" fontId="0" fillId="0" borderId="0" xfId="0" applyNumberFormat="1" applyBorder="1"/>
    <xf numFmtId="166" fontId="0" fillId="0" borderId="0" xfId="0" applyNumberFormat="1" applyBorder="1"/>
    <xf numFmtId="2" fontId="0" fillId="0" borderId="0" xfId="0" applyNumberFormat="1" applyBorder="1"/>
    <xf numFmtId="165" fontId="0" fillId="0" borderId="9" xfId="0" applyNumberFormat="1" applyBorder="1"/>
    <xf numFmtId="0" fontId="0" fillId="0" borderId="11" xfId="0" applyBorder="1"/>
    <xf numFmtId="1" fontId="0" fillId="0" borderId="11" xfId="0" applyNumberFormat="1" applyBorder="1"/>
    <xf numFmtId="166" fontId="0" fillId="0" borderId="11" xfId="0" applyNumberFormat="1" applyBorder="1"/>
    <xf numFmtId="2" fontId="0" fillId="0" borderId="11" xfId="0" applyNumberFormat="1" applyBorder="1"/>
    <xf numFmtId="165" fontId="0" fillId="0" borderId="12" xfId="0" applyNumberFormat="1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</cellXfs>
  <cellStyles count="1">
    <cellStyle name="Normal" xfId="0" builtinId="0"/>
  </cellStyles>
  <dxfs count="63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:a16="http://schemas.microsoft.com/office/drawing/2014/main" id="{3FCF4BCD-9AE0-43ED-BF25-148C1E7DF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721" y="958522"/>
          <a:ext cx="1855549" cy="320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opLeftCell="A51" workbookViewId="0">
      <selection activeCell="L76" sqref="L76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43896</v>
      </c>
      <c r="F3" t="s">
        <v>2</v>
      </c>
      <c r="H3" s="3">
        <v>0.6166666666666667</v>
      </c>
    </row>
    <row r="4" spans="1:8" x14ac:dyDescent="0.3">
      <c r="A4" t="s">
        <v>3</v>
      </c>
      <c r="D4" s="2">
        <v>3</v>
      </c>
      <c r="F4" t="s">
        <v>4</v>
      </c>
      <c r="H4" s="3">
        <v>0.67708333333333337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63</v>
      </c>
      <c r="H8" s="2">
        <v>80</v>
      </c>
    </row>
    <row r="9" spans="1:8" x14ac:dyDescent="0.3">
      <c r="A9" t="s">
        <v>48</v>
      </c>
      <c r="D9" s="2" t="s">
        <v>62</v>
      </c>
      <c r="H9" s="2">
        <v>102</v>
      </c>
    </row>
    <row r="10" spans="1:8" x14ac:dyDescent="0.3">
      <c r="A10" t="s">
        <v>49</v>
      </c>
      <c r="D10" s="2"/>
      <c r="H10" s="2">
        <v>88</v>
      </c>
    </row>
    <row r="11" spans="1:8" x14ac:dyDescent="0.3">
      <c r="A11" t="s">
        <v>50</v>
      </c>
      <c r="D11" s="2"/>
      <c r="H11" s="2">
        <v>66</v>
      </c>
    </row>
    <row r="12" spans="1:8" x14ac:dyDescent="0.3">
      <c r="A12" t="s">
        <v>51</v>
      </c>
      <c r="D12" s="2"/>
      <c r="H12" s="2">
        <v>81</v>
      </c>
    </row>
    <row r="13" spans="1:8" x14ac:dyDescent="0.3">
      <c r="A13" t="s">
        <v>52</v>
      </c>
      <c r="D13" s="2"/>
      <c r="H13" s="2">
        <v>99</v>
      </c>
    </row>
    <row r="14" spans="1:8" x14ac:dyDescent="0.3">
      <c r="A14" t="s">
        <v>53</v>
      </c>
      <c r="D14" s="2"/>
      <c r="H14" s="2">
        <v>64</v>
      </c>
    </row>
    <row r="15" spans="1:8" x14ac:dyDescent="0.3">
      <c r="A15" t="s">
        <v>54</v>
      </c>
      <c r="D15" s="2"/>
      <c r="H15" s="2">
        <v>81</v>
      </c>
    </row>
    <row r="16" spans="1:8" x14ac:dyDescent="0.3">
      <c r="A16" t="s">
        <v>55</v>
      </c>
      <c r="D16" s="2"/>
      <c r="H16" s="2">
        <v>99</v>
      </c>
    </row>
    <row r="18" spans="1:10" x14ac:dyDescent="0.3">
      <c r="A18" t="s">
        <v>46</v>
      </c>
      <c r="D18" s="2">
        <v>4100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/>
      <c r="C28" s="2" t="s">
        <v>61</v>
      </c>
      <c r="D28" s="2">
        <v>11990</v>
      </c>
      <c r="E28" s="2">
        <v>247</v>
      </c>
      <c r="F28" s="2">
        <v>1.7</v>
      </c>
      <c r="G28" s="2">
        <v>708</v>
      </c>
      <c r="H28" s="2">
        <v>757</v>
      </c>
      <c r="I28" s="2">
        <v>475</v>
      </c>
      <c r="J28" s="2">
        <v>-2.8</v>
      </c>
    </row>
    <row r="29" spans="1:10" x14ac:dyDescent="0.3">
      <c r="A29">
        <v>2</v>
      </c>
      <c r="B29" s="7"/>
      <c r="C29" s="2" t="s">
        <v>61</v>
      </c>
      <c r="D29" s="2">
        <v>11980</v>
      </c>
      <c r="E29" s="2">
        <v>214</v>
      </c>
      <c r="F29" s="2">
        <v>2.7</v>
      </c>
      <c r="G29" s="2">
        <v>551</v>
      </c>
      <c r="H29" s="2">
        <v>601</v>
      </c>
      <c r="I29" s="2">
        <v>524</v>
      </c>
      <c r="J29" s="2">
        <v>-5.5</v>
      </c>
    </row>
    <row r="30" spans="1:10" x14ac:dyDescent="0.3">
      <c r="A30">
        <v>3</v>
      </c>
      <c r="B30" s="7"/>
      <c r="C30" s="2" t="s">
        <v>61</v>
      </c>
      <c r="D30" s="2">
        <v>11990</v>
      </c>
      <c r="E30" s="2">
        <v>192</v>
      </c>
      <c r="F30" s="2">
        <v>3.5</v>
      </c>
      <c r="G30" s="2">
        <v>495</v>
      </c>
      <c r="H30" s="2">
        <v>536</v>
      </c>
      <c r="I30" s="2">
        <v>553</v>
      </c>
      <c r="J30" s="2">
        <v>-7.2</v>
      </c>
    </row>
    <row r="31" spans="1:10" x14ac:dyDescent="0.3">
      <c r="A31">
        <v>4</v>
      </c>
      <c r="B31" s="7"/>
      <c r="C31" s="2" t="s">
        <v>61</v>
      </c>
      <c r="D31" s="2">
        <v>11990</v>
      </c>
      <c r="E31" s="2">
        <v>154</v>
      </c>
      <c r="F31" s="2">
        <v>6.1</v>
      </c>
      <c r="G31" s="2">
        <v>420</v>
      </c>
      <c r="H31" s="2">
        <v>447</v>
      </c>
      <c r="I31" s="2">
        <v>577</v>
      </c>
      <c r="J31" s="2">
        <v>-9.8000000000000007</v>
      </c>
    </row>
    <row r="32" spans="1:10" x14ac:dyDescent="0.3">
      <c r="A32">
        <v>5</v>
      </c>
      <c r="B32" s="7"/>
      <c r="C32" s="2" t="s">
        <v>61</v>
      </c>
      <c r="D32" s="2">
        <v>11990</v>
      </c>
      <c r="E32" s="2">
        <v>129</v>
      </c>
      <c r="F32" s="2">
        <v>8.9</v>
      </c>
      <c r="G32" s="2">
        <v>427</v>
      </c>
      <c r="H32" s="2">
        <v>467</v>
      </c>
      <c r="I32" s="2">
        <v>598</v>
      </c>
      <c r="J32" s="2">
        <v>-12</v>
      </c>
    </row>
    <row r="33" spans="1:10" x14ac:dyDescent="0.3">
      <c r="A33">
        <v>6</v>
      </c>
      <c r="B33" s="7"/>
      <c r="C33" s="2" t="s">
        <v>61</v>
      </c>
      <c r="D33" s="2">
        <v>11990</v>
      </c>
      <c r="E33" s="2">
        <v>118</v>
      </c>
      <c r="F33" s="2">
        <v>11</v>
      </c>
      <c r="G33" s="2">
        <v>393</v>
      </c>
      <c r="H33" s="2">
        <v>431</v>
      </c>
      <c r="I33" s="2">
        <v>640</v>
      </c>
      <c r="J33" s="2">
        <v>-12</v>
      </c>
    </row>
    <row r="34" spans="1:10" x14ac:dyDescent="0.3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/>
      <c r="C59" s="2" t="s">
        <v>61</v>
      </c>
      <c r="D59" s="2">
        <v>13880</v>
      </c>
      <c r="E59" s="2">
        <v>152</v>
      </c>
      <c r="F59" s="2">
        <v>6.2</v>
      </c>
      <c r="G59" s="2">
        <v>-0.5</v>
      </c>
      <c r="H59" s="2">
        <v>2.4</v>
      </c>
      <c r="I59" s="2">
        <v>0</v>
      </c>
      <c r="J59" s="2">
        <v>387</v>
      </c>
      <c r="K59" s="2">
        <v>424</v>
      </c>
      <c r="L59" s="2">
        <v>778</v>
      </c>
      <c r="M59" s="2">
        <v>-14.2</v>
      </c>
    </row>
    <row r="60" spans="1:13" x14ac:dyDescent="0.3">
      <c r="A60">
        <v>2</v>
      </c>
      <c r="B60" s="4"/>
      <c r="C60" s="2" t="s">
        <v>61</v>
      </c>
      <c r="D60" s="2">
        <v>14000</v>
      </c>
      <c r="E60" s="2">
        <v>143</v>
      </c>
      <c r="F60" s="2">
        <v>7.1</v>
      </c>
      <c r="G60" s="2">
        <v>-0.9</v>
      </c>
      <c r="H60" s="2">
        <v>2.4</v>
      </c>
      <c r="I60" s="2">
        <v>-14</v>
      </c>
      <c r="J60" s="2">
        <v>385</v>
      </c>
      <c r="K60" s="2">
        <v>424</v>
      </c>
      <c r="L60" s="2">
        <v>797</v>
      </c>
      <c r="M60" s="2">
        <v>-15</v>
      </c>
    </row>
    <row r="61" spans="1:13" x14ac:dyDescent="0.3">
      <c r="A61">
        <v>3</v>
      </c>
      <c r="B61" s="4"/>
      <c r="C61" s="2" t="s">
        <v>61</v>
      </c>
      <c r="D61" s="2">
        <v>14000</v>
      </c>
      <c r="E61" s="2">
        <v>133</v>
      </c>
      <c r="F61" s="2">
        <v>8.4</v>
      </c>
      <c r="G61" s="2">
        <v>-1.5</v>
      </c>
      <c r="H61" s="2">
        <v>2.4</v>
      </c>
      <c r="I61" s="2">
        <v>-32</v>
      </c>
      <c r="J61" s="2">
        <v>384</v>
      </c>
      <c r="K61" s="2">
        <v>423</v>
      </c>
      <c r="L61" s="2">
        <v>826</v>
      </c>
      <c r="M61" s="2">
        <v>-15.5</v>
      </c>
    </row>
    <row r="62" spans="1:13" x14ac:dyDescent="0.3">
      <c r="A62">
        <v>4</v>
      </c>
      <c r="B62" s="4"/>
      <c r="C62" s="2" t="s">
        <v>61</v>
      </c>
      <c r="D62" s="2">
        <v>14180</v>
      </c>
      <c r="E62" s="2">
        <v>122</v>
      </c>
      <c r="F62" s="2">
        <v>10</v>
      </c>
      <c r="G62" s="2">
        <v>-2.2000000000000002</v>
      </c>
      <c r="H62" s="2">
        <v>2.4</v>
      </c>
      <c r="I62" s="2">
        <v>-47</v>
      </c>
      <c r="J62" s="2">
        <v>381</v>
      </c>
      <c r="K62" s="2">
        <v>420</v>
      </c>
      <c r="L62" s="2">
        <v>839</v>
      </c>
      <c r="M62" s="2">
        <v>-16.5</v>
      </c>
    </row>
    <row r="63" spans="1:13" x14ac:dyDescent="0.3">
      <c r="A63">
        <v>5</v>
      </c>
      <c r="B63" s="4"/>
      <c r="C63" s="2" t="s">
        <v>61</v>
      </c>
      <c r="D63" s="2">
        <v>13300</v>
      </c>
      <c r="E63" s="2">
        <v>164</v>
      </c>
      <c r="F63" s="2">
        <v>5.2</v>
      </c>
      <c r="G63" s="2">
        <v>0</v>
      </c>
      <c r="H63" s="2">
        <v>2.4</v>
      </c>
      <c r="I63" s="2">
        <v>28</v>
      </c>
      <c r="J63" s="2">
        <v>397</v>
      </c>
      <c r="K63" s="2">
        <v>437</v>
      </c>
      <c r="L63" s="2">
        <v>857</v>
      </c>
      <c r="M63" s="2">
        <v>-12</v>
      </c>
    </row>
    <row r="64" spans="1:13" x14ac:dyDescent="0.3">
      <c r="A64">
        <v>6</v>
      </c>
      <c r="B64" s="4"/>
      <c r="C64" s="2" t="s">
        <v>61</v>
      </c>
      <c r="D64" s="2">
        <v>12900</v>
      </c>
      <c r="E64" s="2">
        <v>172</v>
      </c>
      <c r="F64" s="2">
        <v>4.5999999999999996</v>
      </c>
      <c r="G64" s="2">
        <v>0.2</v>
      </c>
      <c r="H64" s="2">
        <v>2.4</v>
      </c>
      <c r="I64" s="2">
        <v>42</v>
      </c>
      <c r="J64" s="2">
        <v>400</v>
      </c>
      <c r="K64" s="2">
        <v>443</v>
      </c>
      <c r="L64" s="2">
        <v>872</v>
      </c>
      <c r="M64" s="2">
        <v>-10.5</v>
      </c>
    </row>
    <row r="65" spans="1:13" x14ac:dyDescent="0.3">
      <c r="A65">
        <v>7</v>
      </c>
      <c r="B65" s="4"/>
      <c r="C65" s="2" t="s">
        <v>61</v>
      </c>
      <c r="D65" s="2">
        <v>12420</v>
      </c>
      <c r="E65" s="2">
        <v>183</v>
      </c>
      <c r="F65" s="2">
        <v>3.9</v>
      </c>
      <c r="G65" s="2">
        <v>0.6</v>
      </c>
      <c r="H65" s="2">
        <v>2.4</v>
      </c>
      <c r="I65" s="2">
        <v>73</v>
      </c>
      <c r="J65" s="2">
        <v>409</v>
      </c>
      <c r="K65" s="2">
        <v>451</v>
      </c>
      <c r="L65" s="2">
        <v>889</v>
      </c>
      <c r="M65" s="2">
        <v>-9.1999999999999993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/>
    </row>
    <row r="71" spans="1:13" x14ac:dyDescent="0.3">
      <c r="A71" t="s">
        <v>57</v>
      </c>
      <c r="C71" s="2"/>
      <c r="E71" t="s">
        <v>34</v>
      </c>
      <c r="H71" s="2" t="s">
        <v>60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/>
      <c r="C75" s="2" t="s">
        <v>61</v>
      </c>
      <c r="D75" s="2">
        <v>12860</v>
      </c>
      <c r="E75" s="2">
        <v>155</v>
      </c>
      <c r="F75" s="2">
        <v>5.9</v>
      </c>
      <c r="G75" s="2">
        <v>-0.4</v>
      </c>
      <c r="H75" s="2">
        <v>2.4</v>
      </c>
      <c r="I75" s="2">
        <v>0</v>
      </c>
      <c r="J75" s="2">
        <v>400</v>
      </c>
      <c r="K75" s="2">
        <v>442</v>
      </c>
      <c r="L75" s="2">
        <v>912</v>
      </c>
      <c r="M75" s="2">
        <v>-12.2</v>
      </c>
    </row>
    <row r="76" spans="1:13" x14ac:dyDescent="0.3">
      <c r="A76">
        <v>2</v>
      </c>
      <c r="B76" s="4"/>
      <c r="C76" s="2" t="s">
        <v>61</v>
      </c>
      <c r="D76" s="2">
        <v>12830</v>
      </c>
      <c r="E76" s="2">
        <v>155</v>
      </c>
      <c r="F76" s="2">
        <v>6</v>
      </c>
      <c r="G76" s="2">
        <v>-1</v>
      </c>
      <c r="H76" s="2">
        <v>2.4</v>
      </c>
      <c r="I76" s="2">
        <v>-24</v>
      </c>
      <c r="J76" s="2">
        <v>400</v>
      </c>
      <c r="K76" s="2">
        <v>442</v>
      </c>
      <c r="L76" s="2">
        <v>944</v>
      </c>
      <c r="M76" s="2">
        <v>-12.1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3.7499999999999999E-2</v>
      </c>
      <c r="E83" t="s">
        <v>38</v>
      </c>
      <c r="G83" s="4">
        <v>3.9583333333333331E-2</v>
      </c>
      <c r="H83" t="s">
        <v>39</v>
      </c>
      <c r="J83" s="4">
        <v>4.2361111111111106E-2</v>
      </c>
    </row>
    <row r="84" spans="1:10" x14ac:dyDescent="0.3">
      <c r="A84" t="s">
        <v>40</v>
      </c>
      <c r="D84" s="4">
        <v>3.888888888888889E-2</v>
      </c>
      <c r="E84" t="s">
        <v>41</v>
      </c>
      <c r="G84" s="4">
        <v>4.0972222222222222E-2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 H8:H16">
    <cfRule type="containsBlanks" dxfId="62" priority="39">
      <formula>LEN(TRIM(D3))=0</formula>
    </cfRule>
  </conditionalFormatting>
  <conditionalFormatting sqref="B34 D34:J34">
    <cfRule type="containsBlanks" dxfId="61" priority="32">
      <formula>LEN(TRIM(B34))=0</formula>
    </cfRule>
  </conditionalFormatting>
  <conditionalFormatting sqref="D18">
    <cfRule type="containsBlanks" dxfId="60" priority="34">
      <formula>LEN(TRIM(D18))=0</formula>
    </cfRule>
  </conditionalFormatting>
  <conditionalFormatting sqref="B28:J33">
    <cfRule type="containsBlanks" dxfId="59" priority="33">
      <formula>LEN(TRIM(B28))=0</formula>
    </cfRule>
  </conditionalFormatting>
  <conditionalFormatting sqref="D59:M65">
    <cfRule type="containsBlanks" dxfId="58" priority="30">
      <formula>LEN(TRIM(D59))=0</formula>
    </cfRule>
  </conditionalFormatting>
  <conditionalFormatting sqref="D44:J50">
    <cfRule type="containsBlanks" dxfId="57" priority="31">
      <formula>LEN(TRIM(D44))=0</formula>
    </cfRule>
  </conditionalFormatting>
  <conditionalFormatting sqref="C70">
    <cfRule type="containsBlanks" dxfId="56" priority="29">
      <formula>LEN(TRIM(C70))=0</formula>
    </cfRule>
  </conditionalFormatting>
  <conditionalFormatting sqref="C71">
    <cfRule type="containsBlanks" dxfId="55" priority="28">
      <formula>LEN(TRIM(C71))=0</formula>
    </cfRule>
  </conditionalFormatting>
  <conditionalFormatting sqref="H71">
    <cfRule type="containsBlanks" dxfId="54" priority="27">
      <formula>LEN(TRIM(H71))=0</formula>
    </cfRule>
  </conditionalFormatting>
  <conditionalFormatting sqref="B75:M76">
    <cfRule type="containsBlanks" dxfId="53" priority="26">
      <formula>LEN(TRIM(B75))=0</formula>
    </cfRule>
  </conditionalFormatting>
  <conditionalFormatting sqref="D3:D4">
    <cfRule type="containsBlanks" dxfId="52" priority="21">
      <formula>LEN(TRIM(D3))=0</formula>
    </cfRule>
  </conditionalFormatting>
  <conditionalFormatting sqref="E39">
    <cfRule type="containsBlanks" dxfId="51" priority="22">
      <formula>LEN(TRIM(E39))=0</formula>
    </cfRule>
  </conditionalFormatting>
  <conditionalFormatting sqref="D83:D84">
    <cfRule type="containsBlanks" dxfId="50" priority="20">
      <formula>LEN(TRIM(D83))=0</formula>
    </cfRule>
  </conditionalFormatting>
  <conditionalFormatting sqref="G83:G84">
    <cfRule type="containsBlanks" dxfId="49" priority="19">
      <formula>LEN(TRIM(G83))=0</formula>
    </cfRule>
  </conditionalFormatting>
  <conditionalFormatting sqref="J83:J84">
    <cfRule type="containsBlanks" dxfId="48" priority="18">
      <formula>LEN(TRIM(J83))=0</formula>
    </cfRule>
  </conditionalFormatting>
  <conditionalFormatting sqref="B59:B65">
    <cfRule type="containsBlanks" dxfId="47" priority="17">
      <formula>LEN(TRIM(B59))=0</formula>
    </cfRule>
  </conditionalFormatting>
  <conditionalFormatting sqref="B44:B50">
    <cfRule type="containsBlanks" dxfId="46" priority="16">
      <formula>LEN(TRIM(B44))=0</formula>
    </cfRule>
  </conditionalFormatting>
  <conditionalFormatting sqref="C34">
    <cfRule type="containsBlanks" dxfId="45" priority="15">
      <formula>LEN(TRIM(C34))=0</formula>
    </cfRule>
  </conditionalFormatting>
  <conditionalFormatting sqref="C44">
    <cfRule type="containsBlanks" dxfId="44" priority="14">
      <formula>LEN(TRIM(C44))=0</formula>
    </cfRule>
  </conditionalFormatting>
  <conditionalFormatting sqref="C45">
    <cfRule type="containsBlanks" dxfId="43" priority="13">
      <formula>LEN(TRIM(C45))=0</formula>
    </cfRule>
  </conditionalFormatting>
  <conditionalFormatting sqref="C46">
    <cfRule type="containsBlanks" dxfId="42" priority="12">
      <formula>LEN(TRIM(C46))=0</formula>
    </cfRule>
  </conditionalFormatting>
  <conditionalFormatting sqref="C47">
    <cfRule type="containsBlanks" dxfId="41" priority="11">
      <formula>LEN(TRIM(C47))=0</formula>
    </cfRule>
  </conditionalFormatting>
  <conditionalFormatting sqref="C48">
    <cfRule type="containsBlanks" dxfId="40" priority="10">
      <formula>LEN(TRIM(C48))=0</formula>
    </cfRule>
  </conditionalFormatting>
  <conditionalFormatting sqref="C49">
    <cfRule type="containsBlanks" dxfId="39" priority="9">
      <formula>LEN(TRIM(C49))=0</formula>
    </cfRule>
  </conditionalFormatting>
  <conditionalFormatting sqref="C50">
    <cfRule type="containsBlanks" dxfId="38" priority="8">
      <formula>LEN(TRIM(C50))=0</formula>
    </cfRule>
  </conditionalFormatting>
  <conditionalFormatting sqref="C59">
    <cfRule type="containsBlanks" dxfId="37" priority="7">
      <formula>LEN(TRIM(C59))=0</formula>
    </cfRule>
  </conditionalFormatting>
  <conditionalFormatting sqref="C60">
    <cfRule type="containsBlanks" dxfId="36" priority="6">
      <formula>LEN(TRIM(C60))=0</formula>
    </cfRule>
  </conditionalFormatting>
  <conditionalFormatting sqref="C61">
    <cfRule type="containsBlanks" dxfId="35" priority="5">
      <formula>LEN(TRIM(C61))=0</formula>
    </cfRule>
  </conditionalFormatting>
  <conditionalFormatting sqref="C62">
    <cfRule type="containsBlanks" dxfId="34" priority="4">
      <formula>LEN(TRIM(C62))=0</formula>
    </cfRule>
  </conditionalFormatting>
  <conditionalFormatting sqref="C63">
    <cfRule type="containsBlanks" dxfId="33" priority="3">
      <formula>LEN(TRIM(C63))=0</formula>
    </cfRule>
  </conditionalFormatting>
  <conditionalFormatting sqref="C64">
    <cfRule type="containsBlanks" dxfId="32" priority="2">
      <formula>LEN(TRIM(C64))=0</formula>
    </cfRule>
  </conditionalFormatting>
  <conditionalFormatting sqref="C65">
    <cfRule type="containsBlanks" dxfId="31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4403-6CD7-4AB9-BDFF-05AB6878CE42}">
  <dimension ref="A1:G19"/>
  <sheetViews>
    <sheetView tabSelected="1" workbookViewId="0">
      <selection activeCell="K6" sqref="K6"/>
    </sheetView>
  </sheetViews>
  <sheetFormatPr defaultRowHeight="14.4" x14ac:dyDescent="0.3"/>
  <cols>
    <col min="1" max="1" width="23" customWidth="1"/>
    <col min="2" max="2" width="15.109375" bestFit="1" customWidth="1"/>
    <col min="3" max="3" width="14" bestFit="1" customWidth="1"/>
    <col min="4" max="4" width="14.33203125" bestFit="1" customWidth="1"/>
    <col min="5" max="6" width="16.44140625" bestFit="1" customWidth="1"/>
    <col min="7" max="7" width="9.44140625" bestFit="1" customWidth="1"/>
  </cols>
  <sheetData>
    <row r="1" spans="1:7" x14ac:dyDescent="0.3">
      <c r="A1" s="14"/>
      <c r="B1" s="14"/>
      <c r="C1" s="14"/>
      <c r="D1" s="14"/>
      <c r="E1" s="14"/>
      <c r="F1" s="14"/>
    </row>
    <row r="2" spans="1:7" ht="15.6" x14ac:dyDescent="0.35">
      <c r="B2" t="s">
        <v>93</v>
      </c>
      <c r="C2" t="s">
        <v>136</v>
      </c>
      <c r="D2" t="s">
        <v>134</v>
      </c>
      <c r="E2" t="s">
        <v>135</v>
      </c>
      <c r="F2" t="s">
        <v>143</v>
      </c>
      <c r="G2" t="s">
        <v>144</v>
      </c>
    </row>
    <row r="3" spans="1:7" x14ac:dyDescent="0.3">
      <c r="A3" s="36" t="s">
        <v>142</v>
      </c>
      <c r="B3" s="15">
        <v>1</v>
      </c>
      <c r="C3" s="15">
        <f>'Flight Data'!I28</f>
        <v>475</v>
      </c>
      <c r="D3" s="16">
        <f>'Flight Weight&amp;Balance'!H$23 -'Flight Mass and CG for overleaf'!C3</f>
        <v>14465.8</v>
      </c>
      <c r="E3" s="17">
        <f t="shared" ref="E3:E8" si="0">0.453592*D3</f>
        <v>6561.5711535999999</v>
      </c>
      <c r="F3" s="18">
        <f>'Changing CG'!I9</f>
        <v>281.11773389650074</v>
      </c>
      <c r="G3" s="19">
        <f>'Changing CG'!J9</f>
        <v>0.36500041857867044</v>
      </c>
    </row>
    <row r="4" spans="1:7" x14ac:dyDescent="0.3">
      <c r="A4" s="37"/>
      <c r="B4" s="20">
        <v>2</v>
      </c>
      <c r="C4" s="20">
        <f>'Flight Data'!I29</f>
        <v>524</v>
      </c>
      <c r="D4" s="21">
        <f>'Flight Weight&amp;Balance'!H$23 -'Flight Mass and CG for overleaf'!C4</f>
        <v>14416.8</v>
      </c>
      <c r="E4" s="22">
        <f t="shared" si="0"/>
        <v>6539.3451455999993</v>
      </c>
      <c r="F4" s="23">
        <f>'Changing CG'!I10</f>
        <v>281.09869006991846</v>
      </c>
      <c r="G4" s="24">
        <f>'Changing CG'!J10</f>
        <v>0.36476525154258405</v>
      </c>
    </row>
    <row r="5" spans="1:7" x14ac:dyDescent="0.3">
      <c r="A5" s="37"/>
      <c r="B5" s="20">
        <v>3</v>
      </c>
      <c r="C5" s="20">
        <f>'Flight Data'!I30</f>
        <v>553</v>
      </c>
      <c r="D5" s="21">
        <f>'Flight Weight&amp;Balance'!H$23 -'Flight Mass and CG for overleaf'!C5</f>
        <v>14387.8</v>
      </c>
      <c r="E5" s="22">
        <f t="shared" si="0"/>
        <v>6526.1909775999993</v>
      </c>
      <c r="F5" s="23">
        <f>'Changing CG'!I11</f>
        <v>281.08744040089522</v>
      </c>
      <c r="G5" s="24">
        <f>'Changing CG'!J11</f>
        <v>0.3646263324388147</v>
      </c>
    </row>
    <row r="6" spans="1:7" x14ac:dyDescent="0.3">
      <c r="A6" s="37"/>
      <c r="B6" s="20">
        <v>4</v>
      </c>
      <c r="C6" s="20">
        <f>'Flight Data'!I31</f>
        <v>577</v>
      </c>
      <c r="D6" s="21">
        <f>'Flight Weight&amp;Balance'!H$23 -'Flight Mass and CG for overleaf'!C6</f>
        <v>14363.8</v>
      </c>
      <c r="E6" s="22">
        <f t="shared" si="0"/>
        <v>6515.3047695999994</v>
      </c>
      <c r="F6" s="23">
        <f>'Changing CG'!I12</f>
        <v>281.07809597738765</v>
      </c>
      <c r="G6" s="24">
        <f>'Changing CG'!J12</f>
        <v>0.36451094069384593</v>
      </c>
    </row>
    <row r="7" spans="1:7" x14ac:dyDescent="0.3">
      <c r="A7" s="37"/>
      <c r="B7" s="20">
        <v>5</v>
      </c>
      <c r="C7" s="20">
        <f>'Flight Data'!I32</f>
        <v>598</v>
      </c>
      <c r="D7" s="21">
        <f>'Flight Weight&amp;Balance'!H$23 -'Flight Mass and CG for overleaf'!C7</f>
        <v>14342.8</v>
      </c>
      <c r="E7" s="22">
        <f t="shared" si="0"/>
        <v>6505.7793376</v>
      </c>
      <c r="F7" s="23">
        <f>'Changing CG'!I13</f>
        <v>281.06989395376075</v>
      </c>
      <c r="G7" s="24">
        <f>'Changing CG'!J13</f>
        <v>0.36440965613436344</v>
      </c>
    </row>
    <row r="8" spans="1:7" x14ac:dyDescent="0.3">
      <c r="A8" s="38"/>
      <c r="B8" s="25">
        <v>6</v>
      </c>
      <c r="C8" s="25">
        <f>'Flight Data'!I33</f>
        <v>640</v>
      </c>
      <c r="D8" s="26">
        <f>'Flight Weight&amp;Balance'!H$23 -'Flight Mass and CG for overleaf'!C8</f>
        <v>14300.8</v>
      </c>
      <c r="E8" s="27">
        <f t="shared" si="0"/>
        <v>6486.7284735999992</v>
      </c>
      <c r="F8" s="28">
        <f>'Changing CG'!I14</f>
        <v>281.0541169025509</v>
      </c>
      <c r="G8" s="29">
        <f>'Changing CG'!J14</f>
        <v>0.36421482961905283</v>
      </c>
    </row>
    <row r="9" spans="1:7" x14ac:dyDescent="0.3">
      <c r="A9" s="36" t="s">
        <v>140</v>
      </c>
      <c r="B9" s="15">
        <v>1</v>
      </c>
      <c r="C9" s="15">
        <f>'Flight Data'!L59</f>
        <v>778</v>
      </c>
      <c r="D9" s="16">
        <f>'Flight Weight&amp;Balance'!H$23-C9</f>
        <v>14162.8</v>
      </c>
      <c r="E9" s="17">
        <f>D9*0.453592</f>
        <v>6424.1327775999998</v>
      </c>
      <c r="F9" s="18">
        <f>'Changing CG'!I18</f>
        <v>281.00217577032794</v>
      </c>
      <c r="G9" s="19">
        <f>'Changing CG'!J18</f>
        <v>0.36357342270101178</v>
      </c>
    </row>
    <row r="10" spans="1:7" x14ac:dyDescent="0.3">
      <c r="A10" s="37"/>
      <c r="B10" s="20">
        <v>2</v>
      </c>
      <c r="C10" s="20">
        <f>'Flight Data'!L60</f>
        <v>797</v>
      </c>
      <c r="D10" s="21">
        <f>'Flight Weight&amp;Balance'!H$23-C10</f>
        <v>14143.8</v>
      </c>
      <c r="E10" s="22">
        <f t="shared" ref="E10:E15" si="1">D10*0.453592</f>
        <v>6415.5145295999992</v>
      </c>
      <c r="F10" s="23">
        <f>'Changing CG'!I19</f>
        <v>280.9949917985266</v>
      </c>
      <c r="G10" s="24">
        <f>'Changing CG'!J19</f>
        <v>0.36348470978669539</v>
      </c>
    </row>
    <row r="11" spans="1:7" x14ac:dyDescent="0.3">
      <c r="A11" s="37"/>
      <c r="B11" s="20">
        <v>3</v>
      </c>
      <c r="C11" s="20">
        <f>'Flight Data'!L61</f>
        <v>826</v>
      </c>
      <c r="D11" s="21">
        <f>'Flight Weight&amp;Balance'!H$23-C11</f>
        <v>14114.8</v>
      </c>
      <c r="E11" s="22">
        <f t="shared" si="1"/>
        <v>6402.3603616</v>
      </c>
      <c r="F11" s="23">
        <f>'Changing CG'!I20</f>
        <v>280.98496578059911</v>
      </c>
      <c r="G11" s="24">
        <f>'Changing CG'!J20</f>
        <v>0.36336090121757358</v>
      </c>
    </row>
    <row r="12" spans="1:7" x14ac:dyDescent="0.3">
      <c r="A12" s="37"/>
      <c r="B12" s="20">
        <v>4</v>
      </c>
      <c r="C12" s="20">
        <f>'Flight Data'!L62</f>
        <v>839</v>
      </c>
      <c r="D12" s="21">
        <f>'Flight Weight&amp;Balance'!H$23-C12</f>
        <v>14101.8</v>
      </c>
      <c r="E12" s="22">
        <f t="shared" si="1"/>
        <v>6396.4636655999993</v>
      </c>
      <c r="F12" s="23">
        <f>'Changing CG'!I21</f>
        <v>280.98050851664328</v>
      </c>
      <c r="G12" s="24">
        <f>'Changing CG'!J21</f>
        <v>0.36330585967699774</v>
      </c>
    </row>
    <row r="13" spans="1:7" x14ac:dyDescent="0.3">
      <c r="A13" s="37"/>
      <c r="B13" s="20">
        <v>5</v>
      </c>
      <c r="C13" s="20">
        <f>'Flight Data'!L63</f>
        <v>857</v>
      </c>
      <c r="D13" s="21">
        <f>'Flight Weight&amp;Balance'!H$23-C13</f>
        <v>14083.8</v>
      </c>
      <c r="E13" s="22">
        <f t="shared" si="1"/>
        <v>6388.2990095999994</v>
      </c>
      <c r="F13" s="23">
        <f>'Changing CG'!I22</f>
        <v>280.97432333603149</v>
      </c>
      <c r="G13" s="24">
        <f>'Changing CG'!J22</f>
        <v>0.3632294805634908</v>
      </c>
    </row>
    <row r="14" spans="1:7" x14ac:dyDescent="0.3">
      <c r="A14" s="37"/>
      <c r="B14" s="20">
        <v>6</v>
      </c>
      <c r="C14" s="20">
        <f>'Flight Data'!L64</f>
        <v>872</v>
      </c>
      <c r="D14" s="21">
        <f>'Flight Weight&amp;Balance'!H$23-C14</f>
        <v>14068.8</v>
      </c>
      <c r="E14" s="22">
        <f t="shared" si="1"/>
        <v>6381.4951295999999</v>
      </c>
      <c r="F14" s="23">
        <f>'Changing CG'!I23</f>
        <v>280.96915692880702</v>
      </c>
      <c r="G14" s="24">
        <f>'Changing CG'!J23</f>
        <v>0.36316568200552013</v>
      </c>
    </row>
    <row r="15" spans="1:7" x14ac:dyDescent="0.3">
      <c r="A15" s="38"/>
      <c r="B15" s="25">
        <v>7</v>
      </c>
      <c r="C15" s="25">
        <f>'Flight Data'!L65</f>
        <v>889</v>
      </c>
      <c r="D15" s="26">
        <f>'Flight Weight&amp;Balance'!H$23-C15</f>
        <v>14051.8</v>
      </c>
      <c r="E15" s="27">
        <f t="shared" si="1"/>
        <v>6373.7840655999998</v>
      </c>
      <c r="F15" s="28">
        <f>'Changing CG'!I24</f>
        <v>280.96328833316733</v>
      </c>
      <c r="G15" s="29">
        <f>'Changing CG'!J24</f>
        <v>0.36309321231374814</v>
      </c>
    </row>
    <row r="16" spans="1:7" x14ac:dyDescent="0.3">
      <c r="A16" s="36" t="s">
        <v>141</v>
      </c>
      <c r="B16" s="15">
        <v>1</v>
      </c>
      <c r="C16" s="15">
        <f>'Changing CG'!B28</f>
        <v>912</v>
      </c>
      <c r="D16" s="16">
        <f>'Flight Weight&amp;Balance'!H$23-'Flight Mass and CG for overleaf'!C16</f>
        <v>14028.8</v>
      </c>
      <c r="E16" s="17">
        <f>D16*0.453592</f>
        <v>6363.3514495999998</v>
      </c>
      <c r="F16" s="18">
        <f>'Changing CG'!I28</f>
        <v>280.95537715271445</v>
      </c>
      <c r="G16" s="19">
        <f>'Changing CG'!J28</f>
        <v>0.36299551929753576</v>
      </c>
    </row>
    <row r="17" spans="1:7" x14ac:dyDescent="0.3">
      <c r="A17" s="38"/>
      <c r="B17" s="25">
        <v>2</v>
      </c>
      <c r="C17" s="25">
        <f>'Changing CG'!B29</f>
        <v>944</v>
      </c>
      <c r="D17" s="26">
        <f>'Flight Weight&amp;Balance'!H$23-'Flight Mass and CG for overleaf'!C17</f>
        <v>13996.8</v>
      </c>
      <c r="E17" s="27">
        <f>D17*0.453592</f>
        <v>6348.8365055999993</v>
      </c>
      <c r="F17" s="28">
        <f>'Changing CG'!I29</f>
        <v>278.79213570244627</v>
      </c>
      <c r="G17" s="29">
        <f>'Changing CG'!J29</f>
        <v>0.33628223885460939</v>
      </c>
    </row>
    <row r="19" spans="1:7" x14ac:dyDescent="0.3">
      <c r="A19" s="14"/>
      <c r="B19" s="14"/>
      <c r="C19" s="14"/>
      <c r="D19" s="14"/>
      <c r="E19" s="14"/>
      <c r="F19" s="14"/>
    </row>
  </sheetData>
  <mergeCells count="3">
    <mergeCell ref="A3:A8"/>
    <mergeCell ref="A9:A15"/>
    <mergeCell ref="A16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1737-6818-4B76-A9F7-A606D8A3676F}">
  <sheetPr>
    <pageSetUpPr fitToPage="1"/>
  </sheetPr>
  <dimension ref="A1:I24"/>
  <sheetViews>
    <sheetView workbookViewId="0">
      <selection activeCell="K16" sqref="K16"/>
    </sheetView>
  </sheetViews>
  <sheetFormatPr defaultRowHeight="14.4" x14ac:dyDescent="0.3"/>
  <cols>
    <col min="1" max="1" width="12" style="5" bestFit="1" customWidth="1"/>
    <col min="2" max="2" width="14.44140625" style="5" bestFit="1" customWidth="1"/>
    <col min="3" max="3" width="12.88671875" style="5" bestFit="1" customWidth="1"/>
    <col min="4" max="4" width="19.109375" style="5" bestFit="1" customWidth="1"/>
    <col min="5" max="5" width="0.5546875" style="5" customWidth="1"/>
    <col min="6" max="6" width="20" style="5" bestFit="1" customWidth="1"/>
    <col min="7" max="7" width="7" style="5" bestFit="1" customWidth="1"/>
    <col min="8" max="8" width="12.109375" style="5" bestFit="1" customWidth="1"/>
    <col min="9" max="9" width="19.88671875" style="5" bestFit="1" customWidth="1"/>
    <col min="10" max="16384" width="8.88671875" style="5"/>
  </cols>
  <sheetData>
    <row r="1" spans="1:9" x14ac:dyDescent="0.3">
      <c r="A1" s="63" t="s">
        <v>64</v>
      </c>
      <c r="B1" s="64"/>
      <c r="C1" s="64"/>
      <c r="D1" s="65"/>
      <c r="E1" s="13"/>
      <c r="F1" s="63" t="s">
        <v>65</v>
      </c>
      <c r="G1" s="64"/>
      <c r="H1" s="64"/>
      <c r="I1" s="65"/>
    </row>
    <row r="2" spans="1:9" x14ac:dyDescent="0.3">
      <c r="A2" s="66"/>
      <c r="B2" s="67"/>
      <c r="C2" s="67"/>
      <c r="D2" s="68"/>
      <c r="E2" s="13"/>
      <c r="F2" s="66"/>
      <c r="G2" s="67"/>
      <c r="H2" s="67"/>
      <c r="I2" s="68"/>
    </row>
    <row r="3" spans="1:9" x14ac:dyDescent="0.3">
      <c r="A3" s="69" t="s">
        <v>66</v>
      </c>
      <c r="B3" s="69" t="s">
        <v>92</v>
      </c>
      <c r="C3" s="69" t="s">
        <v>67</v>
      </c>
      <c r="D3" s="69" t="s">
        <v>68</v>
      </c>
      <c r="E3" s="11"/>
      <c r="F3" s="69" t="s">
        <v>69</v>
      </c>
      <c r="G3" s="69"/>
      <c r="H3" s="69" t="s">
        <v>70</v>
      </c>
      <c r="I3" s="69" t="s">
        <v>71</v>
      </c>
    </row>
    <row r="4" spans="1:9" x14ac:dyDescent="0.3">
      <c r="A4" s="69"/>
      <c r="B4" s="69"/>
      <c r="C4" s="69"/>
      <c r="D4" s="69"/>
      <c r="E4" s="11"/>
      <c r="F4" s="70"/>
      <c r="G4" s="70"/>
      <c r="H4" s="69"/>
      <c r="I4" s="69"/>
    </row>
    <row r="5" spans="1:9" ht="14.4" customHeight="1" x14ac:dyDescent="0.3">
      <c r="A5" s="31" t="s">
        <v>72</v>
      </c>
      <c r="B5" s="31">
        <v>131</v>
      </c>
      <c r="C5" s="31">
        <f>80*2.205</f>
        <v>176.4</v>
      </c>
      <c r="D5" s="31">
        <f t="shared" ref="D5:D13" si="0">B5*C5</f>
        <v>23108.400000000001</v>
      </c>
      <c r="F5" s="41" t="s">
        <v>73</v>
      </c>
      <c r="G5" s="43"/>
      <c r="H5" s="44"/>
      <c r="I5" s="44"/>
    </row>
    <row r="6" spans="1:9" ht="14.4" customHeight="1" x14ac:dyDescent="0.3">
      <c r="A6" s="32" t="s">
        <v>74</v>
      </c>
      <c r="B6" s="32">
        <v>131</v>
      </c>
      <c r="C6" s="32">
        <f>2.205*102</f>
        <v>224.91</v>
      </c>
      <c r="D6" s="32">
        <f t="shared" si="0"/>
        <v>29463.21</v>
      </c>
      <c r="F6" s="42"/>
      <c r="G6" s="40"/>
      <c r="H6" s="39"/>
      <c r="I6" s="39"/>
    </row>
    <row r="7" spans="1:9" x14ac:dyDescent="0.3">
      <c r="A7" s="32" t="s">
        <v>75</v>
      </c>
      <c r="B7" s="32">
        <v>214</v>
      </c>
      <c r="C7" s="32">
        <f>2.205*81</f>
        <v>178.60500000000002</v>
      </c>
      <c r="D7" s="32">
        <f t="shared" si="0"/>
        <v>38221.47</v>
      </c>
      <c r="F7" s="37" t="s">
        <v>76</v>
      </c>
      <c r="G7" s="71">
        <v>291.64999999999998</v>
      </c>
      <c r="H7" s="47">
        <v>9165</v>
      </c>
      <c r="I7" s="47">
        <f>H7*G7</f>
        <v>2672972.25</v>
      </c>
    </row>
    <row r="8" spans="1:9" x14ac:dyDescent="0.3">
      <c r="A8" s="32" t="s">
        <v>77</v>
      </c>
      <c r="B8" s="32">
        <v>214</v>
      </c>
      <c r="C8" s="32">
        <f>2.205*66</f>
        <v>145.53</v>
      </c>
      <c r="D8" s="32">
        <f t="shared" si="0"/>
        <v>31143.420000000002</v>
      </c>
      <c r="F8" s="37"/>
      <c r="G8" s="71"/>
      <c r="H8" s="47"/>
      <c r="I8" s="47"/>
    </row>
    <row r="9" spans="1:9" ht="14.4" customHeight="1" x14ac:dyDescent="0.3">
      <c r="A9" s="32" t="s">
        <v>78</v>
      </c>
      <c r="B9" s="32">
        <v>251</v>
      </c>
      <c r="C9" s="32">
        <f>2.205*99</f>
        <v>218.29500000000002</v>
      </c>
      <c r="D9" s="32">
        <f t="shared" si="0"/>
        <v>54792.045000000006</v>
      </c>
      <c r="F9" s="42" t="s">
        <v>79</v>
      </c>
      <c r="G9" s="40"/>
      <c r="H9" s="39"/>
      <c r="I9" s="39"/>
    </row>
    <row r="10" spans="1:9" ht="14.4" customHeight="1" x14ac:dyDescent="0.3">
      <c r="A10" s="32" t="s">
        <v>80</v>
      </c>
      <c r="B10" s="32">
        <v>251</v>
      </c>
      <c r="C10" s="32">
        <f>2.205*64</f>
        <v>141.12</v>
      </c>
      <c r="D10" s="32">
        <f t="shared" si="0"/>
        <v>35421.120000000003</v>
      </c>
      <c r="F10" s="42"/>
      <c r="G10" s="40"/>
      <c r="H10" s="39"/>
      <c r="I10" s="39"/>
    </row>
    <row r="11" spans="1:9" ht="15" thickBot="1" x14ac:dyDescent="0.35">
      <c r="A11" s="32" t="s">
        <v>81</v>
      </c>
      <c r="B11" s="32">
        <v>288</v>
      </c>
      <c r="C11" s="32">
        <f>2.205*81</f>
        <v>178.60500000000002</v>
      </c>
      <c r="D11" s="32">
        <f t="shared" si="0"/>
        <v>51438.240000000005</v>
      </c>
      <c r="F11" s="55"/>
      <c r="G11" s="56"/>
      <c r="H11" s="53">
        <f>C19</f>
        <v>1675.8000000000002</v>
      </c>
      <c r="I11" s="53">
        <f>D19</f>
        <v>359443.66500000004</v>
      </c>
    </row>
    <row r="12" spans="1:9" ht="15" thickBot="1" x14ac:dyDescent="0.35">
      <c r="A12" s="32" t="s">
        <v>82</v>
      </c>
      <c r="B12" s="32">
        <v>288</v>
      </c>
      <c r="C12" s="32">
        <f>2.205*99</f>
        <v>218.29500000000002</v>
      </c>
      <c r="D12" s="32">
        <f t="shared" si="0"/>
        <v>62868.960000000006</v>
      </c>
      <c r="F12" s="50"/>
      <c r="G12" s="52"/>
      <c r="H12" s="54"/>
      <c r="I12" s="54"/>
    </row>
    <row r="13" spans="1:9" ht="15" customHeight="1" x14ac:dyDescent="0.3">
      <c r="A13" s="33" t="s">
        <v>83</v>
      </c>
      <c r="B13" s="33">
        <v>170</v>
      </c>
      <c r="C13" s="33">
        <f>2.205*88</f>
        <v>194.04000000000002</v>
      </c>
      <c r="D13" s="33">
        <f t="shared" si="0"/>
        <v>32986.800000000003</v>
      </c>
      <c r="F13" s="42" t="s">
        <v>84</v>
      </c>
      <c r="G13" s="40"/>
      <c r="H13" s="39"/>
      <c r="I13" s="39"/>
    </row>
    <row r="14" spans="1:9" ht="14.4" customHeight="1" x14ac:dyDescent="0.3">
      <c r="A14" s="57" t="s">
        <v>85</v>
      </c>
      <c r="B14" s="58"/>
      <c r="C14" s="58"/>
      <c r="D14" s="59"/>
      <c r="E14" s="12"/>
      <c r="F14" s="42"/>
      <c r="G14" s="40"/>
      <c r="H14" s="39"/>
      <c r="I14" s="39"/>
    </row>
    <row r="15" spans="1:9" x14ac:dyDescent="0.3">
      <c r="A15" s="60"/>
      <c r="B15" s="61"/>
      <c r="C15" s="61"/>
      <c r="D15" s="62"/>
      <c r="E15" s="12"/>
      <c r="F15" s="37" t="s">
        <v>86</v>
      </c>
      <c r="G15" s="45">
        <f>I15/H15</f>
        <v>279.72252186185523</v>
      </c>
      <c r="H15" s="47">
        <f>H7+H11</f>
        <v>10840.8</v>
      </c>
      <c r="I15" s="47">
        <f>I11+I7</f>
        <v>3032415.915</v>
      </c>
    </row>
    <row r="16" spans="1:9" x14ac:dyDescent="0.3">
      <c r="A16" s="31" t="s">
        <v>87</v>
      </c>
      <c r="B16" s="31">
        <v>74</v>
      </c>
      <c r="C16" s="31">
        <v>0</v>
      </c>
      <c r="D16" s="31">
        <v>0</v>
      </c>
      <c r="F16" s="37"/>
      <c r="G16" s="45"/>
      <c r="H16" s="47"/>
      <c r="I16" s="47"/>
    </row>
    <row r="17" spans="1:9" ht="14.4" customHeight="1" x14ac:dyDescent="0.3">
      <c r="A17" s="32" t="s">
        <v>88</v>
      </c>
      <c r="B17" s="32">
        <v>321</v>
      </c>
      <c r="C17" s="32">
        <v>0</v>
      </c>
      <c r="D17" s="32">
        <v>0</v>
      </c>
      <c r="F17" s="42" t="s">
        <v>89</v>
      </c>
      <c r="G17" s="40"/>
      <c r="H17" s="39"/>
      <c r="I17" s="39"/>
    </row>
    <row r="18" spans="1:9" ht="14.4" customHeight="1" thickBot="1" x14ac:dyDescent="0.35">
      <c r="A18" s="35"/>
      <c r="B18" s="35">
        <v>338</v>
      </c>
      <c r="C18" s="35">
        <v>0</v>
      </c>
      <c r="D18" s="35">
        <v>0</v>
      </c>
      <c r="F18" s="42"/>
      <c r="G18" s="40"/>
      <c r="H18" s="39"/>
      <c r="I18" s="39"/>
    </row>
    <row r="19" spans="1:9" ht="15" thickBot="1" x14ac:dyDescent="0.35">
      <c r="A19" s="34" t="s">
        <v>79</v>
      </c>
      <c r="B19" s="33"/>
      <c r="C19" s="33">
        <f>SUM(C5:C13)+SUM(C16:C18)</f>
        <v>1675.8000000000002</v>
      </c>
      <c r="D19" s="33">
        <f>SUM(D5:D13)+SUM(D16:D18)</f>
        <v>359443.66500000004</v>
      </c>
      <c r="E19" s="30"/>
      <c r="F19" s="49"/>
      <c r="G19" s="51"/>
      <c r="H19" s="53">
        <v>4100</v>
      </c>
      <c r="I19" s="53">
        <f>11705.5*100</f>
        <v>1170550</v>
      </c>
    </row>
    <row r="20" spans="1:9" ht="15" thickBot="1" x14ac:dyDescent="0.35">
      <c r="F20" s="50"/>
      <c r="G20" s="52"/>
      <c r="H20" s="54"/>
      <c r="I20" s="54"/>
    </row>
    <row r="21" spans="1:9" ht="15" customHeight="1" x14ac:dyDescent="0.3">
      <c r="F21" s="42" t="s">
        <v>90</v>
      </c>
      <c r="G21" s="40"/>
      <c r="H21" s="39"/>
      <c r="I21" s="39"/>
    </row>
    <row r="22" spans="1:9" ht="14.4" customHeight="1" x14ac:dyDescent="0.3">
      <c r="F22" s="42"/>
      <c r="G22" s="40"/>
      <c r="H22" s="39"/>
      <c r="I22" s="39"/>
    </row>
    <row r="23" spans="1:9" x14ac:dyDescent="0.3">
      <c r="F23" s="37" t="s">
        <v>91</v>
      </c>
      <c r="G23" s="45">
        <f>I23/H23</f>
        <v>281.30795640126365</v>
      </c>
      <c r="H23" s="47">
        <f>H15+H19</f>
        <v>14940.8</v>
      </c>
      <c r="I23" s="47">
        <f>I19+I15</f>
        <v>4202965.915</v>
      </c>
    </row>
    <row r="24" spans="1:9" x14ac:dyDescent="0.3">
      <c r="F24" s="38"/>
      <c r="G24" s="46"/>
      <c r="H24" s="48"/>
      <c r="I24" s="48"/>
    </row>
  </sheetData>
  <mergeCells count="50">
    <mergeCell ref="F7:F8"/>
    <mergeCell ref="G7:G8"/>
    <mergeCell ref="H7:H8"/>
    <mergeCell ref="I7:I8"/>
    <mergeCell ref="F9:F10"/>
    <mergeCell ref="A1:D2"/>
    <mergeCell ref="F1:I2"/>
    <mergeCell ref="A3:A4"/>
    <mergeCell ref="B3:B4"/>
    <mergeCell ref="C3:C4"/>
    <mergeCell ref="D3:D4"/>
    <mergeCell ref="F3:G4"/>
    <mergeCell ref="H3:H4"/>
    <mergeCell ref="I3:I4"/>
    <mergeCell ref="A14:D15"/>
    <mergeCell ref="F15:F16"/>
    <mergeCell ref="G15:G16"/>
    <mergeCell ref="H15:H16"/>
    <mergeCell ref="I15:I16"/>
    <mergeCell ref="F17:F18"/>
    <mergeCell ref="G17:G18"/>
    <mergeCell ref="F11:F12"/>
    <mergeCell ref="G11:G12"/>
    <mergeCell ref="H11:H12"/>
    <mergeCell ref="F13:F14"/>
    <mergeCell ref="G13:G14"/>
    <mergeCell ref="H13:H14"/>
    <mergeCell ref="F5:F6"/>
    <mergeCell ref="G5:G6"/>
    <mergeCell ref="H5:H6"/>
    <mergeCell ref="I5:I6"/>
    <mergeCell ref="F23:F24"/>
    <mergeCell ref="G23:G24"/>
    <mergeCell ref="H23:H24"/>
    <mergeCell ref="I23:I24"/>
    <mergeCell ref="F19:F20"/>
    <mergeCell ref="G19:G20"/>
    <mergeCell ref="H19:H20"/>
    <mergeCell ref="I19:I20"/>
    <mergeCell ref="F21:F22"/>
    <mergeCell ref="G21:G22"/>
    <mergeCell ref="H21:H22"/>
    <mergeCell ref="I21:I22"/>
    <mergeCell ref="H17:H18"/>
    <mergeCell ref="I17:I18"/>
    <mergeCell ref="H9:H10"/>
    <mergeCell ref="I9:I10"/>
    <mergeCell ref="G9:G10"/>
    <mergeCell ref="I11:I12"/>
    <mergeCell ref="I13:I14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FC19-7574-4CE4-850E-55A2B515E3A9}">
  <dimension ref="A1:H24"/>
  <sheetViews>
    <sheetView workbookViewId="0">
      <selection activeCell="H27" sqref="H27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73" t="s">
        <v>64</v>
      </c>
      <c r="B1" s="73"/>
      <c r="C1" s="73"/>
      <c r="D1" s="73"/>
      <c r="E1" s="73" t="s">
        <v>65</v>
      </c>
      <c r="F1" s="73"/>
      <c r="G1" s="73"/>
      <c r="H1" s="73"/>
    </row>
    <row r="2" spans="1:8" x14ac:dyDescent="0.3">
      <c r="A2" s="73"/>
      <c r="B2" s="73"/>
      <c r="C2" s="73"/>
      <c r="D2" s="73"/>
      <c r="E2" s="73"/>
      <c r="F2" s="73"/>
      <c r="G2" s="73"/>
      <c r="H2" s="73"/>
    </row>
    <row r="3" spans="1:8" x14ac:dyDescent="0.3">
      <c r="A3" s="74" t="s">
        <v>66</v>
      </c>
      <c r="B3" s="74" t="s">
        <v>92</v>
      </c>
      <c r="C3" s="74" t="s">
        <v>67</v>
      </c>
      <c r="D3" s="74" t="s">
        <v>68</v>
      </c>
      <c r="E3" s="75" t="s">
        <v>69</v>
      </c>
      <c r="F3" s="75"/>
      <c r="G3" s="74" t="s">
        <v>70</v>
      </c>
      <c r="H3" s="74" t="s">
        <v>71</v>
      </c>
    </row>
    <row r="4" spans="1:8" x14ac:dyDescent="0.3">
      <c r="A4" s="74"/>
      <c r="B4" s="74"/>
      <c r="C4" s="74"/>
      <c r="D4" s="74"/>
      <c r="E4" s="75"/>
      <c r="F4" s="75"/>
      <c r="G4" s="74"/>
      <c r="H4" s="74"/>
    </row>
    <row r="5" spans="1:8" x14ac:dyDescent="0.3">
      <c r="A5" s="5" t="s">
        <v>72</v>
      </c>
      <c r="B5" s="5">
        <v>131</v>
      </c>
      <c r="C5" s="5">
        <f>80*2.205</f>
        <v>176.4</v>
      </c>
      <c r="D5" s="5">
        <f t="shared" ref="D5:D13" si="0">B5*C5</f>
        <v>23108.400000000001</v>
      </c>
      <c r="E5" s="72" t="s">
        <v>73</v>
      </c>
      <c r="F5" s="72"/>
      <c r="G5" s="72"/>
      <c r="H5" s="72"/>
    </row>
    <row r="6" spans="1:8" x14ac:dyDescent="0.3">
      <c r="A6" s="5" t="s">
        <v>74</v>
      </c>
      <c r="B6" s="5">
        <v>131</v>
      </c>
      <c r="C6" s="5">
        <f>2.205*102</f>
        <v>224.91</v>
      </c>
      <c r="D6" s="5">
        <f t="shared" si="0"/>
        <v>29463.21</v>
      </c>
      <c r="E6" s="72"/>
      <c r="F6" s="72"/>
      <c r="G6" s="72"/>
      <c r="H6" s="72"/>
    </row>
    <row r="7" spans="1:8" x14ac:dyDescent="0.3">
      <c r="A7" s="5" t="s">
        <v>75</v>
      </c>
      <c r="B7" s="5">
        <v>214</v>
      </c>
      <c r="C7" s="5">
        <f>2.205*81</f>
        <v>178.60500000000002</v>
      </c>
      <c r="D7" s="5">
        <f t="shared" si="0"/>
        <v>38221.47</v>
      </c>
      <c r="E7" s="74" t="s">
        <v>76</v>
      </c>
      <c r="F7" s="74">
        <v>291.64999999999998</v>
      </c>
      <c r="G7" s="74">
        <v>9165</v>
      </c>
      <c r="H7" s="74">
        <f>G7*F7</f>
        <v>2672972.25</v>
      </c>
    </row>
    <row r="8" spans="1:8" x14ac:dyDescent="0.3">
      <c r="A8" s="5" t="s">
        <v>77</v>
      </c>
      <c r="B8" s="5">
        <v>214</v>
      </c>
      <c r="C8" s="5">
        <f>2.205*66</f>
        <v>145.53</v>
      </c>
      <c r="D8" s="5">
        <f t="shared" si="0"/>
        <v>31143.420000000002</v>
      </c>
      <c r="E8" s="74"/>
      <c r="F8" s="74"/>
      <c r="G8" s="74"/>
      <c r="H8" s="74"/>
    </row>
    <row r="9" spans="1:8" x14ac:dyDescent="0.3">
      <c r="A9" s="5" t="s">
        <v>78</v>
      </c>
      <c r="B9" s="5">
        <v>251</v>
      </c>
      <c r="C9" s="5">
        <f>2.205*99</f>
        <v>218.29500000000002</v>
      </c>
      <c r="D9" s="5">
        <f t="shared" si="0"/>
        <v>54792.045000000006</v>
      </c>
      <c r="E9" s="72" t="s">
        <v>79</v>
      </c>
      <c r="F9" s="72"/>
      <c r="G9" s="72"/>
      <c r="H9" s="72"/>
    </row>
    <row r="10" spans="1:8" x14ac:dyDescent="0.3">
      <c r="A10" s="5" t="s">
        <v>80</v>
      </c>
      <c r="B10" s="5">
        <v>251</v>
      </c>
      <c r="C10" s="5">
        <f>2.205*64</f>
        <v>141.12</v>
      </c>
      <c r="D10" s="5">
        <f t="shared" si="0"/>
        <v>35421.120000000003</v>
      </c>
      <c r="E10" s="72"/>
      <c r="F10" s="72"/>
      <c r="G10" s="72"/>
      <c r="H10" s="72"/>
    </row>
    <row r="11" spans="1:8" ht="15" thickBot="1" x14ac:dyDescent="0.35">
      <c r="A11" s="5" t="s">
        <v>81</v>
      </c>
      <c r="B11" s="5">
        <v>288</v>
      </c>
      <c r="C11" s="5">
        <f>2.205*81</f>
        <v>178.60500000000002</v>
      </c>
      <c r="D11" s="5">
        <f t="shared" si="0"/>
        <v>51438.240000000005</v>
      </c>
      <c r="E11" s="78"/>
      <c r="F11" s="78"/>
      <c r="G11" s="79">
        <f>C19</f>
        <v>1675.8000000000002</v>
      </c>
      <c r="H11" s="79">
        <f>D19</f>
        <v>329318.95500000002</v>
      </c>
    </row>
    <row r="12" spans="1:8" ht="15" thickBot="1" x14ac:dyDescent="0.35">
      <c r="A12" s="5" t="s">
        <v>82</v>
      </c>
      <c r="B12" s="5">
        <v>150</v>
      </c>
      <c r="C12" s="5">
        <f>2.205*99</f>
        <v>218.29500000000002</v>
      </c>
      <c r="D12" s="5">
        <f>B12*C12</f>
        <v>32744.250000000004</v>
      </c>
      <c r="E12" s="78"/>
      <c r="F12" s="78"/>
      <c r="G12" s="79"/>
      <c r="H12" s="79"/>
    </row>
    <row r="13" spans="1:8" ht="15" thickBot="1" x14ac:dyDescent="0.35">
      <c r="A13" s="5" t="s">
        <v>83</v>
      </c>
      <c r="B13" s="5">
        <v>170</v>
      </c>
      <c r="C13" s="5">
        <f>2.205*88</f>
        <v>194.04000000000002</v>
      </c>
      <c r="D13" s="5">
        <f t="shared" si="0"/>
        <v>32986.800000000003</v>
      </c>
      <c r="E13" s="80" t="s">
        <v>84</v>
      </c>
      <c r="F13" s="80"/>
      <c r="G13" s="80"/>
      <c r="H13" s="80"/>
    </row>
    <row r="14" spans="1:8" x14ac:dyDescent="0.3">
      <c r="A14" s="76" t="s">
        <v>85</v>
      </c>
      <c r="B14" s="76"/>
      <c r="C14" s="76"/>
      <c r="D14" s="76"/>
      <c r="E14" s="80"/>
      <c r="F14" s="80"/>
      <c r="G14" s="80"/>
      <c r="H14" s="80"/>
    </row>
    <row r="15" spans="1:8" x14ac:dyDescent="0.3">
      <c r="A15" s="76"/>
      <c r="B15" s="76"/>
      <c r="C15" s="76"/>
      <c r="D15" s="76"/>
      <c r="E15" s="74" t="s">
        <v>86</v>
      </c>
      <c r="F15" s="77">
        <f>H15/G15</f>
        <v>276.94369465353111</v>
      </c>
      <c r="G15" s="74">
        <f>G7+G11</f>
        <v>10840.8</v>
      </c>
      <c r="H15" s="74">
        <f>H11+H7</f>
        <v>3002291.2050000001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74"/>
      <c r="F16" s="77"/>
      <c r="G16" s="74"/>
      <c r="H16" s="74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72" t="s">
        <v>89</v>
      </c>
      <c r="F17" s="72"/>
      <c r="G17" s="72"/>
      <c r="H17" s="72"/>
    </row>
    <row r="18" spans="1:8" x14ac:dyDescent="0.3">
      <c r="B18" s="5">
        <v>338</v>
      </c>
      <c r="C18" s="5">
        <v>0</v>
      </c>
      <c r="D18">
        <v>0</v>
      </c>
      <c r="E18" s="72"/>
      <c r="F18" s="72"/>
      <c r="G18" s="72"/>
      <c r="H18" s="72"/>
    </row>
    <row r="19" spans="1:8" ht="15" thickBot="1" x14ac:dyDescent="0.35">
      <c r="A19" s="8" t="s">
        <v>79</v>
      </c>
      <c r="B19" s="9"/>
      <c r="C19" s="9">
        <f>SUM(C5:C13)+SUM(C16:C18)</f>
        <v>1675.8000000000002</v>
      </c>
      <c r="D19" s="9">
        <f>SUM(D5:D13)+SUM(D16:D18)</f>
        <v>329318.95500000002</v>
      </c>
      <c r="E19" s="78"/>
      <c r="F19" s="78"/>
      <c r="G19" s="79">
        <v>4100</v>
      </c>
      <c r="H19" s="79">
        <f>11705.5*100</f>
        <v>1170550</v>
      </c>
    </row>
    <row r="20" spans="1:8" ht="15" thickBot="1" x14ac:dyDescent="0.35">
      <c r="E20" s="78"/>
      <c r="F20" s="78"/>
      <c r="G20" s="79"/>
      <c r="H20" s="79"/>
    </row>
    <row r="21" spans="1:8" ht="15" thickBot="1" x14ac:dyDescent="0.35">
      <c r="E21" s="80" t="s">
        <v>90</v>
      </c>
      <c r="F21" s="80"/>
      <c r="G21" s="80"/>
      <c r="H21" s="80"/>
    </row>
    <row r="22" spans="1:8" x14ac:dyDescent="0.3">
      <c r="E22" s="80"/>
      <c r="F22" s="80"/>
      <c r="G22" s="80"/>
      <c r="H22" s="80"/>
    </row>
    <row r="23" spans="1:8" x14ac:dyDescent="0.3">
      <c r="E23" s="74" t="s">
        <v>91</v>
      </c>
      <c r="F23" s="77">
        <f>H23/G23</f>
        <v>279.29168484953954</v>
      </c>
      <c r="G23" s="74">
        <f>G15+G19</f>
        <v>14940.8</v>
      </c>
      <c r="H23" s="74">
        <f>H19+H15</f>
        <v>4172841.2050000001</v>
      </c>
    </row>
    <row r="24" spans="1:8" x14ac:dyDescent="0.3">
      <c r="E24" s="74"/>
      <c r="F24" s="77"/>
      <c r="G24" s="74"/>
      <c r="H24" s="74"/>
    </row>
  </sheetData>
  <mergeCells count="35"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  <mergeCell ref="E11:E12"/>
    <mergeCell ref="F11:F12"/>
    <mergeCell ref="G11:G12"/>
    <mergeCell ref="H11:H12"/>
    <mergeCell ref="E13:H14"/>
    <mergeCell ref="A14:D15"/>
    <mergeCell ref="E15:E16"/>
    <mergeCell ref="F15:F16"/>
    <mergeCell ref="G15:G16"/>
    <mergeCell ref="H15:H16"/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D154-1F26-4105-A8FA-B8B6FE50AD62}">
  <dimension ref="A1:J29"/>
  <sheetViews>
    <sheetView topLeftCell="A11" workbookViewId="0">
      <selection activeCell="N19" sqref="N19"/>
    </sheetView>
  </sheetViews>
  <sheetFormatPr defaultRowHeight="14.4" x14ac:dyDescent="0.3"/>
  <cols>
    <col min="1" max="1" width="15.109375" bestFit="1" customWidth="1"/>
    <col min="3" max="3" width="9.88671875" bestFit="1" customWidth="1"/>
    <col min="4" max="5" width="15.109375" bestFit="1" customWidth="1"/>
    <col min="6" max="6" width="11.88671875" customWidth="1"/>
    <col min="7" max="7" width="14" bestFit="1" customWidth="1"/>
    <col min="8" max="8" width="12.44140625" bestFit="1" customWidth="1"/>
    <col min="9" max="9" width="17.6640625" bestFit="1" customWidth="1"/>
  </cols>
  <sheetData>
    <row r="1" spans="1:10" x14ac:dyDescent="0.3">
      <c r="A1" t="s">
        <v>106</v>
      </c>
      <c r="B1">
        <v>251.56</v>
      </c>
    </row>
    <row r="2" spans="1:10" x14ac:dyDescent="0.3">
      <c r="A2" t="s">
        <v>107</v>
      </c>
      <c r="B2">
        <v>80.98</v>
      </c>
    </row>
    <row r="7" spans="1:10" x14ac:dyDescent="0.3">
      <c r="A7" t="s">
        <v>137</v>
      </c>
    </row>
    <row r="8" spans="1:10" x14ac:dyDescent="0.3">
      <c r="A8" t="s">
        <v>104</v>
      </c>
      <c r="B8" t="s">
        <v>138</v>
      </c>
      <c r="C8" t="s">
        <v>105</v>
      </c>
      <c r="D8" t="s">
        <v>139</v>
      </c>
      <c r="E8" t="s">
        <v>97</v>
      </c>
      <c r="F8" t="s">
        <v>98</v>
      </c>
      <c r="G8" t="s">
        <v>99</v>
      </c>
      <c r="H8" t="s">
        <v>100</v>
      </c>
      <c r="I8" t="s">
        <v>101</v>
      </c>
      <c r="J8" t="s">
        <v>108</v>
      </c>
    </row>
    <row r="9" spans="1:10" x14ac:dyDescent="0.3">
      <c r="A9">
        <v>1</v>
      </c>
      <c r="B9">
        <f>'Flight Data'!I28</f>
        <v>475</v>
      </c>
      <c r="C9">
        <f>'Flight Weight&amp;Balance'!H$19-'Changing CG'!B9</f>
        <v>3625</v>
      </c>
      <c r="D9">
        <v>3700</v>
      </c>
      <c r="E9">
        <v>3600</v>
      </c>
      <c r="F9">
        <f>10556.84*100</f>
        <v>1055684</v>
      </c>
      <c r="G9">
        <f>10270.08*100</f>
        <v>1027008</v>
      </c>
      <c r="H9">
        <f>(F9-G9)/(D9-E9) *(C9-E9) +G9</f>
        <v>1034177</v>
      </c>
      <c r="I9">
        <f>(H9+'Flight Weight&amp;Balance'!I$15)/('Flight Weight&amp;Balance'!H$15+'Changing CG'!C9)</f>
        <v>281.11773389650074</v>
      </c>
      <c r="J9">
        <f>(I9-B$1)/B$2</f>
        <v>0.36500041857867044</v>
      </c>
    </row>
    <row r="10" spans="1:10" x14ac:dyDescent="0.3">
      <c r="A10">
        <v>2</v>
      </c>
      <c r="B10">
        <f>'Flight Data'!I29</f>
        <v>524</v>
      </c>
      <c r="C10">
        <f>'Flight Weight&amp;Balance'!H$19-'Changing CG'!B10</f>
        <v>3576</v>
      </c>
      <c r="D10">
        <v>3600</v>
      </c>
      <c r="E10">
        <v>3500</v>
      </c>
      <c r="F10">
        <f>10270.08*100</f>
        <v>1027008</v>
      </c>
      <c r="G10">
        <f>9983.4*100</f>
        <v>998340</v>
      </c>
      <c r="H10">
        <f t="shared" ref="H10:H14" si="0">(F10-G10)/(D10-E10) *(C10-E10) +G10</f>
        <v>1020127.68</v>
      </c>
      <c r="I10">
        <f>(H10+'Flight Weight&amp;Balance'!I$15)/('Flight Weight&amp;Balance'!H$15+'Changing CG'!C10)</f>
        <v>281.09869006991846</v>
      </c>
      <c r="J10">
        <f t="shared" ref="J10:J14" si="1">(I10-B$1)/B$2</f>
        <v>0.36476525154258405</v>
      </c>
    </row>
    <row r="11" spans="1:10" x14ac:dyDescent="0.3">
      <c r="A11">
        <v>3</v>
      </c>
      <c r="B11">
        <f>'Flight Data'!I30</f>
        <v>553</v>
      </c>
      <c r="C11">
        <f>'Flight Weight&amp;Balance'!H$19-'Changing CG'!B11</f>
        <v>3547</v>
      </c>
      <c r="D11">
        <v>3600</v>
      </c>
      <c r="E11">
        <v>3500</v>
      </c>
      <c r="F11">
        <f t="shared" ref="F11:F13" si="2">10270.08*100</f>
        <v>1027008</v>
      </c>
      <c r="G11">
        <f t="shared" ref="G11:G13" si="3">9983.4*100</f>
        <v>998340</v>
      </c>
      <c r="H11">
        <f t="shared" si="0"/>
        <v>1011813.96</v>
      </c>
      <c r="I11">
        <f>(H11+'Flight Weight&amp;Balance'!I$15)/('Flight Weight&amp;Balance'!H$15+'Changing CG'!C11)</f>
        <v>281.08744040089522</v>
      </c>
      <c r="J11">
        <f t="shared" si="1"/>
        <v>0.3646263324388147</v>
      </c>
    </row>
    <row r="12" spans="1:10" x14ac:dyDescent="0.3">
      <c r="A12">
        <v>4</v>
      </c>
      <c r="B12">
        <f>'Flight Data'!I31</f>
        <v>577</v>
      </c>
      <c r="C12">
        <f>'Flight Weight&amp;Balance'!H$19-'Changing CG'!B12</f>
        <v>3523</v>
      </c>
      <c r="D12">
        <v>3600</v>
      </c>
      <c r="E12">
        <v>3500</v>
      </c>
      <c r="F12">
        <f t="shared" si="2"/>
        <v>1027008</v>
      </c>
      <c r="G12">
        <f t="shared" si="3"/>
        <v>998340</v>
      </c>
      <c r="H12">
        <f t="shared" si="0"/>
        <v>1004933.64</v>
      </c>
      <c r="I12">
        <f>(H12+'Flight Weight&amp;Balance'!I$15)/('Flight Weight&amp;Balance'!H$15+'Changing CG'!C12)</f>
        <v>281.07809597738765</v>
      </c>
      <c r="J12">
        <f t="shared" si="1"/>
        <v>0.36451094069384593</v>
      </c>
    </row>
    <row r="13" spans="1:10" x14ac:dyDescent="0.3">
      <c r="A13">
        <v>5</v>
      </c>
      <c r="B13">
        <f>'Flight Data'!I32</f>
        <v>598</v>
      </c>
      <c r="C13">
        <f>'Flight Weight&amp;Balance'!H$19-'Changing CG'!B13</f>
        <v>3502</v>
      </c>
      <c r="D13">
        <v>3600</v>
      </c>
      <c r="E13">
        <v>3500</v>
      </c>
      <c r="F13">
        <f t="shared" si="2"/>
        <v>1027008</v>
      </c>
      <c r="G13">
        <f t="shared" si="3"/>
        <v>998340</v>
      </c>
      <c r="H13">
        <f t="shared" si="0"/>
        <v>998913.36</v>
      </c>
      <c r="I13">
        <f>(H13+'Flight Weight&amp;Balance'!I$15)/('Flight Weight&amp;Balance'!H$15+'Changing CG'!C13)</f>
        <v>281.06989395376075</v>
      </c>
      <c r="J13">
        <f t="shared" si="1"/>
        <v>0.36440965613436344</v>
      </c>
    </row>
    <row r="14" spans="1:10" x14ac:dyDescent="0.3">
      <c r="A14">
        <v>6</v>
      </c>
      <c r="B14">
        <f>'Flight Data'!I33</f>
        <v>640</v>
      </c>
      <c r="C14">
        <f>'Flight Weight&amp;Balance'!H$19-'Changing CG'!B14</f>
        <v>3460</v>
      </c>
      <c r="D14">
        <v>3500</v>
      </c>
      <c r="E14">
        <v>3400</v>
      </c>
      <c r="F14">
        <f>9983.4*100</f>
        <v>998340</v>
      </c>
      <c r="G14">
        <f>9696.97*100</f>
        <v>969696.99999999988</v>
      </c>
      <c r="H14">
        <f t="shared" si="0"/>
        <v>986882.79999999993</v>
      </c>
      <c r="I14">
        <f>(H14+'Flight Weight&amp;Balance'!I$15)/('Flight Weight&amp;Balance'!H$15+'Changing CG'!C14)</f>
        <v>281.0541169025509</v>
      </c>
      <c r="J14">
        <f t="shared" si="1"/>
        <v>0.36421482961905283</v>
      </c>
    </row>
    <row r="16" spans="1:10" x14ac:dyDescent="0.3">
      <c r="A16" s="10" t="s">
        <v>102</v>
      </c>
    </row>
    <row r="17" spans="1:10" x14ac:dyDescent="0.3">
      <c r="A17" t="s">
        <v>93</v>
      </c>
      <c r="B17" t="s">
        <v>94</v>
      </c>
      <c r="C17" t="s">
        <v>95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I17" t="s">
        <v>101</v>
      </c>
      <c r="J17" t="s">
        <v>108</v>
      </c>
    </row>
    <row r="18" spans="1:10" x14ac:dyDescent="0.3">
      <c r="A18">
        <f>1</f>
        <v>1</v>
      </c>
      <c r="B18">
        <f>'Flight Data'!L59</f>
        <v>778</v>
      </c>
      <c r="C18">
        <f>'Flight Weight&amp;Balance'!H$19-B18</f>
        <v>3322</v>
      </c>
      <c r="D18">
        <v>3400</v>
      </c>
      <c r="E18">
        <f>D18-100</f>
        <v>3300</v>
      </c>
      <c r="F18">
        <f>9696.97*100</f>
        <v>969696.99999999988</v>
      </c>
      <c r="G18">
        <f>9410.62*100</f>
        <v>941062.00000000012</v>
      </c>
      <c r="H18">
        <f>((F18-G18)/(D18-E18))*(C18-E18)+G18</f>
        <v>947361.70000000007</v>
      </c>
      <c r="I18">
        <f>('Flight Weight&amp;Balance'!I$15+H18)/('Flight Weight&amp;Balance'!H$15+'Changing CG'!C18)</f>
        <v>281.00217577032794</v>
      </c>
      <c r="J18">
        <f t="shared" ref="J18:J24" si="4">(I18-B$1)/B$2</f>
        <v>0.36357342270101178</v>
      </c>
    </row>
    <row r="19" spans="1:10" x14ac:dyDescent="0.3">
      <c r="A19">
        <f>A18+1</f>
        <v>2</v>
      </c>
      <c r="B19">
        <f>'Flight Data'!L60</f>
        <v>797</v>
      </c>
      <c r="C19">
        <f>'Flight Weight&amp;Balance'!H$19-B19</f>
        <v>3303</v>
      </c>
      <c r="D19">
        <v>3400</v>
      </c>
      <c r="E19">
        <f t="shared" ref="E19:E24" si="5">D19-100</f>
        <v>3300</v>
      </c>
      <c r="F19">
        <f>9696.97*100</f>
        <v>969696.99999999988</v>
      </c>
      <c r="G19">
        <f>F21</f>
        <v>941062.00000000012</v>
      </c>
      <c r="H19">
        <f t="shared" ref="H19:H29" si="6">((F19-G19)/(D19-E19))*(C19-E19)+G19</f>
        <v>941921.05000000016</v>
      </c>
      <c r="I19">
        <f>('Flight Weight&amp;Balance'!I$15+H19)/('Flight Weight&amp;Balance'!H$15+'Changing CG'!C19)</f>
        <v>280.9949917985266</v>
      </c>
      <c r="J19">
        <f t="shared" si="4"/>
        <v>0.36348470978669539</v>
      </c>
    </row>
    <row r="20" spans="1:10" x14ac:dyDescent="0.3">
      <c r="A20">
        <f t="shared" ref="A20:A24" si="7">A19+1</f>
        <v>3</v>
      </c>
      <c r="B20">
        <f>'Flight Data'!L61</f>
        <v>826</v>
      </c>
      <c r="C20">
        <f>'Flight Weight&amp;Balance'!H$19-B20</f>
        <v>3274</v>
      </c>
      <c r="D20">
        <v>3300</v>
      </c>
      <c r="E20">
        <f t="shared" si="5"/>
        <v>3200</v>
      </c>
      <c r="F20">
        <f>9410.62*100</f>
        <v>941062.00000000012</v>
      </c>
      <c r="G20">
        <f>9124.8*100</f>
        <v>912479.99999999988</v>
      </c>
      <c r="H20">
        <f t="shared" si="6"/>
        <v>933630.68</v>
      </c>
      <c r="I20">
        <f>('Flight Weight&amp;Balance'!I$15+H20)/('Flight Weight&amp;Balance'!H$15+'Changing CG'!C20)</f>
        <v>280.98496578059911</v>
      </c>
      <c r="J20">
        <f t="shared" si="4"/>
        <v>0.36336090121757358</v>
      </c>
    </row>
    <row r="21" spans="1:10" x14ac:dyDescent="0.3">
      <c r="A21">
        <f t="shared" si="7"/>
        <v>4</v>
      </c>
      <c r="B21">
        <f>'Flight Data'!L62</f>
        <v>839</v>
      </c>
      <c r="C21">
        <f>'Flight Weight&amp;Balance'!H$19-B21</f>
        <v>3261</v>
      </c>
      <c r="D21">
        <v>3300</v>
      </c>
      <c r="E21">
        <f t="shared" si="5"/>
        <v>3200</v>
      </c>
      <c r="F21">
        <f t="shared" ref="F21:F24" si="8">9410.62*100</f>
        <v>941062.00000000012</v>
      </c>
      <c r="G21">
        <f t="shared" ref="G21:G24" si="9">9124.8*100</f>
        <v>912479.99999999988</v>
      </c>
      <c r="H21">
        <f t="shared" si="6"/>
        <v>929915.02</v>
      </c>
      <c r="I21">
        <f>('Flight Weight&amp;Balance'!I$15+H21)/('Flight Weight&amp;Balance'!H$15+'Changing CG'!C21)</f>
        <v>280.98050851664328</v>
      </c>
      <c r="J21">
        <f t="shared" si="4"/>
        <v>0.36330585967699774</v>
      </c>
    </row>
    <row r="22" spans="1:10" x14ac:dyDescent="0.3">
      <c r="A22">
        <f t="shared" si="7"/>
        <v>5</v>
      </c>
      <c r="B22">
        <f>'Flight Data'!L63</f>
        <v>857</v>
      </c>
      <c r="C22">
        <f>'Flight Weight&amp;Balance'!H$19-B22</f>
        <v>3243</v>
      </c>
      <c r="D22">
        <v>3300</v>
      </c>
      <c r="E22">
        <f t="shared" si="5"/>
        <v>3200</v>
      </c>
      <c r="F22">
        <f t="shared" si="8"/>
        <v>941062.00000000012</v>
      </c>
      <c r="G22">
        <f t="shared" si="9"/>
        <v>912479.99999999988</v>
      </c>
      <c r="H22">
        <f t="shared" si="6"/>
        <v>924770.26</v>
      </c>
      <c r="I22">
        <f>('Flight Weight&amp;Balance'!I$15+H22)/('Flight Weight&amp;Balance'!H$15+'Changing CG'!C22)</f>
        <v>280.97432333603149</v>
      </c>
      <c r="J22">
        <f t="shared" si="4"/>
        <v>0.3632294805634908</v>
      </c>
    </row>
    <row r="23" spans="1:10" x14ac:dyDescent="0.3">
      <c r="A23">
        <f t="shared" si="7"/>
        <v>6</v>
      </c>
      <c r="B23">
        <f>'Flight Data'!L64</f>
        <v>872</v>
      </c>
      <c r="C23">
        <f>'Flight Weight&amp;Balance'!H$19-B23</f>
        <v>3228</v>
      </c>
      <c r="D23">
        <v>3300</v>
      </c>
      <c r="E23">
        <f t="shared" si="5"/>
        <v>3200</v>
      </c>
      <c r="F23">
        <f t="shared" si="8"/>
        <v>941062.00000000012</v>
      </c>
      <c r="G23">
        <f t="shared" si="9"/>
        <v>912479.99999999988</v>
      </c>
      <c r="H23">
        <f t="shared" si="6"/>
        <v>920482.96</v>
      </c>
      <c r="I23">
        <f>('Flight Weight&amp;Balance'!I$15+H23)/('Flight Weight&amp;Balance'!H$15+'Changing CG'!C23)</f>
        <v>280.96915692880702</v>
      </c>
      <c r="J23">
        <f t="shared" si="4"/>
        <v>0.36316568200552013</v>
      </c>
    </row>
    <row r="24" spans="1:10" x14ac:dyDescent="0.3">
      <c r="A24">
        <f t="shared" si="7"/>
        <v>7</v>
      </c>
      <c r="B24">
        <f>'Flight Data'!L65</f>
        <v>889</v>
      </c>
      <c r="C24">
        <f>'Flight Weight&amp;Balance'!H$19-B24</f>
        <v>3211</v>
      </c>
      <c r="D24">
        <v>3300</v>
      </c>
      <c r="E24">
        <f t="shared" si="5"/>
        <v>3200</v>
      </c>
      <c r="F24">
        <f t="shared" si="8"/>
        <v>941062.00000000012</v>
      </c>
      <c r="G24">
        <f t="shared" si="9"/>
        <v>912479.99999999988</v>
      </c>
      <c r="H24">
        <f t="shared" si="6"/>
        <v>915624.0199999999</v>
      </c>
      <c r="I24">
        <f>('Flight Weight&amp;Balance'!I$15+H24)/('Flight Weight&amp;Balance'!H$15+'Changing CG'!C24)</f>
        <v>280.96328833316733</v>
      </c>
      <c r="J24">
        <f t="shared" si="4"/>
        <v>0.36309321231374814</v>
      </c>
    </row>
    <row r="26" spans="1:10" x14ac:dyDescent="0.3">
      <c r="A26" s="1" t="s">
        <v>103</v>
      </c>
    </row>
    <row r="27" spans="1:10" x14ac:dyDescent="0.3">
      <c r="A27" t="s">
        <v>104</v>
      </c>
      <c r="B27" t="s">
        <v>94</v>
      </c>
      <c r="C27" t="s">
        <v>105</v>
      </c>
      <c r="D27" t="s">
        <v>96</v>
      </c>
      <c r="E27" t="s">
        <v>97</v>
      </c>
      <c r="F27" t="s">
        <v>98</v>
      </c>
      <c r="G27" t="s">
        <v>99</v>
      </c>
      <c r="H27" t="s">
        <v>100</v>
      </c>
      <c r="I27" t="s">
        <v>101</v>
      </c>
      <c r="J27" t="s">
        <v>108</v>
      </c>
    </row>
    <row r="28" spans="1:10" x14ac:dyDescent="0.3">
      <c r="A28">
        <v>1</v>
      </c>
      <c r="B28">
        <f>'Flight Data'!L75</f>
        <v>912</v>
      </c>
      <c r="C28">
        <f>'Sartaj Moved Weight and Balance'!G$19-'Changing CG'!B28</f>
        <v>3188</v>
      </c>
      <c r="D28">
        <v>3200</v>
      </c>
      <c r="E28">
        <v>3100</v>
      </c>
      <c r="F28">
        <f>9124.8*100</f>
        <v>912479.99999999988</v>
      </c>
      <c r="G28">
        <f>8839.04*100</f>
        <v>883904.00000000012</v>
      </c>
      <c r="H28">
        <f>((F28-G28)/(D28-E28))*(C28-E28)+G28</f>
        <v>909050.87999999989</v>
      </c>
      <c r="I28">
        <f>('Flight Weight&amp;Balance'!I$15+'Changing CG'!H28)/('Flight Weight&amp;Balance'!H$15+'Changing CG'!C28)</f>
        <v>280.95537715271445</v>
      </c>
      <c r="J28">
        <f>(I28-B$1)/B$2</f>
        <v>0.36299551929753576</v>
      </c>
    </row>
    <row r="29" spans="1:10" x14ac:dyDescent="0.3">
      <c r="A29">
        <v>2</v>
      </c>
      <c r="B29">
        <f>'Flight Data'!L76</f>
        <v>944</v>
      </c>
      <c r="C29">
        <f>'Sartaj Moved Weight and Balance'!G$19-'Changing CG'!B29</f>
        <v>3156</v>
      </c>
      <c r="D29">
        <v>3200</v>
      </c>
      <c r="E29">
        <v>3100</v>
      </c>
      <c r="F29">
        <f>9124.8*100</f>
        <v>912479.99999999988</v>
      </c>
      <c r="G29">
        <f>8839.04*100</f>
        <v>883904.00000000012</v>
      </c>
      <c r="H29">
        <f t="shared" si="6"/>
        <v>899906.55999999994</v>
      </c>
      <c r="I29">
        <f>('Sartaj Moved Weight and Balance'!H$15+'Changing CG'!H29)/('Sartaj Moved Weight and Balance'!G$15+'Changing CG'!C29)</f>
        <v>278.79213570244627</v>
      </c>
      <c r="J29">
        <f>(I29-B$1)/B$2</f>
        <v>0.33628223885460939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CFEA-7568-4A40-8F5A-02AE53ACD28F}">
  <dimension ref="A1:M84"/>
  <sheetViews>
    <sheetView topLeftCell="A53" workbookViewId="0">
      <selection activeCell="H65" sqref="H65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43896</v>
      </c>
      <c r="F3" t="s">
        <v>2</v>
      </c>
      <c r="H3" s="3">
        <v>0.6166666666666667</v>
      </c>
    </row>
    <row r="4" spans="1:8" x14ac:dyDescent="0.3">
      <c r="A4" t="s">
        <v>3</v>
      </c>
      <c r="D4" s="2">
        <v>3</v>
      </c>
      <c r="F4" t="s">
        <v>4</v>
      </c>
      <c r="H4" s="3">
        <v>0.67708333333333337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63</v>
      </c>
      <c r="H8" s="2">
        <v>95</v>
      </c>
    </row>
    <row r="9" spans="1:8" x14ac:dyDescent="0.3">
      <c r="A9" t="s">
        <v>48</v>
      </c>
      <c r="D9" s="2" t="s">
        <v>62</v>
      </c>
      <c r="H9" s="2">
        <v>92</v>
      </c>
    </row>
    <row r="10" spans="1:8" x14ac:dyDescent="0.3">
      <c r="A10" t="s">
        <v>49</v>
      </c>
      <c r="D10" s="2"/>
      <c r="H10" s="2">
        <v>74</v>
      </c>
    </row>
    <row r="11" spans="1:8" x14ac:dyDescent="0.3">
      <c r="A11" t="s">
        <v>50</v>
      </c>
      <c r="D11" s="2"/>
      <c r="H11" s="2">
        <v>66</v>
      </c>
    </row>
    <row r="12" spans="1:8" x14ac:dyDescent="0.3">
      <c r="A12" t="s">
        <v>51</v>
      </c>
      <c r="D12" s="2"/>
      <c r="H12" s="2">
        <v>61</v>
      </c>
    </row>
    <row r="13" spans="1:8" x14ac:dyDescent="0.3">
      <c r="A13" t="s">
        <v>52</v>
      </c>
      <c r="D13" s="2"/>
      <c r="H13" s="2">
        <v>75</v>
      </c>
    </row>
    <row r="14" spans="1:8" x14ac:dyDescent="0.3">
      <c r="A14" t="s">
        <v>53</v>
      </c>
      <c r="D14" s="2"/>
      <c r="H14" s="2">
        <v>78</v>
      </c>
    </row>
    <row r="15" spans="1:8" x14ac:dyDescent="0.3">
      <c r="A15" t="s">
        <v>54</v>
      </c>
      <c r="D15" s="2"/>
      <c r="H15" s="2">
        <v>86</v>
      </c>
    </row>
    <row r="16" spans="1:8" x14ac:dyDescent="0.3">
      <c r="A16" t="s">
        <v>55</v>
      </c>
      <c r="D16" s="2"/>
      <c r="H16" s="2">
        <v>68</v>
      </c>
    </row>
    <row r="18" spans="1:10" x14ac:dyDescent="0.3">
      <c r="A18" t="s">
        <v>46</v>
      </c>
      <c r="D18" s="2">
        <v>4050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/>
      <c r="C28" s="2" t="s">
        <v>61</v>
      </c>
      <c r="D28" s="2">
        <v>5010</v>
      </c>
      <c r="E28" s="2">
        <v>249</v>
      </c>
      <c r="F28" s="2" t="s">
        <v>109</v>
      </c>
      <c r="G28" s="2">
        <v>798</v>
      </c>
      <c r="H28" s="2">
        <v>813</v>
      </c>
      <c r="I28" s="2">
        <v>360</v>
      </c>
      <c r="J28" s="2" t="s">
        <v>110</v>
      </c>
    </row>
    <row r="29" spans="1:10" x14ac:dyDescent="0.3">
      <c r="A29">
        <v>2</v>
      </c>
      <c r="B29" s="7"/>
      <c r="C29" s="2" t="s">
        <v>61</v>
      </c>
      <c r="D29" s="2">
        <v>5020</v>
      </c>
      <c r="E29" s="2">
        <v>221</v>
      </c>
      <c r="F29" s="2" t="s">
        <v>111</v>
      </c>
      <c r="G29" s="2">
        <v>673</v>
      </c>
      <c r="H29" s="2">
        <v>682</v>
      </c>
      <c r="I29" s="2">
        <v>412</v>
      </c>
      <c r="J29" s="2" t="s">
        <v>112</v>
      </c>
    </row>
    <row r="30" spans="1:10" x14ac:dyDescent="0.3">
      <c r="A30">
        <v>3</v>
      </c>
      <c r="B30" s="7"/>
      <c r="C30" s="2" t="s">
        <v>61</v>
      </c>
      <c r="D30" s="2">
        <v>5020</v>
      </c>
      <c r="E30" s="2">
        <v>192</v>
      </c>
      <c r="F30" s="2" t="s">
        <v>113</v>
      </c>
      <c r="G30" s="2">
        <v>561</v>
      </c>
      <c r="H30" s="2">
        <v>579</v>
      </c>
      <c r="I30" s="2">
        <v>447</v>
      </c>
      <c r="J30" s="2" t="s">
        <v>114</v>
      </c>
    </row>
    <row r="31" spans="1:10" x14ac:dyDescent="0.3">
      <c r="A31">
        <v>4</v>
      </c>
      <c r="B31" s="7"/>
      <c r="C31" s="2" t="s">
        <v>61</v>
      </c>
      <c r="D31" s="2">
        <v>5030</v>
      </c>
      <c r="E31" s="2">
        <v>163</v>
      </c>
      <c r="F31" s="2" t="s">
        <v>115</v>
      </c>
      <c r="G31" s="2">
        <v>463</v>
      </c>
      <c r="H31" s="2">
        <v>484</v>
      </c>
      <c r="I31" s="2">
        <v>478</v>
      </c>
      <c r="J31" s="2" t="s">
        <v>116</v>
      </c>
    </row>
    <row r="32" spans="1:10" x14ac:dyDescent="0.3">
      <c r="A32">
        <v>5</v>
      </c>
      <c r="B32" s="7"/>
      <c r="C32" s="2" t="s">
        <v>61</v>
      </c>
      <c r="D32" s="2">
        <v>5020</v>
      </c>
      <c r="E32" s="2">
        <v>130</v>
      </c>
      <c r="F32" s="2" t="s">
        <v>117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3">
      <c r="A33">
        <v>6</v>
      </c>
      <c r="B33" s="7"/>
      <c r="C33" s="2" t="s">
        <v>61</v>
      </c>
      <c r="D33" s="2">
        <v>5110</v>
      </c>
      <c r="E33" s="2">
        <v>118</v>
      </c>
      <c r="F33" s="2" t="s">
        <v>118</v>
      </c>
      <c r="G33" s="2">
        <v>474</v>
      </c>
      <c r="H33" s="2">
        <v>499</v>
      </c>
      <c r="I33" s="2">
        <v>570</v>
      </c>
      <c r="J33" s="2" t="s">
        <v>119</v>
      </c>
    </row>
    <row r="34" spans="1:10" x14ac:dyDescent="0.3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/>
      <c r="C59" s="2" t="s">
        <v>61</v>
      </c>
      <c r="D59" s="2">
        <v>6060</v>
      </c>
      <c r="E59" s="2">
        <v>161</v>
      </c>
      <c r="F59" s="2" t="s">
        <v>120</v>
      </c>
      <c r="G59" s="2">
        <v>0</v>
      </c>
      <c r="H59" s="2" t="s">
        <v>121</v>
      </c>
      <c r="I59" s="2">
        <v>0</v>
      </c>
      <c r="J59" s="2">
        <v>462</v>
      </c>
      <c r="K59" s="2">
        <v>486</v>
      </c>
      <c r="L59" s="2">
        <v>664</v>
      </c>
      <c r="M59" s="2" t="s">
        <v>122</v>
      </c>
    </row>
    <row r="60" spans="1:13" x14ac:dyDescent="0.3">
      <c r="A60">
        <v>2</v>
      </c>
      <c r="B60" s="4"/>
      <c r="C60" s="2" t="s">
        <v>61</v>
      </c>
      <c r="D60" s="2">
        <v>6350</v>
      </c>
      <c r="E60" s="2">
        <v>150</v>
      </c>
      <c r="F60" s="2" t="s">
        <v>123</v>
      </c>
      <c r="G60" s="2">
        <v>-0.4</v>
      </c>
      <c r="H60" s="2" t="s">
        <v>121</v>
      </c>
      <c r="I60" s="2">
        <v>-23</v>
      </c>
      <c r="J60" s="2">
        <v>458</v>
      </c>
      <c r="K60" s="2">
        <v>482</v>
      </c>
      <c r="L60" s="2">
        <v>694</v>
      </c>
      <c r="M60" s="2" t="s">
        <v>124</v>
      </c>
    </row>
    <row r="61" spans="1:13" x14ac:dyDescent="0.3">
      <c r="A61">
        <v>3</v>
      </c>
      <c r="B61" s="4"/>
      <c r="C61" s="2" t="s">
        <v>61</v>
      </c>
      <c r="D61" s="2">
        <v>6550</v>
      </c>
      <c r="E61" s="2">
        <v>140</v>
      </c>
      <c r="F61" s="2" t="s">
        <v>125</v>
      </c>
      <c r="G61" s="2">
        <v>-0.9</v>
      </c>
      <c r="H61" s="2" t="s">
        <v>121</v>
      </c>
      <c r="I61" s="2">
        <v>-29</v>
      </c>
      <c r="J61" s="2">
        <v>454</v>
      </c>
      <c r="K61" s="2">
        <v>477</v>
      </c>
      <c r="L61" s="2">
        <v>730</v>
      </c>
      <c r="M61" s="2" t="s">
        <v>126</v>
      </c>
    </row>
    <row r="62" spans="1:13" x14ac:dyDescent="0.3">
      <c r="A62">
        <v>4</v>
      </c>
      <c r="B62" s="4"/>
      <c r="C62" s="2" t="s">
        <v>61</v>
      </c>
      <c r="D62" s="2">
        <v>6880</v>
      </c>
      <c r="E62" s="2">
        <v>130</v>
      </c>
      <c r="F62" s="2" t="s">
        <v>127</v>
      </c>
      <c r="G62" s="2">
        <v>-1.5</v>
      </c>
      <c r="H62" s="2" t="s">
        <v>121</v>
      </c>
      <c r="I62" s="2">
        <v>-46</v>
      </c>
      <c r="J62" s="2">
        <v>449</v>
      </c>
      <c r="K62" s="2">
        <v>473</v>
      </c>
      <c r="L62" s="2">
        <v>755</v>
      </c>
      <c r="M62" s="2" t="s">
        <v>128</v>
      </c>
    </row>
    <row r="63" spans="1:13" x14ac:dyDescent="0.3">
      <c r="A63">
        <v>5</v>
      </c>
      <c r="B63" s="4"/>
      <c r="C63" s="2" t="s">
        <v>61</v>
      </c>
      <c r="D63" s="2">
        <v>6160</v>
      </c>
      <c r="E63" s="2">
        <v>173</v>
      </c>
      <c r="F63" s="2" t="s">
        <v>124</v>
      </c>
      <c r="G63" s="2">
        <v>0.4</v>
      </c>
      <c r="H63" s="2" t="s">
        <v>121</v>
      </c>
      <c r="I63" s="2">
        <v>26</v>
      </c>
      <c r="J63" s="2">
        <v>465</v>
      </c>
      <c r="K63" s="2">
        <v>489</v>
      </c>
      <c r="L63" s="2">
        <v>798</v>
      </c>
      <c r="M63" s="2" t="s">
        <v>129</v>
      </c>
    </row>
    <row r="64" spans="1:13" x14ac:dyDescent="0.3">
      <c r="A64">
        <v>6</v>
      </c>
      <c r="B64" s="4"/>
      <c r="C64" s="2" t="s">
        <v>61</v>
      </c>
      <c r="D64" s="2">
        <v>5810</v>
      </c>
      <c r="E64" s="2">
        <v>179</v>
      </c>
      <c r="F64" s="2" t="s">
        <v>130</v>
      </c>
      <c r="G64" s="2">
        <v>0.6</v>
      </c>
      <c r="H64" s="2" t="s">
        <v>121</v>
      </c>
      <c r="I64" s="2">
        <v>40</v>
      </c>
      <c r="J64" s="2">
        <v>472</v>
      </c>
      <c r="K64" s="2">
        <v>496</v>
      </c>
      <c r="L64" s="2">
        <v>825</v>
      </c>
      <c r="M64" s="2" t="s">
        <v>131</v>
      </c>
    </row>
    <row r="65" spans="1:13" x14ac:dyDescent="0.3">
      <c r="A65">
        <v>7</v>
      </c>
      <c r="B65" s="4"/>
      <c r="C65" s="2" t="s">
        <v>61</v>
      </c>
      <c r="D65" s="2">
        <v>5310</v>
      </c>
      <c r="E65" s="2">
        <v>192</v>
      </c>
      <c r="F65" s="2" t="s">
        <v>132</v>
      </c>
      <c r="G65" s="2">
        <v>1</v>
      </c>
      <c r="H65" s="2" t="s">
        <v>121</v>
      </c>
      <c r="I65" s="2">
        <v>83</v>
      </c>
      <c r="J65" s="2">
        <v>482</v>
      </c>
      <c r="K65" s="2">
        <v>505</v>
      </c>
      <c r="L65" s="2">
        <v>846</v>
      </c>
      <c r="M65" s="2" t="s">
        <v>133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/>
    </row>
    <row r="71" spans="1:13" x14ac:dyDescent="0.3">
      <c r="A71" t="s">
        <v>57</v>
      </c>
      <c r="C71" s="2"/>
      <c r="E71" t="s">
        <v>34</v>
      </c>
      <c r="H71" s="2" t="s">
        <v>60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/>
      <c r="C75" s="2" t="s">
        <v>61</v>
      </c>
      <c r="D75" s="2">
        <v>5730</v>
      </c>
      <c r="E75" s="2">
        <v>161</v>
      </c>
      <c r="F75" s="2" t="s">
        <v>120</v>
      </c>
      <c r="G75" s="2">
        <v>0</v>
      </c>
      <c r="H75" s="2" t="s">
        <v>121</v>
      </c>
      <c r="I75" s="2">
        <v>0</v>
      </c>
      <c r="J75" s="2">
        <v>471</v>
      </c>
      <c r="K75" s="2">
        <v>493</v>
      </c>
      <c r="L75" s="2">
        <v>881</v>
      </c>
      <c r="M75" s="2" t="s">
        <v>129</v>
      </c>
    </row>
    <row r="76" spans="1:13" x14ac:dyDescent="0.3">
      <c r="A76">
        <v>2</v>
      </c>
      <c r="B76" s="4"/>
      <c r="C76" s="2" t="s">
        <v>61</v>
      </c>
      <c r="D76" s="2">
        <v>5790</v>
      </c>
      <c r="E76" s="2">
        <v>161</v>
      </c>
      <c r="F76" s="2">
        <v>5.3</v>
      </c>
      <c r="G76" s="2">
        <v>-0.5</v>
      </c>
      <c r="H76" s="2" t="s">
        <v>121</v>
      </c>
      <c r="I76" s="2">
        <v>-30</v>
      </c>
      <c r="J76" s="2">
        <v>468</v>
      </c>
      <c r="K76" s="2">
        <v>490</v>
      </c>
      <c r="L76" s="2">
        <v>910</v>
      </c>
      <c r="M76" s="2" t="s">
        <v>129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3.7499999999999999E-2</v>
      </c>
      <c r="E83" t="s">
        <v>38</v>
      </c>
      <c r="G83" s="4">
        <v>3.9583333333333331E-2</v>
      </c>
      <c r="H83" t="s">
        <v>39</v>
      </c>
      <c r="J83" s="4">
        <v>4.2361111111111106E-2</v>
      </c>
    </row>
    <row r="84" spans="1:10" x14ac:dyDescent="0.3">
      <c r="A84" t="s">
        <v>40</v>
      </c>
      <c r="D84" s="4">
        <v>3.888888888888889E-2</v>
      </c>
      <c r="E84" t="s">
        <v>41</v>
      </c>
      <c r="G84" s="4">
        <v>4.0972222222222222E-2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">
    <cfRule type="containsBlanks" dxfId="30" priority="36">
      <formula>LEN(TRIM(D3))=0</formula>
    </cfRule>
  </conditionalFormatting>
  <conditionalFormatting sqref="B34">
    <cfRule type="containsBlanks" dxfId="29" priority="33">
      <formula>LEN(TRIM(B34))=0</formula>
    </cfRule>
  </conditionalFormatting>
  <conditionalFormatting sqref="D18">
    <cfRule type="containsBlanks" dxfId="28" priority="35">
      <formula>LEN(TRIM(D18))=0</formula>
    </cfRule>
  </conditionalFormatting>
  <conditionalFormatting sqref="B28:C33">
    <cfRule type="containsBlanks" dxfId="27" priority="34">
      <formula>LEN(TRIM(B28))=0</formula>
    </cfRule>
  </conditionalFormatting>
  <conditionalFormatting sqref="D44:J50">
    <cfRule type="containsBlanks" dxfId="26" priority="32">
      <formula>LEN(TRIM(D44))=0</formula>
    </cfRule>
  </conditionalFormatting>
  <conditionalFormatting sqref="C70">
    <cfRule type="containsBlanks" dxfId="25" priority="30">
      <formula>LEN(TRIM(C70))=0</formula>
    </cfRule>
  </conditionalFormatting>
  <conditionalFormatting sqref="C71">
    <cfRule type="containsBlanks" dxfId="24" priority="29">
      <formula>LEN(TRIM(C71))=0</formula>
    </cfRule>
  </conditionalFormatting>
  <conditionalFormatting sqref="H71">
    <cfRule type="containsBlanks" dxfId="23" priority="28">
      <formula>LEN(TRIM(H71))=0</formula>
    </cfRule>
  </conditionalFormatting>
  <conditionalFormatting sqref="B75:C76">
    <cfRule type="containsBlanks" dxfId="22" priority="27">
      <formula>LEN(TRIM(B75))=0</formula>
    </cfRule>
  </conditionalFormatting>
  <conditionalFormatting sqref="D3:D4">
    <cfRule type="containsBlanks" dxfId="21" priority="25">
      <formula>LEN(TRIM(D3))=0</formula>
    </cfRule>
  </conditionalFormatting>
  <conditionalFormatting sqref="E39">
    <cfRule type="containsBlanks" dxfId="20" priority="26">
      <formula>LEN(TRIM(E39))=0</formula>
    </cfRule>
  </conditionalFormatting>
  <conditionalFormatting sqref="D83:D84">
    <cfRule type="containsBlanks" dxfId="19" priority="24">
      <formula>LEN(TRIM(D83))=0</formula>
    </cfRule>
  </conditionalFormatting>
  <conditionalFormatting sqref="G83:G84">
    <cfRule type="containsBlanks" dxfId="18" priority="23">
      <formula>LEN(TRIM(G83))=0</formula>
    </cfRule>
  </conditionalFormatting>
  <conditionalFormatting sqref="J83:J84">
    <cfRule type="containsBlanks" dxfId="17" priority="22">
      <formula>LEN(TRIM(J83))=0</formula>
    </cfRule>
  </conditionalFormatting>
  <conditionalFormatting sqref="B59:B65">
    <cfRule type="containsBlanks" dxfId="16" priority="21">
      <formula>LEN(TRIM(B59))=0</formula>
    </cfRule>
  </conditionalFormatting>
  <conditionalFormatting sqref="B44:B50">
    <cfRule type="containsBlanks" dxfId="15" priority="20">
      <formula>LEN(TRIM(B44))=0</formula>
    </cfRule>
  </conditionalFormatting>
  <conditionalFormatting sqref="C34">
    <cfRule type="containsBlanks" dxfId="14" priority="19">
      <formula>LEN(TRIM(C34))=0</formula>
    </cfRule>
  </conditionalFormatting>
  <conditionalFormatting sqref="C44">
    <cfRule type="containsBlanks" dxfId="13" priority="18">
      <formula>LEN(TRIM(C44))=0</formula>
    </cfRule>
  </conditionalFormatting>
  <conditionalFormatting sqref="C45">
    <cfRule type="containsBlanks" dxfId="12" priority="17">
      <formula>LEN(TRIM(C45))=0</formula>
    </cfRule>
  </conditionalFormatting>
  <conditionalFormatting sqref="C46">
    <cfRule type="containsBlanks" dxfId="11" priority="16">
      <formula>LEN(TRIM(C46))=0</formula>
    </cfRule>
  </conditionalFormatting>
  <conditionalFormatting sqref="C47">
    <cfRule type="containsBlanks" dxfId="10" priority="15">
      <formula>LEN(TRIM(C47))=0</formula>
    </cfRule>
  </conditionalFormatting>
  <conditionalFormatting sqref="C48">
    <cfRule type="containsBlanks" dxfId="9" priority="14">
      <formula>LEN(TRIM(C48))=0</formula>
    </cfRule>
  </conditionalFormatting>
  <conditionalFormatting sqref="C49">
    <cfRule type="containsBlanks" dxfId="8" priority="13">
      <formula>LEN(TRIM(C49))=0</formula>
    </cfRule>
  </conditionalFormatting>
  <conditionalFormatting sqref="C50">
    <cfRule type="containsBlanks" dxfId="7" priority="12">
      <formula>LEN(TRIM(C50))=0</formula>
    </cfRule>
  </conditionalFormatting>
  <conditionalFormatting sqref="C59">
    <cfRule type="containsBlanks" dxfId="6" priority="11">
      <formula>LEN(TRIM(C59))=0</formula>
    </cfRule>
  </conditionalFormatting>
  <conditionalFormatting sqref="C60">
    <cfRule type="containsBlanks" dxfId="5" priority="10">
      <formula>LEN(TRIM(C60))=0</formula>
    </cfRule>
  </conditionalFormatting>
  <conditionalFormatting sqref="C61">
    <cfRule type="containsBlanks" dxfId="4" priority="9">
      <formula>LEN(TRIM(C61))=0</formula>
    </cfRule>
  </conditionalFormatting>
  <conditionalFormatting sqref="C62">
    <cfRule type="containsBlanks" dxfId="3" priority="8">
      <formula>LEN(TRIM(C62))=0</formula>
    </cfRule>
  </conditionalFormatting>
  <conditionalFormatting sqref="C63">
    <cfRule type="containsBlanks" dxfId="2" priority="7">
      <formula>LEN(TRIM(C63))=0</formula>
    </cfRule>
  </conditionalFormatting>
  <conditionalFormatting sqref="C64">
    <cfRule type="containsBlanks" dxfId="1" priority="6">
      <formula>LEN(TRIM(C64))=0</formula>
    </cfRule>
  </conditionalFormatting>
  <conditionalFormatting sqref="C65">
    <cfRule type="containsBlanks" dxfId="0" priority="5">
      <formula>LEN(TRIM(C65))=0</formula>
    </cfRule>
  </conditionalFormatting>
  <conditionalFormatting sqref="D34:J34">
    <cfRule type="expression" priority="3">
      <formula>LEN(TRIM(D34))=0</formula>
    </cfRule>
  </conditionalFormatting>
  <conditionalFormatting sqref="D28:J33">
    <cfRule type="expression" priority="4">
      <formula>LEN(TRIM(D28))=0</formula>
    </cfRule>
  </conditionalFormatting>
  <conditionalFormatting sqref="D59:M65">
    <cfRule type="expression" priority="2">
      <formula>LEN(TRIM(D59))=0</formula>
    </cfRule>
  </conditionalFormatting>
  <conditionalFormatting sqref="D75:M76">
    <cfRule type="expression" priority="1">
      <formula>LEN(TRIM(D75))=0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AA9D-75B0-4846-B417-08818D0C169A}">
  <dimension ref="A1:H24"/>
  <sheetViews>
    <sheetView workbookViewId="0">
      <selection activeCell="L18" sqref="L18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73" t="s">
        <v>64</v>
      </c>
      <c r="B1" s="73"/>
      <c r="C1" s="73"/>
      <c r="D1" s="73"/>
      <c r="E1" s="73" t="s">
        <v>65</v>
      </c>
      <c r="F1" s="73"/>
      <c r="G1" s="73"/>
      <c r="H1" s="73"/>
    </row>
    <row r="2" spans="1:8" x14ac:dyDescent="0.3">
      <c r="A2" s="73"/>
      <c r="B2" s="73"/>
      <c r="C2" s="73"/>
      <c r="D2" s="73"/>
      <c r="E2" s="73"/>
      <c r="F2" s="73"/>
      <c r="G2" s="73"/>
      <c r="H2" s="73"/>
    </row>
    <row r="3" spans="1:8" x14ac:dyDescent="0.3">
      <c r="A3" s="74" t="s">
        <v>66</v>
      </c>
      <c r="B3" s="74" t="s">
        <v>92</v>
      </c>
      <c r="C3" s="74" t="s">
        <v>67</v>
      </c>
      <c r="D3" s="74" t="s">
        <v>68</v>
      </c>
      <c r="E3" s="75" t="s">
        <v>69</v>
      </c>
      <c r="F3" s="75"/>
      <c r="G3" s="74" t="s">
        <v>70</v>
      </c>
      <c r="H3" s="74" t="s">
        <v>71</v>
      </c>
    </row>
    <row r="4" spans="1:8" x14ac:dyDescent="0.3">
      <c r="A4" s="74"/>
      <c r="B4" s="74"/>
      <c r="C4" s="74"/>
      <c r="D4" s="74"/>
      <c r="E4" s="75"/>
      <c r="F4" s="75"/>
      <c r="G4" s="74"/>
      <c r="H4" s="74"/>
    </row>
    <row r="5" spans="1:8" x14ac:dyDescent="0.3">
      <c r="A5" s="5" t="s">
        <v>72</v>
      </c>
      <c r="B5" s="5">
        <v>131</v>
      </c>
      <c r="C5" s="2">
        <f>2.205*95</f>
        <v>209.47499999999999</v>
      </c>
      <c r="D5" s="5">
        <f t="shared" ref="D5:D13" si="0">B5*C5</f>
        <v>27441.224999999999</v>
      </c>
      <c r="E5" s="72" t="s">
        <v>73</v>
      </c>
      <c r="F5" s="72"/>
      <c r="G5" s="72"/>
      <c r="H5" s="72"/>
    </row>
    <row r="6" spans="1:8" x14ac:dyDescent="0.3">
      <c r="A6" s="5" t="s">
        <v>74</v>
      </c>
      <c r="B6" s="5">
        <v>131</v>
      </c>
      <c r="C6" s="2">
        <f>2.205*92</f>
        <v>202.86</v>
      </c>
      <c r="D6" s="5">
        <f t="shared" si="0"/>
        <v>26574.660000000003</v>
      </c>
      <c r="E6" s="72"/>
      <c r="F6" s="72"/>
      <c r="G6" s="72"/>
      <c r="H6" s="72"/>
    </row>
    <row r="7" spans="1:8" x14ac:dyDescent="0.3">
      <c r="A7" s="5" t="s">
        <v>75</v>
      </c>
      <c r="B7" s="5">
        <v>214</v>
      </c>
      <c r="C7" s="2">
        <f>2.205*66</f>
        <v>145.53</v>
      </c>
      <c r="D7" s="5">
        <f t="shared" si="0"/>
        <v>31143.420000000002</v>
      </c>
      <c r="E7" s="74" t="s">
        <v>76</v>
      </c>
      <c r="F7" s="74">
        <v>291.64999999999998</v>
      </c>
      <c r="G7" s="74">
        <v>9165</v>
      </c>
      <c r="H7" s="74">
        <f>G7*F7</f>
        <v>2672972.25</v>
      </c>
    </row>
    <row r="8" spans="1:8" x14ac:dyDescent="0.3">
      <c r="A8" s="5" t="s">
        <v>77</v>
      </c>
      <c r="B8" s="5">
        <v>214</v>
      </c>
      <c r="C8" s="2">
        <f>2.205*61</f>
        <v>134.505</v>
      </c>
      <c r="D8" s="5">
        <f t="shared" si="0"/>
        <v>28784.07</v>
      </c>
      <c r="E8" s="74"/>
      <c r="F8" s="74"/>
      <c r="G8" s="74"/>
      <c r="H8" s="74"/>
    </row>
    <row r="9" spans="1:8" x14ac:dyDescent="0.3">
      <c r="A9" s="5" t="s">
        <v>78</v>
      </c>
      <c r="B9" s="5">
        <v>251</v>
      </c>
      <c r="C9" s="2">
        <f>2.205*75</f>
        <v>165.375</v>
      </c>
      <c r="D9" s="5">
        <f t="shared" si="0"/>
        <v>41509.125</v>
      </c>
      <c r="E9" s="72" t="s">
        <v>79</v>
      </c>
      <c r="F9" s="72"/>
      <c r="G9" s="72"/>
      <c r="H9" s="72"/>
    </row>
    <row r="10" spans="1:8" x14ac:dyDescent="0.3">
      <c r="A10" s="5" t="s">
        <v>80</v>
      </c>
      <c r="B10" s="5">
        <v>251</v>
      </c>
      <c r="C10" s="2">
        <f>2.205*78</f>
        <v>171.99</v>
      </c>
      <c r="D10" s="5">
        <f t="shared" si="0"/>
        <v>43169.490000000005</v>
      </c>
      <c r="E10" s="72"/>
      <c r="F10" s="72"/>
      <c r="G10" s="72"/>
      <c r="H10" s="72"/>
    </row>
    <row r="11" spans="1:8" ht="15" thickBot="1" x14ac:dyDescent="0.35">
      <c r="A11" s="5" t="s">
        <v>81</v>
      </c>
      <c r="B11" s="5">
        <v>288</v>
      </c>
      <c r="C11" s="2">
        <f>2.205*86</f>
        <v>189.63</v>
      </c>
      <c r="D11" s="5">
        <f t="shared" si="0"/>
        <v>54613.440000000002</v>
      </c>
      <c r="E11" s="78"/>
      <c r="F11" s="78"/>
      <c r="G11" s="79">
        <f>C19</f>
        <v>1532.4750000000004</v>
      </c>
      <c r="H11" s="79">
        <f>D19</f>
        <v>324157.05000000005</v>
      </c>
    </row>
    <row r="12" spans="1:8" ht="15" thickBot="1" x14ac:dyDescent="0.35">
      <c r="A12" s="5" t="s">
        <v>82</v>
      </c>
      <c r="B12" s="5">
        <v>288</v>
      </c>
      <c r="C12" s="2">
        <f>2.205*68</f>
        <v>149.94</v>
      </c>
      <c r="D12" s="5">
        <f t="shared" si="0"/>
        <v>43182.720000000001</v>
      </c>
      <c r="E12" s="78"/>
      <c r="F12" s="78"/>
      <c r="G12" s="79"/>
      <c r="H12" s="79"/>
    </row>
    <row r="13" spans="1:8" ht="15" thickBot="1" x14ac:dyDescent="0.35">
      <c r="A13" s="5" t="s">
        <v>83</v>
      </c>
      <c r="B13" s="5">
        <v>170</v>
      </c>
      <c r="C13" s="2">
        <f>2.205*74</f>
        <v>163.17000000000002</v>
      </c>
      <c r="D13" s="5">
        <f t="shared" si="0"/>
        <v>27738.9</v>
      </c>
      <c r="E13" s="80" t="s">
        <v>84</v>
      </c>
      <c r="F13" s="80"/>
      <c r="G13" s="80"/>
      <c r="H13" s="80"/>
    </row>
    <row r="14" spans="1:8" x14ac:dyDescent="0.3">
      <c r="A14" s="76" t="s">
        <v>85</v>
      </c>
      <c r="B14" s="76"/>
      <c r="C14" s="76"/>
      <c r="D14" s="76"/>
      <c r="E14" s="80"/>
      <c r="F14" s="80"/>
      <c r="G14" s="80"/>
      <c r="H14" s="80"/>
    </row>
    <row r="15" spans="1:8" x14ac:dyDescent="0.3">
      <c r="A15" s="76"/>
      <c r="B15" s="76"/>
      <c r="C15" s="76"/>
      <c r="D15" s="76"/>
      <c r="E15" s="74" t="s">
        <v>86</v>
      </c>
      <c r="F15" s="77">
        <f>H15/G15</f>
        <v>280.17165733035131</v>
      </c>
      <c r="G15" s="74">
        <f>G7+G11</f>
        <v>10697.475</v>
      </c>
      <c r="H15" s="74">
        <f>H11+H7</f>
        <v>2997129.3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74"/>
      <c r="F16" s="77"/>
      <c r="G16" s="74"/>
      <c r="H16" s="74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72" t="s">
        <v>89</v>
      </c>
      <c r="F17" s="72"/>
      <c r="G17" s="72"/>
      <c r="H17" s="72"/>
    </row>
    <row r="18" spans="1:8" x14ac:dyDescent="0.3">
      <c r="B18" s="5">
        <v>338</v>
      </c>
      <c r="C18" s="5">
        <v>0</v>
      </c>
      <c r="D18">
        <v>0</v>
      </c>
      <c r="E18" s="72"/>
      <c r="F18" s="72"/>
      <c r="G18" s="72"/>
      <c r="H18" s="72"/>
    </row>
    <row r="19" spans="1:8" ht="15" thickBot="1" x14ac:dyDescent="0.35">
      <c r="A19" s="8" t="s">
        <v>79</v>
      </c>
      <c r="B19" s="9"/>
      <c r="C19" s="9">
        <f>SUM(C5:C13)+SUM(C16:C18)</f>
        <v>1532.4750000000004</v>
      </c>
      <c r="D19" s="9">
        <f>SUM(D5:D13)+SUM(D16:D18)</f>
        <v>324157.05000000005</v>
      </c>
      <c r="E19" s="78"/>
      <c r="F19" s="78"/>
      <c r="G19" s="79">
        <f>'Reference Data'!D18</f>
        <v>4050</v>
      </c>
      <c r="H19" s="79">
        <f>11705.5*100</f>
        <v>1170550</v>
      </c>
    </row>
    <row r="20" spans="1:8" ht="15" thickBot="1" x14ac:dyDescent="0.35">
      <c r="E20" s="78"/>
      <c r="F20" s="78"/>
      <c r="G20" s="79"/>
      <c r="H20" s="79"/>
    </row>
    <row r="21" spans="1:8" ht="15" thickBot="1" x14ac:dyDescent="0.35">
      <c r="E21" s="80" t="s">
        <v>90</v>
      </c>
      <c r="F21" s="80"/>
      <c r="G21" s="80"/>
      <c r="H21" s="80"/>
    </row>
    <row r="22" spans="1:8" x14ac:dyDescent="0.3">
      <c r="E22" s="80"/>
      <c r="F22" s="80"/>
      <c r="G22" s="80"/>
      <c r="H22" s="80"/>
    </row>
    <row r="23" spans="1:8" x14ac:dyDescent="0.3">
      <c r="E23" s="74" t="s">
        <v>91</v>
      </c>
      <c r="F23" s="77">
        <f>H23/G23</f>
        <v>282.60290659926528</v>
      </c>
      <c r="G23" s="74">
        <f>G15+G19</f>
        <v>14747.475</v>
      </c>
      <c r="H23" s="74">
        <f>H19+H15</f>
        <v>4167679.3</v>
      </c>
    </row>
    <row r="24" spans="1:8" x14ac:dyDescent="0.3">
      <c r="E24" s="74"/>
      <c r="F24" s="77"/>
      <c r="G24" s="74"/>
      <c r="H24" s="74"/>
    </row>
  </sheetData>
  <mergeCells count="35"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  <mergeCell ref="A14:D15"/>
    <mergeCell ref="E15:E16"/>
    <mergeCell ref="F15:F16"/>
    <mergeCell ref="G15:G16"/>
    <mergeCell ref="H15:H16"/>
    <mergeCell ref="E11:E12"/>
    <mergeCell ref="F11:F12"/>
    <mergeCell ref="G11:G12"/>
    <mergeCell ref="H11:H12"/>
    <mergeCell ref="E13:H14"/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FF99-B0AB-4C2B-B79F-87D6BC45997A}">
  <dimension ref="A1:H24"/>
  <sheetViews>
    <sheetView workbookViewId="0">
      <selection activeCell="N17" sqref="N17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73" t="s">
        <v>64</v>
      </c>
      <c r="B1" s="73"/>
      <c r="C1" s="73"/>
      <c r="D1" s="73"/>
      <c r="E1" s="73" t="s">
        <v>65</v>
      </c>
      <c r="F1" s="73"/>
      <c r="G1" s="73"/>
      <c r="H1" s="73"/>
    </row>
    <row r="2" spans="1:8" x14ac:dyDescent="0.3">
      <c r="A2" s="73"/>
      <c r="B2" s="73"/>
      <c r="C2" s="73"/>
      <c r="D2" s="73"/>
      <c r="E2" s="73"/>
      <c r="F2" s="73"/>
      <c r="G2" s="73"/>
      <c r="H2" s="73"/>
    </row>
    <row r="3" spans="1:8" x14ac:dyDescent="0.3">
      <c r="A3" s="74" t="s">
        <v>66</v>
      </c>
      <c r="B3" s="74" t="s">
        <v>92</v>
      </c>
      <c r="C3" s="74" t="s">
        <v>67</v>
      </c>
      <c r="D3" s="74" t="s">
        <v>68</v>
      </c>
      <c r="E3" s="75" t="s">
        <v>69</v>
      </c>
      <c r="F3" s="75"/>
      <c r="G3" s="74" t="s">
        <v>70</v>
      </c>
      <c r="H3" s="74" t="s">
        <v>71</v>
      </c>
    </row>
    <row r="4" spans="1:8" x14ac:dyDescent="0.3">
      <c r="A4" s="74"/>
      <c r="B4" s="74"/>
      <c r="C4" s="74"/>
      <c r="D4" s="74"/>
      <c r="E4" s="75"/>
      <c r="F4" s="75"/>
      <c r="G4" s="74"/>
      <c r="H4" s="74"/>
    </row>
    <row r="5" spans="1:8" x14ac:dyDescent="0.3">
      <c r="A5" s="5" t="s">
        <v>72</v>
      </c>
      <c r="B5" s="5">
        <v>131</v>
      </c>
      <c r="C5" s="2">
        <f>2.205*95</f>
        <v>209.47499999999999</v>
      </c>
      <c r="D5" s="5">
        <f t="shared" ref="D5:D13" si="0">B5*C5</f>
        <v>27441.224999999999</v>
      </c>
      <c r="E5" s="72" t="s">
        <v>73</v>
      </c>
      <c r="F5" s="72"/>
      <c r="G5" s="72"/>
      <c r="H5" s="72"/>
    </row>
    <row r="6" spans="1:8" x14ac:dyDescent="0.3">
      <c r="A6" s="5" t="s">
        <v>74</v>
      </c>
      <c r="B6" s="5">
        <v>131</v>
      </c>
      <c r="C6" s="2">
        <f>2.205*92</f>
        <v>202.86</v>
      </c>
      <c r="D6" s="5">
        <f t="shared" si="0"/>
        <v>26574.660000000003</v>
      </c>
      <c r="E6" s="72"/>
      <c r="F6" s="72"/>
      <c r="G6" s="72"/>
      <c r="H6" s="72"/>
    </row>
    <row r="7" spans="1:8" x14ac:dyDescent="0.3">
      <c r="A7" s="5" t="s">
        <v>75</v>
      </c>
      <c r="B7" s="5">
        <v>214</v>
      </c>
      <c r="C7" s="2">
        <f>2.205*66</f>
        <v>145.53</v>
      </c>
      <c r="D7" s="5">
        <f t="shared" si="0"/>
        <v>31143.420000000002</v>
      </c>
      <c r="E7" s="74" t="s">
        <v>76</v>
      </c>
      <c r="F7" s="74">
        <v>291.64999999999998</v>
      </c>
      <c r="G7" s="74">
        <v>9165</v>
      </c>
      <c r="H7" s="74">
        <f>G7*F7</f>
        <v>2672972.25</v>
      </c>
    </row>
    <row r="8" spans="1:8" x14ac:dyDescent="0.3">
      <c r="A8" s="5" t="s">
        <v>77</v>
      </c>
      <c r="B8" s="5">
        <v>214</v>
      </c>
      <c r="C8" s="2">
        <f>2.205*61</f>
        <v>134.505</v>
      </c>
      <c r="D8" s="5">
        <f t="shared" si="0"/>
        <v>28784.07</v>
      </c>
      <c r="E8" s="74"/>
      <c r="F8" s="74"/>
      <c r="G8" s="74"/>
      <c r="H8" s="74"/>
    </row>
    <row r="9" spans="1:8" x14ac:dyDescent="0.3">
      <c r="A9" s="5" t="s">
        <v>78</v>
      </c>
      <c r="B9" s="5">
        <v>251</v>
      </c>
      <c r="C9" s="2">
        <f>2.205*75</f>
        <v>165.375</v>
      </c>
      <c r="D9" s="5">
        <f t="shared" si="0"/>
        <v>41509.125</v>
      </c>
      <c r="E9" s="72" t="s">
        <v>79</v>
      </c>
      <c r="F9" s="72"/>
      <c r="G9" s="72"/>
      <c r="H9" s="72"/>
    </row>
    <row r="10" spans="1:8" x14ac:dyDescent="0.3">
      <c r="A10" s="5" t="s">
        <v>80</v>
      </c>
      <c r="B10" s="5">
        <v>251</v>
      </c>
      <c r="C10" s="2">
        <f>2.205*78</f>
        <v>171.99</v>
      </c>
      <c r="D10" s="5">
        <f t="shared" si="0"/>
        <v>43169.490000000005</v>
      </c>
      <c r="E10" s="72"/>
      <c r="F10" s="72"/>
      <c r="G10" s="72"/>
      <c r="H10" s="72"/>
    </row>
    <row r="11" spans="1:8" ht="15" thickBot="1" x14ac:dyDescent="0.35">
      <c r="A11" s="5" t="s">
        <v>81</v>
      </c>
      <c r="B11" s="5">
        <v>288</v>
      </c>
      <c r="C11" s="2">
        <f>2.205*86</f>
        <v>189.63</v>
      </c>
      <c r="D11" s="5">
        <f t="shared" si="0"/>
        <v>54613.440000000002</v>
      </c>
      <c r="E11" s="78"/>
      <c r="F11" s="78"/>
      <c r="G11" s="79">
        <f>C19</f>
        <v>1532.4750000000004</v>
      </c>
      <c r="H11" s="79">
        <f>D19</f>
        <v>303465.33</v>
      </c>
    </row>
    <row r="12" spans="1:8" ht="15" thickBot="1" x14ac:dyDescent="0.35">
      <c r="A12" s="5" t="s">
        <v>82</v>
      </c>
      <c r="B12" s="5">
        <v>150</v>
      </c>
      <c r="C12" s="2">
        <f>2.205*68</f>
        <v>149.94</v>
      </c>
      <c r="D12" s="5">
        <f t="shared" si="0"/>
        <v>22491</v>
      </c>
      <c r="E12" s="78"/>
      <c r="F12" s="78"/>
      <c r="G12" s="79"/>
      <c r="H12" s="79"/>
    </row>
    <row r="13" spans="1:8" ht="15" thickBot="1" x14ac:dyDescent="0.35">
      <c r="A13" s="5" t="s">
        <v>83</v>
      </c>
      <c r="B13" s="5">
        <v>170</v>
      </c>
      <c r="C13" s="2">
        <f>2.205*74</f>
        <v>163.17000000000002</v>
      </c>
      <c r="D13" s="5">
        <f t="shared" si="0"/>
        <v>27738.9</v>
      </c>
      <c r="E13" s="80" t="s">
        <v>84</v>
      </c>
      <c r="F13" s="80"/>
      <c r="G13" s="80"/>
      <c r="H13" s="80"/>
    </row>
    <row r="14" spans="1:8" x14ac:dyDescent="0.3">
      <c r="A14" s="76" t="s">
        <v>85</v>
      </c>
      <c r="B14" s="76"/>
      <c r="C14" s="76"/>
      <c r="D14" s="76"/>
      <c r="E14" s="80"/>
      <c r="F14" s="80"/>
      <c r="G14" s="80"/>
      <c r="H14" s="80"/>
    </row>
    <row r="15" spans="1:8" x14ac:dyDescent="0.3">
      <c r="A15" s="76"/>
      <c r="B15" s="76"/>
      <c r="C15" s="76"/>
      <c r="D15" s="76"/>
      <c r="E15" s="74" t="s">
        <v>86</v>
      </c>
      <c r="F15" s="77">
        <f>H15/G15</f>
        <v>278.23739527318361</v>
      </c>
      <c r="G15" s="74">
        <f>G7+G11</f>
        <v>10697.475</v>
      </c>
      <c r="H15" s="74">
        <f>H11+H7</f>
        <v>2976437.58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74"/>
      <c r="F16" s="77"/>
      <c r="G16" s="74"/>
      <c r="H16" s="74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72" t="s">
        <v>89</v>
      </c>
      <c r="F17" s="72"/>
      <c r="G17" s="72"/>
      <c r="H17" s="72"/>
    </row>
    <row r="18" spans="1:8" x14ac:dyDescent="0.3">
      <c r="B18" s="5">
        <v>338</v>
      </c>
      <c r="C18" s="5">
        <v>0</v>
      </c>
      <c r="D18">
        <v>0</v>
      </c>
      <c r="E18" s="72"/>
      <c r="F18" s="72"/>
      <c r="G18" s="72"/>
      <c r="H18" s="72"/>
    </row>
    <row r="19" spans="1:8" ht="15" thickBot="1" x14ac:dyDescent="0.35">
      <c r="A19" s="8" t="s">
        <v>79</v>
      </c>
      <c r="B19" s="9"/>
      <c r="C19" s="9">
        <f>SUM(C5:C13)+SUM(C16:C18)</f>
        <v>1532.4750000000004</v>
      </c>
      <c r="D19" s="9">
        <f>SUM(D5:D13)+SUM(D16:D18)</f>
        <v>303465.33</v>
      </c>
      <c r="E19" s="78"/>
      <c r="F19" s="78"/>
      <c r="G19" s="79">
        <f>'Reference Data'!D18</f>
        <v>4050</v>
      </c>
      <c r="H19" s="79">
        <f>11705.5*100</f>
        <v>1170550</v>
      </c>
    </row>
    <row r="20" spans="1:8" ht="15" thickBot="1" x14ac:dyDescent="0.35">
      <c r="E20" s="78"/>
      <c r="F20" s="78"/>
      <c r="G20" s="79"/>
      <c r="H20" s="79"/>
    </row>
    <row r="21" spans="1:8" ht="15" thickBot="1" x14ac:dyDescent="0.35">
      <c r="E21" s="80" t="s">
        <v>90</v>
      </c>
      <c r="F21" s="80"/>
      <c r="G21" s="80"/>
      <c r="H21" s="80"/>
    </row>
    <row r="22" spans="1:8" x14ac:dyDescent="0.3">
      <c r="E22" s="80"/>
      <c r="F22" s="80"/>
      <c r="G22" s="80"/>
      <c r="H22" s="80"/>
    </row>
    <row r="23" spans="1:8" x14ac:dyDescent="0.3">
      <c r="E23" s="74" t="s">
        <v>91</v>
      </c>
      <c r="F23" s="77">
        <f>H23/G23</f>
        <v>281.19983793835894</v>
      </c>
      <c r="G23" s="74">
        <f>G15+G19</f>
        <v>14747.475</v>
      </c>
      <c r="H23" s="74">
        <f>H19+H15</f>
        <v>4146987.58</v>
      </c>
    </row>
    <row r="24" spans="1:8" x14ac:dyDescent="0.3">
      <c r="E24" s="74"/>
      <c r="F24" s="77"/>
      <c r="G24" s="74"/>
      <c r="H24" s="74"/>
    </row>
  </sheetData>
  <mergeCells count="35"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  <mergeCell ref="A14:D15"/>
    <mergeCell ref="E15:E16"/>
    <mergeCell ref="F15:F16"/>
    <mergeCell ref="G15:G16"/>
    <mergeCell ref="H15:H16"/>
    <mergeCell ref="E11:E12"/>
    <mergeCell ref="F11:F12"/>
    <mergeCell ref="G11:G12"/>
    <mergeCell ref="H11:H12"/>
    <mergeCell ref="E13:H14"/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47DD-84D5-4EF1-B05D-B79BDAC94B57}">
  <dimension ref="A1:L19"/>
  <sheetViews>
    <sheetView workbookViewId="0">
      <selection activeCell="I19" sqref="I19"/>
    </sheetView>
  </sheetViews>
  <sheetFormatPr defaultRowHeight="14.4" x14ac:dyDescent="0.3"/>
  <cols>
    <col min="1" max="1" width="15.109375" bestFit="1" customWidth="1"/>
    <col min="3" max="3" width="9.88671875" bestFit="1" customWidth="1"/>
    <col min="4" max="5" width="15.109375" bestFit="1" customWidth="1"/>
    <col min="6" max="6" width="11.6640625" customWidth="1"/>
    <col min="7" max="7" width="14" bestFit="1" customWidth="1"/>
    <col min="8" max="8" width="12.44140625" bestFit="1" customWidth="1"/>
    <col min="9" max="9" width="17.6640625" bestFit="1" customWidth="1"/>
  </cols>
  <sheetData>
    <row r="1" spans="1:12" x14ac:dyDescent="0.3">
      <c r="A1" t="s">
        <v>106</v>
      </c>
      <c r="B1">
        <v>251.56</v>
      </c>
    </row>
    <row r="2" spans="1:12" x14ac:dyDescent="0.3">
      <c r="A2" t="s">
        <v>107</v>
      </c>
      <c r="B2">
        <v>80.98</v>
      </c>
    </row>
    <row r="6" spans="1:12" x14ac:dyDescent="0.3">
      <c r="A6" s="10" t="s">
        <v>102</v>
      </c>
    </row>
    <row r="7" spans="1:12" x14ac:dyDescent="0.3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  <c r="I7" t="s">
        <v>101</v>
      </c>
      <c r="J7" t="s">
        <v>108</v>
      </c>
    </row>
    <row r="8" spans="1:12" x14ac:dyDescent="0.3">
      <c r="A8">
        <f>1</f>
        <v>1</v>
      </c>
      <c r="B8">
        <f>'Reference Data'!L59</f>
        <v>664</v>
      </c>
      <c r="C8">
        <f>'Reference Weight&amp;Balance'!G$19-B8</f>
        <v>3386</v>
      </c>
      <c r="D8">
        <v>3400</v>
      </c>
      <c r="E8">
        <f>D8-100</f>
        <v>3300</v>
      </c>
      <c r="F8">
        <f>9696.97*100</f>
        <v>969696.99999999988</v>
      </c>
      <c r="G8">
        <f>F11</f>
        <v>941062.00000000012</v>
      </c>
      <c r="H8">
        <f>((F8-G8)/(D8-E8))*(C8-E8)+G8</f>
        <v>965688.09999999986</v>
      </c>
      <c r="I8">
        <f>('Reference Weight&amp;Balance'!H$15+H8)/('Reference Weight&amp;Balance'!G$15+'Changing CG Reference'!C8)</f>
        <v>281.38065356739008</v>
      </c>
      <c r="J8">
        <f>(I8-B$1)/B$2</f>
        <v>0.36824714210163101</v>
      </c>
    </row>
    <row r="9" spans="1:12" x14ac:dyDescent="0.3">
      <c r="A9">
        <f>A8+1</f>
        <v>2</v>
      </c>
      <c r="B9">
        <f>'Reference Data'!L60</f>
        <v>694</v>
      </c>
      <c r="C9">
        <f>'Reference Weight&amp;Balance'!G$19-B9</f>
        <v>3356</v>
      </c>
      <c r="D9">
        <v>3400</v>
      </c>
      <c r="E9">
        <f t="shared" ref="E9:E14" si="0">D9-100</f>
        <v>3300</v>
      </c>
      <c r="F9">
        <f>9696.97*100</f>
        <v>969696.99999999988</v>
      </c>
      <c r="G9">
        <f>F11</f>
        <v>941062.00000000012</v>
      </c>
      <c r="H9">
        <f t="shared" ref="H9:H19" si="1">((F9-G9)/(D9-E9))*(C9-E9)+G9</f>
        <v>957097.6</v>
      </c>
      <c r="I9">
        <f>('Reference Weight&amp;Balance'!H$15+H9)/('Reference Weight&amp;Balance'!G$15+'Changing CG Reference'!C9)</f>
        <v>281.3700454869703</v>
      </c>
      <c r="J9">
        <f t="shared" ref="J9:J14" si="2">(I9-B$1)/B$2</f>
        <v>0.36811614580106561</v>
      </c>
    </row>
    <row r="10" spans="1:12" x14ac:dyDescent="0.3">
      <c r="A10">
        <f t="shared" ref="A10:A14" si="3">A9+1</f>
        <v>3</v>
      </c>
      <c r="B10">
        <f>'Reference Data'!L61</f>
        <v>730</v>
      </c>
      <c r="C10">
        <f>'Reference Weight&amp;Balance'!G$19-B10</f>
        <v>3320</v>
      </c>
      <c r="D10">
        <v>3400</v>
      </c>
      <c r="E10">
        <f t="shared" si="0"/>
        <v>3300</v>
      </c>
      <c r="F10">
        <f>9696.97*100</f>
        <v>969696.99999999988</v>
      </c>
      <c r="G10">
        <f>9124.8*100</f>
        <v>912479.99999999988</v>
      </c>
      <c r="H10">
        <f t="shared" si="1"/>
        <v>923923.39999999991</v>
      </c>
      <c r="I10">
        <f>('Reference Weight&amp;Balance'!H$15+H10)/('Reference Weight&amp;Balance'!G$15+'Changing CG Reference'!C10)</f>
        <v>279.72603482438882</v>
      </c>
      <c r="J10">
        <f t="shared" si="2"/>
        <v>0.3478147051665697</v>
      </c>
    </row>
    <row r="11" spans="1:12" x14ac:dyDescent="0.3">
      <c r="A11">
        <f t="shared" si="3"/>
        <v>4</v>
      </c>
      <c r="B11">
        <f>'Reference Data'!L62</f>
        <v>755</v>
      </c>
      <c r="C11">
        <f>'Reference Weight&amp;Balance'!G$19-B11</f>
        <v>3295</v>
      </c>
      <c r="D11">
        <v>3300</v>
      </c>
      <c r="E11">
        <f t="shared" si="0"/>
        <v>3200</v>
      </c>
      <c r="F11">
        <f>9410.62*100</f>
        <v>941062.00000000012</v>
      </c>
      <c r="G11">
        <f t="shared" ref="G11:G14" si="4">9124.8*100</f>
        <v>912479.99999999988</v>
      </c>
      <c r="H11">
        <f t="shared" si="1"/>
        <v>939632.90000000014</v>
      </c>
      <c r="I11">
        <f>('Reference Weight&amp;Balance'!H$15+H11)/('Reference Weight&amp;Balance'!G$15+'Changing CG Reference'!C11)</f>
        <v>281.34852483209727</v>
      </c>
      <c r="J11">
        <f t="shared" si="2"/>
        <v>0.36785039308591339</v>
      </c>
    </row>
    <row r="12" spans="1:12" x14ac:dyDescent="0.3">
      <c r="A12">
        <f t="shared" si="3"/>
        <v>5</v>
      </c>
      <c r="B12">
        <f>'Reference Data'!L63</f>
        <v>798</v>
      </c>
      <c r="C12">
        <f>'Reference Weight&amp;Balance'!G$19-B12</f>
        <v>3252</v>
      </c>
      <c r="D12">
        <v>3300</v>
      </c>
      <c r="E12">
        <f t="shared" si="0"/>
        <v>3200</v>
      </c>
      <c r="F12">
        <f t="shared" ref="F12:F14" si="5">9410.62*100</f>
        <v>941062.00000000012</v>
      </c>
      <c r="G12">
        <f t="shared" si="4"/>
        <v>912479.99999999988</v>
      </c>
      <c r="H12">
        <f t="shared" si="1"/>
        <v>927342.64</v>
      </c>
      <c r="I12">
        <f>('Reference Weight&amp;Balance'!H$15+H12)/('Reference Weight&amp;Balance'!G$15+'Changing CG Reference'!C12)</f>
        <v>281.33474127162492</v>
      </c>
      <c r="J12">
        <f t="shared" si="2"/>
        <v>0.36768018364565225</v>
      </c>
    </row>
    <row r="13" spans="1:12" x14ac:dyDescent="0.3">
      <c r="A13">
        <f t="shared" si="3"/>
        <v>6</v>
      </c>
      <c r="B13">
        <f>'Reference Data'!L64</f>
        <v>825</v>
      </c>
      <c r="C13">
        <f>'Reference Weight&amp;Balance'!G$19-B13</f>
        <v>3225</v>
      </c>
      <c r="D13">
        <v>3300</v>
      </c>
      <c r="E13">
        <f t="shared" si="0"/>
        <v>3200</v>
      </c>
      <c r="F13">
        <f t="shared" si="5"/>
        <v>941062.00000000012</v>
      </c>
      <c r="G13">
        <f t="shared" si="4"/>
        <v>912479.99999999988</v>
      </c>
      <c r="H13">
        <f t="shared" si="1"/>
        <v>919625.5</v>
      </c>
      <c r="I13">
        <f>('Reference Weight&amp;Balance'!H$15+H13)/('Reference Weight&amp;Balance'!G$15+'Changing CG Reference'!C13)</f>
        <v>281.32604296290708</v>
      </c>
      <c r="J13">
        <f t="shared" si="2"/>
        <v>0.36757277059653098</v>
      </c>
    </row>
    <row r="14" spans="1:12" x14ac:dyDescent="0.3">
      <c r="A14">
        <f t="shared" si="3"/>
        <v>7</v>
      </c>
      <c r="B14">
        <f>'Reference Data'!L65</f>
        <v>846</v>
      </c>
      <c r="C14">
        <f>'Reference Weight&amp;Balance'!G$19-B14</f>
        <v>3204</v>
      </c>
      <c r="D14">
        <v>3300</v>
      </c>
      <c r="E14">
        <f t="shared" si="0"/>
        <v>3200</v>
      </c>
      <c r="F14">
        <f t="shared" si="5"/>
        <v>941062.00000000012</v>
      </c>
      <c r="G14">
        <f t="shared" si="4"/>
        <v>912479.99999999988</v>
      </c>
      <c r="H14">
        <f t="shared" si="1"/>
        <v>913623.27999999991</v>
      </c>
      <c r="I14">
        <f>('Reference Weight&amp;Balance'!H$15+H14)/('Reference Weight&amp;Balance'!G$15+'Changing CG Reference'!C14)</f>
        <v>281.31925425179696</v>
      </c>
      <c r="J14">
        <f t="shared" si="2"/>
        <v>0.36748893864901161</v>
      </c>
      <c r="L14">
        <f>I14-I18</f>
        <v>1.1226075926742851E-2</v>
      </c>
    </row>
    <row r="15" spans="1:12" x14ac:dyDescent="0.3">
      <c r="L15">
        <f>I14-I19</f>
        <v>1.5158956188093953</v>
      </c>
    </row>
    <row r="16" spans="1:12" x14ac:dyDescent="0.3">
      <c r="A16" s="1" t="s">
        <v>103</v>
      </c>
    </row>
    <row r="17" spans="1:10" x14ac:dyDescent="0.3">
      <c r="A17" t="s">
        <v>104</v>
      </c>
      <c r="B17" t="s">
        <v>94</v>
      </c>
      <c r="C17" t="s">
        <v>105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J17" t="s">
        <v>108</v>
      </c>
    </row>
    <row r="18" spans="1:10" x14ac:dyDescent="0.3">
      <c r="A18">
        <v>1</v>
      </c>
      <c r="B18">
        <f>'Reference Data'!L75</f>
        <v>881</v>
      </c>
      <c r="C18">
        <f>'Reference Moved Weight&amp;Balance'!G$19-'Changing CG Reference'!B18</f>
        <v>3169</v>
      </c>
      <c r="D18">
        <v>3200</v>
      </c>
      <c r="E18">
        <v>3100</v>
      </c>
      <c r="F18">
        <f>9124.8*100</f>
        <v>912479.99999999988</v>
      </c>
      <c r="G18">
        <f>8839.04*100</f>
        <v>883904.00000000012</v>
      </c>
      <c r="H18">
        <f>((F18-G18)/(D18-E18))*(C18-E18)+G18</f>
        <v>903621.44</v>
      </c>
      <c r="I18">
        <f>('Reference Weight&amp;Balance'!H$15+H18)/('Reference Weight&amp;Balance'!G$15+'Changing CG Reference'!C18)</f>
        <v>281.30802817587022</v>
      </c>
      <c r="J18">
        <f>(I18-B$1)/B$2</f>
        <v>0.3673503108899755</v>
      </c>
    </row>
    <row r="19" spans="1:10" x14ac:dyDescent="0.3">
      <c r="A19">
        <v>2</v>
      </c>
      <c r="B19">
        <f>'Reference Data'!L76</f>
        <v>910</v>
      </c>
      <c r="C19">
        <f>'Reference Moved Weight&amp;Balance'!G$19-'Changing CG Reference'!B19</f>
        <v>3140</v>
      </c>
      <c r="D19">
        <v>3200</v>
      </c>
      <c r="E19">
        <v>3100</v>
      </c>
      <c r="F19">
        <f>9124.8*100</f>
        <v>912479.99999999988</v>
      </c>
      <c r="G19">
        <f>8839.04*100</f>
        <v>883904.00000000012</v>
      </c>
      <c r="H19">
        <f t="shared" si="1"/>
        <v>895334.40000000002</v>
      </c>
      <c r="I19">
        <f>('Reference Moved Weight&amp;Balance'!H$15+H19)/('Reference Moved Weight&amp;Balance'!G$15+'Changing CG Reference'!C19)</f>
        <v>279.80335863298757</v>
      </c>
      <c r="J19">
        <f>(I19-B$1)/B$2</f>
        <v>0.34876955585314356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Flight Data</vt:lpstr>
      <vt:lpstr>Flight Mass and CG for overleaf</vt:lpstr>
      <vt:lpstr>Flight Weight&amp;Balance</vt:lpstr>
      <vt:lpstr>Sartaj Moved Weight and Balance</vt:lpstr>
      <vt:lpstr>Changing CG</vt:lpstr>
      <vt:lpstr>Reference Data</vt:lpstr>
      <vt:lpstr>Reference Weight&amp;Balance</vt:lpstr>
      <vt:lpstr>Reference Moved Weight&amp;Balance</vt:lpstr>
      <vt:lpstr>Changing CG Reference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sartaj</cp:lastModifiedBy>
  <cp:lastPrinted>2020-03-23T18:47:07Z</cp:lastPrinted>
  <dcterms:created xsi:type="dcterms:W3CDTF">2013-02-25T15:54:42Z</dcterms:created>
  <dcterms:modified xsi:type="dcterms:W3CDTF">2020-03-23T20:02:03Z</dcterms:modified>
</cp:coreProperties>
</file>