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fost\Dropbox\Drexel\Senior Design\Submissions\Progress Report Fall 2015-2016\"/>
    </mc:Choice>
  </mc:AlternateContent>
  <bookViews>
    <workbookView xWindow="0" yWindow="0" windowWidth="24000" windowHeight="13632" tabRatio="756"/>
  </bookViews>
  <sheets>
    <sheet name="PLANNED EXPENSES" sheetId="2" r:id="rId1"/>
    <sheet name="ACTUAL EXPENSES" sheetId="3" r:id="rId2"/>
    <sheet name="EXPENSE VARIANCES" sheetId="4" r:id="rId3"/>
    <sheet name="EXPENSE ANALYSIS" sheetId="5" r:id="rId4"/>
  </sheets>
  <calcPr calcId="152511"/>
</workbook>
</file>

<file path=xl/calcChain.xml><?xml version="1.0" encoding="utf-8"?>
<calcChain xmlns="http://schemas.openxmlformats.org/spreadsheetml/2006/main">
  <c r="O34" i="2" l="1"/>
  <c r="O33" i="2"/>
  <c r="E8" i="2" l="1"/>
  <c r="O7" i="2"/>
  <c r="O8" i="2"/>
  <c r="C8" i="2"/>
  <c r="D8" i="2"/>
  <c r="E9" i="2"/>
  <c r="F8" i="2"/>
  <c r="G8" i="2"/>
  <c r="H8" i="2"/>
  <c r="I8" i="2"/>
  <c r="I9" i="2" s="1"/>
  <c r="J8" i="2"/>
  <c r="K8" i="2"/>
  <c r="L8" i="2"/>
  <c r="M8" i="2"/>
  <c r="M9" i="2" s="1"/>
  <c r="N8" i="2"/>
  <c r="C9" i="2"/>
  <c r="D9" i="2"/>
  <c r="F9" i="2"/>
  <c r="G9" i="2"/>
  <c r="H9" i="2"/>
  <c r="J9" i="2"/>
  <c r="K9" i="2"/>
  <c r="L9" i="2"/>
  <c r="N9" i="2"/>
  <c r="O29" i="2"/>
  <c r="O30" i="2"/>
  <c r="O31" i="2"/>
  <c r="O27" i="2"/>
  <c r="O9" i="2" l="1"/>
  <c r="O23" i="2" l="1"/>
  <c r="O24" i="2"/>
  <c r="O25" i="2"/>
  <c r="O26" i="2"/>
  <c r="O28" i="2"/>
  <c r="O32" i="2"/>
  <c r="I8" i="3" l="1"/>
  <c r="J8" i="3"/>
  <c r="K8" i="3"/>
  <c r="L8" i="3"/>
  <c r="M8" i="3"/>
  <c r="N8" i="3"/>
  <c r="C33" i="4"/>
  <c r="D33" i="4"/>
  <c r="E33" i="4"/>
  <c r="F33" i="4"/>
  <c r="G33" i="4"/>
  <c r="H33" i="4"/>
  <c r="I33" i="4"/>
  <c r="J33" i="4"/>
  <c r="K33" i="4"/>
  <c r="L33" i="4"/>
  <c r="M33" i="4"/>
  <c r="N33" i="4"/>
  <c r="D32" i="4"/>
  <c r="E32" i="4"/>
  <c r="F32" i="4"/>
  <c r="G32" i="4"/>
  <c r="H32" i="4"/>
  <c r="I32" i="4"/>
  <c r="J32" i="4"/>
  <c r="K32" i="4"/>
  <c r="L32" i="4"/>
  <c r="M32" i="4"/>
  <c r="N32" i="4"/>
  <c r="C32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D23" i="4"/>
  <c r="E23" i="4"/>
  <c r="F23" i="4"/>
  <c r="G23" i="4"/>
  <c r="H23" i="4"/>
  <c r="I23" i="4"/>
  <c r="J23" i="4"/>
  <c r="K23" i="4"/>
  <c r="L23" i="4"/>
  <c r="M23" i="4"/>
  <c r="N23" i="4"/>
  <c r="C23" i="4"/>
  <c r="O23" i="4" s="1"/>
  <c r="D7" i="4"/>
  <c r="E7" i="4"/>
  <c r="F7" i="4"/>
  <c r="G7" i="4"/>
  <c r="H7" i="4"/>
  <c r="I7" i="4"/>
  <c r="J7" i="4"/>
  <c r="K7" i="4"/>
  <c r="L7" i="4"/>
  <c r="M7" i="4"/>
  <c r="N7" i="4"/>
  <c r="C7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D12" i="4"/>
  <c r="E12" i="4"/>
  <c r="F12" i="4"/>
  <c r="G12" i="4"/>
  <c r="H12" i="4"/>
  <c r="I12" i="4"/>
  <c r="J12" i="4"/>
  <c r="K12" i="4"/>
  <c r="L12" i="4"/>
  <c r="M12" i="4"/>
  <c r="N12" i="4"/>
  <c r="C12" i="4"/>
  <c r="D20" i="3"/>
  <c r="E20" i="3"/>
  <c r="F20" i="3"/>
  <c r="G20" i="3"/>
  <c r="H20" i="3"/>
  <c r="I20" i="3"/>
  <c r="J20" i="3"/>
  <c r="K20" i="3"/>
  <c r="L20" i="3"/>
  <c r="M20" i="3"/>
  <c r="N20" i="3"/>
  <c r="D29" i="3"/>
  <c r="E29" i="3"/>
  <c r="F29" i="3"/>
  <c r="G29" i="3"/>
  <c r="H29" i="3"/>
  <c r="I29" i="3"/>
  <c r="J29" i="3"/>
  <c r="K29" i="3"/>
  <c r="L29" i="3"/>
  <c r="M29" i="3"/>
  <c r="N29" i="3"/>
  <c r="D34" i="3"/>
  <c r="E34" i="3"/>
  <c r="F34" i="3"/>
  <c r="G34" i="3"/>
  <c r="H34" i="3"/>
  <c r="I34" i="3"/>
  <c r="J34" i="3"/>
  <c r="K34" i="3"/>
  <c r="L34" i="3"/>
  <c r="M34" i="3"/>
  <c r="N34" i="3"/>
  <c r="C34" i="3"/>
  <c r="C29" i="3"/>
  <c r="C20" i="3"/>
  <c r="D36" i="2"/>
  <c r="E36" i="2"/>
  <c r="F36" i="2"/>
  <c r="G36" i="2"/>
  <c r="H36" i="2"/>
  <c r="I36" i="2"/>
  <c r="J36" i="2"/>
  <c r="K36" i="2"/>
  <c r="L36" i="2"/>
  <c r="M36" i="2"/>
  <c r="N36" i="2"/>
  <c r="C36" i="2"/>
  <c r="D19" i="2"/>
  <c r="E19" i="2"/>
  <c r="F19" i="2"/>
  <c r="G19" i="2"/>
  <c r="H19" i="2"/>
  <c r="I19" i="2"/>
  <c r="J19" i="2"/>
  <c r="K19" i="2"/>
  <c r="L19" i="2"/>
  <c r="M19" i="2"/>
  <c r="N19" i="2"/>
  <c r="C19" i="2"/>
  <c r="B2" i="5"/>
  <c r="B2" i="4"/>
  <c r="B2" i="3"/>
  <c r="O25" i="4" l="1"/>
  <c r="O7" i="4"/>
  <c r="O24" i="4"/>
  <c r="O33" i="4"/>
  <c r="O28" i="4"/>
  <c r="O27" i="4"/>
  <c r="O26" i="4"/>
  <c r="O32" i="4"/>
  <c r="O18" i="4"/>
  <c r="O17" i="4"/>
  <c r="O16" i="4"/>
  <c r="O15" i="4"/>
  <c r="O13" i="4"/>
  <c r="O19" i="4"/>
  <c r="O14" i="4"/>
  <c r="O12" i="4"/>
  <c r="B10" i="5"/>
  <c r="B9" i="5"/>
  <c r="B8" i="5"/>
  <c r="B7" i="5"/>
  <c r="N34" i="4"/>
  <c r="M34" i="4"/>
  <c r="L34" i="4"/>
  <c r="K34" i="4"/>
  <c r="J34" i="4"/>
  <c r="I34" i="4"/>
  <c r="H34" i="4"/>
  <c r="G34" i="4"/>
  <c r="F34" i="4"/>
  <c r="E34" i="4"/>
  <c r="D34" i="4"/>
  <c r="C34" i="4"/>
  <c r="N29" i="4"/>
  <c r="M29" i="4"/>
  <c r="L29" i="4"/>
  <c r="K29" i="4"/>
  <c r="J29" i="4"/>
  <c r="I29" i="4"/>
  <c r="H29" i="4"/>
  <c r="G29" i="4"/>
  <c r="F29" i="4"/>
  <c r="E29" i="4"/>
  <c r="D29" i="4"/>
  <c r="C29" i="4"/>
  <c r="N20" i="4"/>
  <c r="M20" i="4"/>
  <c r="L20" i="4"/>
  <c r="K20" i="4"/>
  <c r="J20" i="4"/>
  <c r="I20" i="4"/>
  <c r="H20" i="4"/>
  <c r="G20" i="4"/>
  <c r="F20" i="4"/>
  <c r="E20" i="4"/>
  <c r="D20" i="4"/>
  <c r="C20" i="4"/>
  <c r="O33" i="3"/>
  <c r="O32" i="3"/>
  <c r="O28" i="3"/>
  <c r="O27" i="3"/>
  <c r="O26" i="3"/>
  <c r="O25" i="3"/>
  <c r="O24" i="3"/>
  <c r="O23" i="3"/>
  <c r="O19" i="3"/>
  <c r="O18" i="3"/>
  <c r="O17" i="3"/>
  <c r="O16" i="3"/>
  <c r="O15" i="3"/>
  <c r="O14" i="3"/>
  <c r="O13" i="3"/>
  <c r="O12" i="3"/>
  <c r="N9" i="3"/>
  <c r="N37" i="3" s="1"/>
  <c r="M9" i="3"/>
  <c r="M37" i="3" s="1"/>
  <c r="L9" i="3"/>
  <c r="L37" i="3" s="1"/>
  <c r="K9" i="3"/>
  <c r="K37" i="3" s="1"/>
  <c r="J9" i="3"/>
  <c r="J37" i="3" s="1"/>
  <c r="I9" i="3"/>
  <c r="I37" i="3" s="1"/>
  <c r="H8" i="3"/>
  <c r="H9" i="3" s="1"/>
  <c r="H37" i="3" s="1"/>
  <c r="G8" i="3"/>
  <c r="G9" i="3" s="1"/>
  <c r="G37" i="3" s="1"/>
  <c r="F8" i="3"/>
  <c r="F9" i="3" s="1"/>
  <c r="F37" i="3" s="1"/>
  <c r="E8" i="3"/>
  <c r="E9" i="3" s="1"/>
  <c r="E37" i="3" s="1"/>
  <c r="D8" i="3"/>
  <c r="D9" i="3" s="1"/>
  <c r="D37" i="3" s="1"/>
  <c r="C8" i="3"/>
  <c r="C9" i="3" s="1"/>
  <c r="C37" i="3" s="1"/>
  <c r="O7" i="3"/>
  <c r="O35" i="2"/>
  <c r="O36" i="2" s="1"/>
  <c r="O18" i="2"/>
  <c r="O17" i="2"/>
  <c r="O16" i="2"/>
  <c r="O15" i="2"/>
  <c r="O14" i="2"/>
  <c r="O13" i="2"/>
  <c r="O12" i="2"/>
  <c r="J39" i="2" l="1"/>
  <c r="J8" i="4"/>
  <c r="J9" i="4" s="1"/>
  <c r="J37" i="4" s="1"/>
  <c r="L39" i="2"/>
  <c r="L8" i="4"/>
  <c r="L9" i="4" s="1"/>
  <c r="L37" i="4" s="1"/>
  <c r="G39" i="2"/>
  <c r="G8" i="4"/>
  <c r="G9" i="4" s="1"/>
  <c r="G37" i="4" s="1"/>
  <c r="H39" i="2"/>
  <c r="H8" i="4"/>
  <c r="H9" i="4" s="1"/>
  <c r="H37" i="4" s="1"/>
  <c r="N39" i="2"/>
  <c r="N8" i="4"/>
  <c r="N9" i="4" s="1"/>
  <c r="N37" i="4" s="1"/>
  <c r="D39" i="2"/>
  <c r="D8" i="4"/>
  <c r="D9" i="4" s="1"/>
  <c r="D37" i="4" s="1"/>
  <c r="E8" i="4"/>
  <c r="E9" i="4" s="1"/>
  <c r="E37" i="4" s="1"/>
  <c r="E39" i="2"/>
  <c r="K39" i="2"/>
  <c r="K8" i="4"/>
  <c r="K9" i="4" s="1"/>
  <c r="K37" i="4" s="1"/>
  <c r="F8" i="4"/>
  <c r="F9" i="4" s="1"/>
  <c r="F37" i="4" s="1"/>
  <c r="F39" i="2"/>
  <c r="M39" i="2"/>
  <c r="M8" i="4"/>
  <c r="M9" i="4" s="1"/>
  <c r="M37" i="4" s="1"/>
  <c r="C8" i="4"/>
  <c r="C9" i="4" s="1"/>
  <c r="C37" i="4" s="1"/>
  <c r="I8" i="4"/>
  <c r="I9" i="4" s="1"/>
  <c r="I37" i="4" s="1"/>
  <c r="I39" i="2"/>
  <c r="O34" i="3"/>
  <c r="O29" i="3"/>
  <c r="D8" i="5" s="1"/>
  <c r="O20" i="3"/>
  <c r="D7" i="5" s="1"/>
  <c r="C9" i="5"/>
  <c r="C8" i="5"/>
  <c r="O19" i="2"/>
  <c r="C7" i="5" s="1"/>
  <c r="O8" i="3"/>
  <c r="O9" i="3" s="1"/>
  <c r="D6" i="5" s="1"/>
  <c r="O34" i="4"/>
  <c r="C6" i="5"/>
  <c r="C39" i="2" l="1"/>
  <c r="E40" i="2" s="1"/>
  <c r="O39" i="2"/>
  <c r="C10" i="5" s="1"/>
  <c r="O8" i="4"/>
  <c r="O9" i="4" s="1"/>
  <c r="E8" i="5"/>
  <c r="F8" i="5" s="1"/>
  <c r="D38" i="4"/>
  <c r="J38" i="4"/>
  <c r="M38" i="4"/>
  <c r="H38" i="4"/>
  <c r="N38" i="4"/>
  <c r="C38" i="4"/>
  <c r="E38" i="4"/>
  <c r="K38" i="4"/>
  <c r="F38" i="4"/>
  <c r="L38" i="4"/>
  <c r="G38" i="4"/>
  <c r="I38" i="4"/>
  <c r="O20" i="4"/>
  <c r="O29" i="4"/>
  <c r="D9" i="5"/>
  <c r="E9" i="5" s="1"/>
  <c r="F9" i="5" s="1"/>
  <c r="O37" i="3"/>
  <c r="D10" i="5" s="1"/>
  <c r="K40" i="2"/>
  <c r="G38" i="3"/>
  <c r="M38" i="3"/>
  <c r="J38" i="3"/>
  <c r="F38" i="3"/>
  <c r="H38" i="3"/>
  <c r="N38" i="3"/>
  <c r="I38" i="3"/>
  <c r="C38" i="3"/>
  <c r="D38" i="3"/>
  <c r="E38" i="3"/>
  <c r="K38" i="3"/>
  <c r="L38" i="3"/>
  <c r="E7" i="5"/>
  <c r="F7" i="5" s="1"/>
  <c r="H40" i="2"/>
  <c r="M40" i="2"/>
  <c r="E6" i="5"/>
  <c r="F6" i="5" s="1"/>
  <c r="N40" i="2" l="1"/>
  <c r="I40" i="2"/>
  <c r="G40" i="2"/>
  <c r="L40" i="2"/>
  <c r="F40" i="2"/>
  <c r="D40" i="2"/>
  <c r="C40" i="2"/>
  <c r="J40" i="2"/>
  <c r="O37" i="4"/>
  <c r="E10" i="5"/>
  <c r="F10" i="5" s="1"/>
</calcChain>
</file>

<file path=xl/sharedStrings.xml><?xml version="1.0" encoding="utf-8"?>
<sst xmlns="http://schemas.openxmlformats.org/spreadsheetml/2006/main" count="290" uniqueCount="68">
  <si>
    <t>Detailed Expense Estimates</t>
  </si>
  <si>
    <t>Planned 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</si>
  <si>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</si>
  <si>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</si>
  <si>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</si>
  <si>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</si>
  <si>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</si>
  <si>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</si>
  <si>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</si>
  <si>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</si>
  <si>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</si>
  <si>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</si>
  <si>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</si>
  <si>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</si>
  <si>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</si>
  <si>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Employee Costs</t>
  </si>
  <si>
    <t>Wages</t>
  </si>
  <si>
    <t>Benefits</t>
  </si>
  <si>
    <t>Subtotal</t>
  </si>
  <si>
    <t>Office Costs</t>
  </si>
  <si>
    <t>Office lease</t>
  </si>
  <si>
    <t>Gas</t>
  </si>
  <si>
    <t>Electric</t>
  </si>
  <si>
    <t>Water</t>
  </si>
  <si>
    <t>Telephone</t>
  </si>
  <si>
    <t>Internet access</t>
  </si>
  <si>
    <t>Office supplies</t>
  </si>
  <si>
    <t>Security</t>
  </si>
  <si>
    <t>Marketing Costs</t>
  </si>
  <si>
    <t>Web site hosting</t>
  </si>
  <si>
    <t>Web site updates</t>
  </si>
  <si>
    <t>Collateral preparation</t>
  </si>
  <si>
    <t>Collateral printing</t>
  </si>
  <si>
    <t>Marketing events</t>
  </si>
  <si>
    <t>Miscellaneous expenses</t>
  </si>
  <si>
    <t>Training/Travel</t>
  </si>
  <si>
    <t>Training classes</t>
  </si>
  <si>
    <t>Training-related travel costs</t>
  </si>
  <si>
    <t>TOTALS</t>
  </si>
  <si>
    <t>Monthly Planned Expenses</t>
  </si>
  <si>
    <t>TOTAL Planned Expenses</t>
  </si>
  <si>
    <t>Actual Expenses</t>
  </si>
  <si>
    <t>Monthly Actual Expenses</t>
  </si>
  <si>
    <t>TOTAL Actual Expenses</t>
  </si>
  <si>
    <t>Expense Variances</t>
  </si>
  <si>
    <t>Monthly Expense Variances</t>
  </si>
  <si>
    <t>TOTAL Expense Variances</t>
  </si>
  <si>
    <t>Expense Category</t>
  </si>
  <si>
    <t>Variance Percentage</t>
  </si>
  <si>
    <t xml:space="preserve"> </t>
  </si>
  <si>
    <t>Shaded cells are calculations.</t>
  </si>
  <si>
    <t>All cells are calculations.</t>
  </si>
  <si>
    <t>Project P.E.T.E.R.S.</t>
  </si>
  <si>
    <t>Unit Component Cost</t>
  </si>
  <si>
    <t>*assuming 360 (90 a quarter) units are to be constructed in the first year of production using current equipment and commercial-off-the-shelf products</t>
  </si>
  <si>
    <t xml:space="preserve">Misc Materials </t>
  </si>
  <si>
    <t>(2) Micro-Bluetooth 4.0 LE</t>
  </si>
  <si>
    <t>(2) Micro-SD 16GB (Sony 70Mbps)</t>
  </si>
  <si>
    <t>(2) CanaKit Raspberry Pi-2 + Case</t>
  </si>
  <si>
    <t>(2) Reacon Snow2 (HUD)</t>
  </si>
  <si>
    <t>Reacon Snow2 (HUD + Goggles)</t>
  </si>
  <si>
    <t>(2) MLH05KPSL06A Pressure Sensor</t>
  </si>
  <si>
    <t xml:space="preserve">(2) Edimax EW-781Un Wi-Fi Adapter </t>
  </si>
  <si>
    <t>(2) AA Battery Pack</t>
  </si>
  <si>
    <t xml:space="preserve"> Photo-Resistors 20-pack</t>
  </si>
  <si>
    <t xml:space="preserve"> Laser Diodes 5-pack</t>
  </si>
  <si>
    <t>(2) Arduino Pro Mini</t>
  </si>
  <si>
    <t>LSM9DS0 Accelerometer/Gyroscope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</si>
</sst>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21" x14ac:knownFonts="1">
    <font>
      <sz val="9"/>
      <color theme="1" tint="0.24994659260841701"/>
      <name val="Trebuchet MS"/>
      <family val="2"/>
      <scheme val="minor"/>
    </font>
    <font>
      <sz val="14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u/>
      <sz val="10"/>
      <color theme="1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b/>
      <i/>
      <sz val="10"/>
      <color theme="1"/>
      <name val="Trebuchet MS"/>
      <family val="2"/>
      <scheme val="minor"/>
    </font>
    <font>
      <b/>
      <sz val="22"/>
      <color theme="1" tint="0.24994659260841701"/>
      <name val="Microsoft Sans Serif"/>
      <family val="2"/>
      <scheme val="major"/>
    </font>
    <font>
      <b/>
      <sz val="14"/>
      <color theme="1" tint="0.14996795556505021"/>
      <name val="Microsoft Sans Serif"/>
      <family val="2"/>
      <scheme val="major"/>
    </font>
    <font>
      <sz val="11"/>
      <color theme="1" tint="0.24994659260841701"/>
      <name val="Microsoft Sans Serif"/>
      <family val="2"/>
      <scheme val="major"/>
    </font>
    <font>
      <b/>
      <sz val="9"/>
      <color theme="1" tint="0.24994659260841701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0"/>
      <color theme="2"/>
      <name val="Microsoft Sans Serif"/>
      <family val="2"/>
      <scheme val="major"/>
    </font>
    <font>
      <i/>
      <sz val="8"/>
      <color rgb="FF7F7F7F"/>
      <name val="Trebuchet MS"/>
      <family val="2"/>
      <scheme val="minor"/>
    </font>
    <font>
      <sz val="11"/>
      <color theme="3" tint="0.89996032593768116"/>
      <name val="Microsoft Sans Serif"/>
      <family val="2"/>
      <scheme val="major"/>
    </font>
    <font>
      <sz val="9"/>
      <color theme="3" tint="0.89999084444715716"/>
      <name val="Trebuchet MS"/>
      <family val="2"/>
      <scheme val="minor"/>
    </font>
    <font>
      <sz val="9"/>
      <color theme="1" tint="0.24994659260841701"/>
      <name val="Trebuchet MS"/>
      <family val="2"/>
      <scheme val="minor"/>
    </font>
    <font>
      <sz val="9"/>
      <color theme="1" tint="0.24994659260841701"/>
      <name val="Trebuchet MS"/>
      <scheme val="minor"/>
    </font>
    <font>
      <b/>
      <i/>
      <sz val="8"/>
      <color theme="0" tint="-0.34998626667073579"/>
      <name val="Trebuchet MS"/>
      <family val="2"/>
      <scheme val="minor"/>
    </font>
    <font>
      <sz val="9"/>
      <color theme="1" tint="0.2499465926084170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3" tint="0.24994659260841701"/>
      </left>
      <right style="thin">
        <color theme="3" tint="0.24994659260841701"/>
      </right>
      <top style="thin">
        <color theme="3" tint="0.24994659260841701"/>
      </top>
      <bottom style="thin">
        <color theme="3" tint="0.24994659260841701"/>
      </bottom>
      <diagonal/>
    </border>
    <border>
      <left style="thin">
        <color theme="3" tint="0.24994659260841701"/>
      </left>
      <right style="thin">
        <color theme="3" tint="0.24994659260841701"/>
      </right>
      <top style="thin">
        <color theme="3" tint="0.24994659260841701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3" tint="0.24994659260841701"/>
      </left>
      <right style="thin">
        <color theme="3" tint="0.24994659260841701"/>
      </right>
      <top/>
      <bottom style="thin">
        <color theme="3" tint="0.24994659260841701"/>
      </bottom>
      <diagonal/>
    </border>
    <border>
      <left/>
      <right/>
      <top style="thin">
        <color theme="3" tint="0.24994659260841701"/>
      </top>
      <bottom/>
      <diagonal/>
    </border>
  </borders>
  <cellStyleXfs count="6">
    <xf numFmtId="0" fontId="0" fillId="0" borderId="0"/>
    <xf numFmtId="0" fontId="8" fillId="0" borderId="0" applyNumberFormat="0" applyFill="0" applyProtection="0">
      <alignment vertical="center"/>
    </xf>
    <xf numFmtId="0" fontId="9" fillId="0" borderId="0" applyNumberFormat="0" applyProtection="0">
      <alignment vertical="center"/>
    </xf>
    <xf numFmtId="0" fontId="13" fillId="2" borderId="0" applyNumberFormat="0" applyProtection="0">
      <alignment vertical="center"/>
    </xf>
    <xf numFmtId="0" fontId="10" fillId="3" borderId="3" applyNumberFormat="0" applyProtection="0">
      <alignment horizontal="left" vertical="center" indent="1"/>
    </xf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4" fillId="0" borderId="0" xfId="0" applyNumberFormat="1" applyFont="1" applyAlignment="1"/>
    <xf numFmtId="0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1" fillId="0" borderId="0" xfId="0" applyFont="1" applyBorder="1"/>
    <xf numFmtId="37" fontId="4" fillId="0" borderId="0" xfId="0" applyNumberFormat="1" applyFont="1" applyAlignment="1">
      <alignment horizontal="right"/>
    </xf>
    <xf numFmtId="37" fontId="6" fillId="0" borderId="0" xfId="0" applyNumberFormat="1" applyFont="1" applyAlignment="1">
      <alignment horizontal="right"/>
    </xf>
    <xf numFmtId="37" fontId="7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9" fillId="0" borderId="0" xfId="2" applyNumberFormat="1" applyAlignment="1"/>
    <xf numFmtId="0" fontId="13" fillId="2" borderId="0" xfId="3" applyNumberFormat="1" applyAlignment="1">
      <alignment horizontal="left" vertical="center"/>
    </xf>
    <xf numFmtId="0" fontId="13" fillId="2" borderId="0" xfId="3" applyNumberFormat="1" applyAlignment="1">
      <alignment horizontal="center" vertical="center"/>
    </xf>
    <xf numFmtId="164" fontId="13" fillId="2" borderId="0" xfId="3" applyNumberFormat="1" applyAlignment="1">
      <alignment horizontal="center" vertical="center"/>
    </xf>
    <xf numFmtId="0" fontId="13" fillId="2" borderId="0" xfId="3" applyNumberFormat="1" applyAlignment="1">
      <alignment horizontal="left" vertical="center" indent="1"/>
    </xf>
    <xf numFmtId="0" fontId="13" fillId="2" borderId="0" xfId="3" applyNumberFormat="1" applyAlignment="1">
      <alignment vertical="center"/>
    </xf>
    <xf numFmtId="164" fontId="13" fillId="2" borderId="0" xfId="3" applyNumberFormat="1" applyAlignment="1">
      <alignment horizontal="right" vertical="center"/>
    </xf>
    <xf numFmtId="0" fontId="8" fillId="0" borderId="0" xfId="1" applyNumberFormat="1" applyAlignment="1"/>
    <xf numFmtId="0" fontId="0" fillId="0" borderId="1" xfId="0" applyNumberFormat="1" applyFont="1" applyBorder="1" applyAlignment="1">
      <alignment horizontal="left" indent="2"/>
    </xf>
    <xf numFmtId="8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left" indent="2"/>
    </xf>
    <xf numFmtId="8" fontId="0" fillId="0" borderId="2" xfId="0" applyNumberFormat="1" applyFont="1" applyBorder="1" applyAlignment="1">
      <alignment horizontal="right"/>
    </xf>
    <xf numFmtId="8" fontId="11" fillId="0" borderId="1" xfId="0" applyNumberFormat="1" applyFont="1" applyBorder="1" applyAlignment="1">
      <alignment horizontal="right"/>
    </xf>
    <xf numFmtId="0" fontId="11" fillId="0" borderId="1" xfId="0" applyNumberFormat="1" applyFont="1" applyBorder="1" applyAlignment="1">
      <alignment horizontal="left" indent="1"/>
    </xf>
    <xf numFmtId="9" fontId="0" fillId="0" borderId="1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left" indent="2"/>
    </xf>
    <xf numFmtId="8" fontId="0" fillId="0" borderId="0" xfId="0" applyNumberFormat="1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indent="1"/>
    </xf>
    <xf numFmtId="8" fontId="0" fillId="4" borderId="2" xfId="0" applyNumberFormat="1" applyFont="1" applyFill="1" applyBorder="1" applyAlignment="1">
      <alignment horizontal="right"/>
    </xf>
    <xf numFmtId="8" fontId="11" fillId="4" borderId="1" xfId="0" applyNumberFormat="1" applyFont="1" applyFill="1" applyBorder="1" applyAlignment="1">
      <alignment horizontal="right"/>
    </xf>
    <xf numFmtId="8" fontId="0" fillId="4" borderId="1" xfId="0" applyNumberFormat="1" applyFont="1" applyFill="1" applyBorder="1" applyAlignment="1">
      <alignment horizontal="right"/>
    </xf>
    <xf numFmtId="0" fontId="14" fillId="0" borderId="0" xfId="5" applyNumberFormat="1" applyFont="1" applyAlignment="1"/>
    <xf numFmtId="0" fontId="15" fillId="3" borderId="5" xfId="4" applyNumberFormat="1" applyFont="1" applyBorder="1">
      <alignment horizontal="left" vertical="center" indent="1"/>
    </xf>
    <xf numFmtId="164" fontId="15" fillId="3" borderId="5" xfId="4" applyNumberFormat="1" applyFont="1" applyBorder="1">
      <alignment horizontal="left" vertical="center" indent="1"/>
    </xf>
    <xf numFmtId="0" fontId="15" fillId="3" borderId="6" xfId="4" applyNumberFormat="1" applyFont="1" applyBorder="1">
      <alignment horizontal="left" vertical="center" indent="1"/>
    </xf>
    <xf numFmtId="0" fontId="0" fillId="0" borderId="0" xfId="4" applyNumberFormat="1" applyFont="1" applyFill="1" applyBorder="1">
      <alignment horizontal="left" vertical="center" indent="1"/>
    </xf>
    <xf numFmtId="0" fontId="0" fillId="0" borderId="0" xfId="0" applyNumberFormat="1" applyFont="1" applyFill="1" applyBorder="1" applyAlignment="1">
      <alignment horizontal="left" indent="2"/>
    </xf>
    <xf numFmtId="8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indent="2"/>
    </xf>
    <xf numFmtId="0" fontId="16" fillId="0" borderId="0" xfId="4" applyNumberFormat="1" applyFont="1" applyFill="1" applyBorder="1">
      <alignment horizontal="left" vertical="center" indent="1"/>
    </xf>
    <xf numFmtId="164" fontId="16" fillId="0" borderId="0" xfId="4" applyNumberFormat="1" applyFont="1" applyFill="1" applyBorder="1">
      <alignment horizontal="left" vertical="center" indent="1"/>
    </xf>
    <xf numFmtId="0" fontId="11" fillId="0" borderId="7" xfId="0" applyNumberFormat="1" applyFont="1" applyBorder="1" applyAlignment="1">
      <alignment horizontal="left" indent="2"/>
    </xf>
    <xf numFmtId="0" fontId="16" fillId="0" borderId="0" xfId="4" applyNumberFormat="1" applyFont="1" applyFill="1" applyBorder="1" applyAlignment="1">
      <alignment horizontal="left" vertical="center" indent="1"/>
    </xf>
    <xf numFmtId="164" fontId="16" fillId="0" borderId="0" xfId="4" applyNumberFormat="1" applyFont="1" applyFill="1" applyBorder="1" applyAlignment="1">
      <alignment horizontal="left" vertical="center" indent="1"/>
    </xf>
    <xf numFmtId="8" fontId="0" fillId="0" borderId="0" xfId="0" applyNumberFormat="1" applyFont="1" applyFill="1" applyBorder="1"/>
    <xf numFmtId="8" fontId="0" fillId="0" borderId="0" xfId="0" applyNumberFormat="1"/>
    <xf numFmtId="8" fontId="11" fillId="5" borderId="1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 indent="2"/>
    </xf>
    <xf numFmtId="8" fontId="0" fillId="5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 indent="2"/>
    </xf>
    <xf numFmtId="8" fontId="18" fillId="0" borderId="0" xfId="0" applyNumberFormat="1" applyFont="1" applyFill="1" applyBorder="1" applyAlignment="1">
      <alignment horizontal="right"/>
    </xf>
    <xf numFmtId="8" fontId="18" fillId="0" borderId="1" xfId="0" applyNumberFormat="1" applyFont="1" applyBorder="1" applyAlignment="1">
      <alignment horizontal="right"/>
    </xf>
    <xf numFmtId="8" fontId="18" fillId="4" borderId="1" xfId="0" applyNumberFormat="1" applyFont="1" applyFill="1" applyBorder="1" applyAlignment="1">
      <alignment horizontal="right"/>
    </xf>
    <xf numFmtId="0" fontId="6" fillId="0" borderId="8" xfId="0" applyNumberFormat="1" applyFont="1" applyBorder="1" applyAlignment="1"/>
    <xf numFmtId="0" fontId="19" fillId="0" borderId="8" xfId="0" applyNumberFormat="1" applyFont="1" applyBorder="1" applyAlignment="1"/>
    <xf numFmtId="0" fontId="20" fillId="3" borderId="4" xfId="4" applyNumberFormat="1" applyFont="1" applyBorder="1">
      <alignment horizontal="left" vertical="center" indent="1"/>
    </xf>
    <xf numFmtId="165" fontId="0" fillId="0" borderId="0" xfId="0" applyNumberFormat="1" applyFont="1" applyFill="1" applyBorder="1" applyAlignment="1">
      <alignment horizontal="right"/>
    </xf>
    <xf numFmtId="8" fontId="18" fillId="0" borderId="7" xfId="0" applyNumberFormat="1" applyFont="1" applyBorder="1" applyAlignment="1">
      <alignment horizontal="right"/>
    </xf>
    <xf numFmtId="8" fontId="18" fillId="0" borderId="2" xfId="0" applyNumberFormat="1" applyFont="1" applyBorder="1" applyAlignment="1">
      <alignment horizontal="right"/>
    </xf>
    <xf numFmtId="0" fontId="6" fillId="0" borderId="8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8" fillId="0" borderId="1" xfId="0" applyNumberFormat="1" applyFont="1" applyBorder="1" applyAlignment="1">
      <alignment horizontal="left" indent="2"/>
    </xf>
  </cellXfs>
  <cellStyles count="6">
    <cellStyle name="Explanatory Text" xfId="5" builtinId="53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3" tint="0.24994659260841701"/>
        </left>
        <right style="thin">
          <color theme="3" tint="0.24994659260841701"/>
        </right>
        <top/>
        <bottom style="thin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solid">
          <fgColor indexed="64"/>
          <bgColor theme="0" tint="-0.149967955565050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alignment horizontal="right" vertical="bottom" textRotation="0" wrapText="0" indent="0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/>
        <horizontal/>
      </border>
    </dxf>
    <dxf>
      <border outline="0">
        <top style="thin">
          <color theme="3" tint="0.24994659260841701"/>
        </top>
      </border>
    </dxf>
    <dxf>
      <border outline="0">
        <top style="thin">
          <color theme="5" tint="-0.499984740745262"/>
        </top>
        <bottom style="medium">
          <color theme="3" tint="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theme="5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0.89996032593768116"/>
        <name val="Microsoft Sans Serif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465926084170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color theme="1" tint="0.24994659260841701"/>
      </font>
      <fill>
        <patternFill patternType="solid">
          <fgColor theme="0" tint="-0.14996795556505021"/>
          <bgColor theme="3" tint="0.89996032593768116"/>
        </patternFill>
      </fill>
    </dxf>
    <dxf>
      <font>
        <b val="0"/>
        <i val="0"/>
        <color theme="1" tint="0.24994659260841701"/>
      </font>
      <fill>
        <patternFill>
          <bgColor theme="0" tint="-0.14996795556505021"/>
        </patternFill>
      </fill>
    </dxf>
    <dxf>
      <font>
        <b/>
        <i val="0"/>
        <color theme="1" tint="0.24994659260841701"/>
      </font>
      <fill>
        <patternFill>
          <bgColor theme="0" tint="-0.14996795556505021"/>
        </patternFill>
      </fill>
      <border>
        <top style="thin">
          <color theme="1"/>
        </top>
      </border>
    </dxf>
    <dxf>
      <font>
        <color theme="1" tint="0.24994659260841701"/>
      </font>
      <fill>
        <patternFill>
          <bgColor theme="3" tint="0.89996032593768116"/>
        </patternFill>
      </fill>
      <border>
        <bottom style="thin">
          <color theme="1"/>
        </bottom>
        <vertical/>
        <horizontal/>
      </border>
    </dxf>
    <dxf>
      <font>
        <b val="0"/>
        <i val="0"/>
        <color theme="1" tint="0.24994659260841701"/>
      </font>
      <border>
        <left style="thin">
          <color theme="3" tint="0.24994659260841701"/>
        </left>
        <right style="thin">
          <color theme="3" tint="0.24994659260841701"/>
        </right>
        <top style="thin">
          <color theme="3" tint="0.24994659260841701"/>
        </top>
        <bottom style="thin">
          <color theme="3" tint="0.24994659260841701"/>
        </bottom>
        <vertical style="thin">
          <color theme="3" tint="0.24994659260841701"/>
        </vertical>
        <horizontal style="thin">
          <color theme="3" tint="0.24994659260841701"/>
        </horizontal>
      </border>
    </dxf>
  </dxfs>
  <tableStyles count="1" defaultTableStyle="Detailed expense estimates Table" defaultPivotStyle="PivotStyleLight16">
    <tableStyle name="Detailed expense estimates Table" pivot="0" count="5">
      <tableStyleElement type="wholeTable" dxfId="203"/>
      <tableStyleElement type="headerRow" dxfId="202"/>
      <tableStyleElement type="totalRow" dxfId="201"/>
      <tableStyleElement type="lastColumn" dxfId="200"/>
      <tableStyleElement type="firstRowStripe" dxfId="199"/>
    </tableStyle>
  </tableStyles>
  <colors>
    <mruColors>
      <color rgb="FF99CCFF"/>
      <color rgb="FFFFCC99"/>
      <color rgb="FF80008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Planned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'PLANNED EXPENSES'!$C$39:$N$39</c:f>
              <c:numCache>
                <c:formatCode>"$"#,##0.00_);[Red]\("$"#,##0.00\)</c:formatCode>
                <c:ptCount val="12"/>
                <c:pt idx="0">
                  <c:v>35842.870000000003</c:v>
                </c:pt>
                <c:pt idx="1">
                  <c:v>33952.49</c:v>
                </c:pt>
                <c:pt idx="2">
                  <c:v>33915</c:v>
                </c:pt>
                <c:pt idx="3">
                  <c:v>33835</c:v>
                </c:pt>
                <c:pt idx="4">
                  <c:v>33835</c:v>
                </c:pt>
                <c:pt idx="5">
                  <c:v>33835</c:v>
                </c:pt>
                <c:pt idx="6">
                  <c:v>33835</c:v>
                </c:pt>
                <c:pt idx="7">
                  <c:v>33835</c:v>
                </c:pt>
                <c:pt idx="8">
                  <c:v>33835</c:v>
                </c:pt>
                <c:pt idx="9">
                  <c:v>33835</c:v>
                </c:pt>
                <c:pt idx="10">
                  <c:v>33915</c:v>
                </c:pt>
                <c:pt idx="11">
                  <c:v>33915</c:v>
                </c:pt>
              </c:numCache>
            </c:numRef>
          </c:val>
        </c:ser>
        <c:ser>
          <c:idx val="2"/>
          <c:order val="2"/>
          <c:tx>
            <c:v>Actual</c:v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'ACTUAL EXPENSES'!$C$37:$N$37</c:f>
              <c:numCache>
                <c:formatCode>"$"#,##0.00_);[Red]\("$"#,##0.00\)</c:formatCode>
                <c:ptCount val="12"/>
                <c:pt idx="0">
                  <c:v>129682</c:v>
                </c:pt>
                <c:pt idx="1">
                  <c:v>127804</c:v>
                </c:pt>
                <c:pt idx="2">
                  <c:v>125565</c:v>
                </c:pt>
                <c:pt idx="3">
                  <c:v>137394</c:v>
                </c:pt>
                <c:pt idx="4">
                  <c:v>128255</c:v>
                </c:pt>
                <c:pt idx="5">
                  <c:v>134239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555952"/>
        <c:axId val="312553992"/>
      </c:barChart>
      <c:lineChart>
        <c:grouping val="standard"/>
        <c:varyColors val="0"/>
        <c:ser>
          <c:idx val="0"/>
          <c:order val="0"/>
          <c:tx>
            <c:v>Variance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'EXPENSE VARIANCES'!$C$37:$N$37</c:f>
              <c:numCache>
                <c:formatCode>"$"#,##0.00_);[Red]\("$"#,##0.00\)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55952"/>
        <c:axId val="312553992"/>
      </c:lineChart>
      <c:catAx>
        <c:axId val="3125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53992"/>
        <c:crosses val="autoZero"/>
        <c:auto val="1"/>
        <c:lblAlgn val="ctr"/>
        <c:lblOffset val="100"/>
        <c:noMultiLvlLbl val="0"/>
      </c:catAx>
      <c:valAx>
        <c:axId val="3125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Planned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ANALYSIS'!$B$6:$B$9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#REF!</c:v>
                </c:pt>
                <c:pt idx="3">
                  <c:v>Unit Component Cost</c:v>
                </c:pt>
              </c:strCache>
            </c:strRef>
          </c:cat>
          <c:val>
            <c:numRef>
              <c:f>'EXPENSE ANALYSIS'!$C$6:$C$9</c:f>
              <c:numCache>
                <c:formatCode>"$"#,##0.00_);[Red]\("$"#,##0.00\)</c:formatCode>
                <c:ptCount val="4"/>
                <c:pt idx="0">
                  <c:v>381000</c:v>
                </c:pt>
                <c:pt idx="1">
                  <c:v>25420</c:v>
                </c:pt>
                <c:pt idx="2">
                  <c:v>0</c:v>
                </c:pt>
                <c:pt idx="3">
                  <c:v>1965.3600000000001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Actual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9.0726906999872875E-2"/>
                  <c:y val="-1.1052498177170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ANALYSIS'!$B$6:$B$9</c:f>
              <c:strCache>
                <c:ptCount val="4"/>
                <c:pt idx="0">
                  <c:v>Employee Costs</c:v>
                </c:pt>
                <c:pt idx="1">
                  <c:v>Office Costs</c:v>
                </c:pt>
                <c:pt idx="2">
                  <c:v>#REF!</c:v>
                </c:pt>
                <c:pt idx="3">
                  <c:v>Unit Component Cost</c:v>
                </c:pt>
              </c:strCache>
            </c:strRef>
          </c:cat>
          <c:val>
            <c:numRef>
              <c:f>'EXPENSE ANALYSIS'!$D$6:$D$9</c:f>
              <c:numCache>
                <c:formatCode>"$"#,##0.00_);[Red]\("$"#,##0.00\)</c:formatCode>
                <c:ptCount val="4"/>
                <c:pt idx="0">
                  <c:v>659130</c:v>
                </c:pt>
                <c:pt idx="1">
                  <c:v>69350</c:v>
                </c:pt>
                <c:pt idx="2">
                  <c:v>33159</c:v>
                </c:pt>
                <c:pt idx="3">
                  <c:v>21300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781050</xdr:colOff>
      <xdr:row>1</xdr:row>
      <xdr:rowOff>0</xdr:rowOff>
    </xdr:from>
    <xdr:to>
      <xdr:col>14</xdr:col>
      <xdr:colOff>885825</xdr:colOff>
      <xdr:row>2</xdr:row>
      <xdr:rowOff>209550</xdr:rowOff>
    </xdr:to>
    <xdr:pic>
      <xdr:nvPicPr>
        <xdr:cNvPr id="4" name="Picture 3" title="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5" y="123825"/>
          <a:ext cx="10001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781050</xdr:colOff>
      <xdr:row>1</xdr:row>
      <xdr:rowOff>0</xdr:rowOff>
    </xdr:from>
    <xdr:to>
      <xdr:col>14</xdr:col>
      <xdr:colOff>885825</xdr:colOff>
      <xdr:row>2</xdr:row>
      <xdr:rowOff>209550</xdr:rowOff>
    </xdr:to>
    <xdr:pic>
      <xdr:nvPicPr>
        <xdr:cNvPr id="4" name="Picture 3" title="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5" y="123825"/>
          <a:ext cx="10001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</xdr:row>
      <xdr:rowOff>0</xdr:rowOff>
    </xdr:from>
    <xdr:to>
      <xdr:col>6</xdr:col>
      <xdr:colOff>752</xdr:colOff>
      <xdr:row>2</xdr:row>
      <xdr:rowOff>209550</xdr:rowOff>
    </xdr:to>
    <xdr:pic>
      <xdr:nvPicPr>
        <xdr:cNvPr id="7" name="Picture 6" title="Logo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123825"/>
          <a:ext cx="1010402" cy="552450"/>
        </a:xfrm>
        <a:prstGeom prst="rect">
          <a:avLst/>
        </a:prstGeom>
      </xdr:spPr>
    </xdr:pic>
    <xdr:clientData/>
  </xdr:twoCellAnchor>
  <xdr:absoluteAnchor>
    <xdr:pos x="114300" y="5334000"/>
    <xdr:ext cx="6886575" cy="5415761"/>
    <xdr:graphicFrame macro="">
      <xdr:nvGraphicFramePr>
        <xdr:cNvPr id="8" name="MonthlyExpensesChart" descr="Combination chart with planned and actual costs as column bars, and variance as a line." title="Monthly expenses chart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</xdr:col>
      <xdr:colOff>0</xdr:colOff>
      <xdr:row>11</xdr:row>
      <xdr:rowOff>1</xdr:rowOff>
    </xdr:from>
    <xdr:to>
      <xdr:col>3</xdr:col>
      <xdr:colOff>771525</xdr:colOff>
      <xdr:row>26</xdr:row>
      <xdr:rowOff>85726</xdr:rowOff>
    </xdr:to>
    <xdr:graphicFrame macro="">
      <xdr:nvGraphicFramePr>
        <xdr:cNvPr id="12" name="PlannedExpensesChart" descr="Showing breakdown of all planned expenses." title="Planned expens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11</xdr:row>
      <xdr:rowOff>0</xdr:rowOff>
    </xdr:from>
    <xdr:to>
      <xdr:col>6</xdr:col>
      <xdr:colOff>0</xdr:colOff>
      <xdr:row>26</xdr:row>
      <xdr:rowOff>85726</xdr:rowOff>
    </xdr:to>
    <xdr:graphicFrame macro="">
      <xdr:nvGraphicFramePr>
        <xdr:cNvPr id="13" name="ActualExpensesChart" descr="Showing breakdown of all actual expense totals." title="Actual expenses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OffPlan" displayName="tblOffPlan" ref="B11:O19" totalsRowCount="1">
  <autoFilter ref="B11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totalsRowDxfId="198"/>
    <tableColumn id="2" name="Jan" totalsRowFunction="sum" totalsRowDxfId="197"/>
    <tableColumn id="3" name="Feb" totalsRowFunction="sum" totalsRowDxfId="196"/>
    <tableColumn id="4" name="Mar" totalsRowFunction="sum" totalsRowDxfId="195"/>
    <tableColumn id="5" name="Apr" totalsRowFunction="sum" totalsRowDxfId="194"/>
    <tableColumn id="6" name="May" totalsRowFunction="sum" totalsRowDxfId="193"/>
    <tableColumn id="7" name="Jun" totalsRowFunction="sum" totalsRowDxfId="192"/>
    <tableColumn id="8" name="Jul" totalsRowFunction="sum" totalsRowDxfId="191"/>
    <tableColumn id="9" name="Aug" totalsRowFunction="sum" totalsRowDxfId="190"/>
    <tableColumn id="10" name="Sep" totalsRowFunction="sum" totalsRowDxfId="189"/>
    <tableColumn id="11" name="Oct" totalsRowFunction="sum" totalsRowDxfId="188"/>
    <tableColumn id="12" name="Nov" totalsRowFunction="sum" totalsRowDxfId="187"/>
    <tableColumn id="13" name="Dec" totalsRowFunction="sum" totalsRowDxfId="186"/>
    <tableColumn id="14" name="YEAR" totalsRowFunction="sum" totalsRowDxfId="185">
      <calculatedColumnFormula>SUM(C12:N12)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Office costs table" altTextSummary="Enter office planned costs per month."/>
    </ext>
  </extLst>
</table>
</file>

<file path=xl/tables/table10.xml><?xml version="1.0" encoding="utf-8"?>
<table xmlns="http://schemas.openxmlformats.org/spreadsheetml/2006/main" id="11" name="tblMarkVar" displayName="tblMarkVar" ref="B22:O29" totalsRowCount="1">
  <autoFilter ref="B22:O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Marketing Costs" totalsRowLabel="Subtotal" dataDxfId="47" totalsRowDxfId="46"/>
    <tableColumn id="2" name="Jan" totalsRowFunction="sum" dataDxfId="45" totalsRowDxfId="44">
      <calculatedColumnFormula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calculatedColumnFormula>
    </tableColumn>
    <tableColumn id="3" name="Feb" totalsRowFunction="sum" totalsRowDxfId="43">
      <calculatedColumnFormula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calculatedColumnFormula>
    </tableColumn>
    <tableColumn id="4" name="Mar" totalsRowFunction="sum" totalsRowDxfId="42">
      <calculatedColumnFormula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calculatedColumnFormula>
    </tableColumn>
    <tableColumn id="5" name="Apr" totalsRowFunction="sum" totalsRowDxfId="41">
      <calculatedColumnFormula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calculatedColumnFormula>
    </tableColumn>
    <tableColumn id="6" name="May" totalsRowFunction="sum" totalsRowDxfId="40">
      <calculatedColumnFormula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calculatedColumnFormula>
    </tableColumn>
    <tableColumn id="7" name="Jun" totalsRowFunction="sum" totalsRowDxfId="39">
      <calculatedColumnFormula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calculatedColumnFormula>
    </tableColumn>
    <tableColumn id="8" name="Jul" totalsRowFunction="sum" totalsRowDxfId="38">
      <calculatedColumnFormula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calculatedColumnFormula>
    </tableColumn>
    <tableColumn id="9" name="Aug" totalsRowFunction="sum" totalsRowDxfId="37">
      <calculatedColumnFormula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calculatedColumnFormula>
    </tableColumn>
    <tableColumn id="10" name="Sep" totalsRowFunction="sum" totalsRowDxfId="36">
      <calculatedColumnFormula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calculatedColumnFormula>
    </tableColumn>
    <tableColumn id="11" name="Oct" totalsRowFunction="sum" totalsRowDxfId="35">
      <calculatedColumnFormula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calculatedColumnFormula>
    </tableColumn>
    <tableColumn id="12" name="Nov" totalsRowFunction="sum" totalsRowDxfId="34">
      <calculatedColumnFormula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calculatedColumnFormula>
    </tableColumn>
    <tableColumn id="13" name="Dec" totalsRowFunction="sum" totalsRowDxfId="33">
      <calculatedColumnFormula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calculatedColumnFormula>
    </tableColumn>
    <tableColumn id="14" name="YEAR" totalsRowFunction="sum" dataDxfId="32" totalsRowDxfId="31">
      <calculatedColumnFormula>SUM(tblMarkVar[[#This Row],[Jan]:[Dec]])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Calculated variances of marketing costs per month."/>
    </ext>
  </extLst>
</table>
</file>

<file path=xl/tables/table11.xml><?xml version="1.0" encoding="utf-8"?>
<table xmlns="http://schemas.openxmlformats.org/spreadsheetml/2006/main" id="12" name="tblTrainVar" displayName="tblTrainVar" ref="B31:O34" totalsRowCount="1">
  <autoFilter ref="B31:O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raining/Travel" totalsRowLabel="Subtotal" dataDxfId="30" totalsRowDxfId="29"/>
    <tableColumn id="2" name="Jan" totalsRowFunction="sum" dataDxfId="28" totalsRowDxfId="27">
      <calculatedColumnFormula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calculatedColumnFormula>
    </tableColumn>
    <tableColumn id="3" name="Feb" totalsRowFunction="sum" totalsRowDxfId="26">
      <calculatedColumnFormula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calculatedColumnFormula>
    </tableColumn>
    <tableColumn id="4" name="Mar" totalsRowFunction="sum" totalsRowDxfId="25">
      <calculatedColumnFormula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calculatedColumnFormula>
    </tableColumn>
    <tableColumn id="5" name="Apr" totalsRowFunction="sum" totalsRowDxfId="24">
      <calculatedColumnFormula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calculatedColumnFormula>
    </tableColumn>
    <tableColumn id="6" name="May" totalsRowFunction="sum" totalsRowDxfId="23">
      <calculatedColumnFormula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calculatedColumnFormula>
    </tableColumn>
    <tableColumn id="7" name="Jun" totalsRowFunction="sum" totalsRowDxfId="22">
      <calculatedColumnFormula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calculatedColumnFormula>
    </tableColumn>
    <tableColumn id="8" name="Jul" totalsRowFunction="sum" totalsRowDxfId="21">
      <calculatedColumnFormula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calculatedColumnFormula>
    </tableColumn>
    <tableColumn id="9" name="Aug" totalsRowFunction="sum" totalsRowDxfId="20">
      <calculatedColumnFormula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calculatedColumnFormula>
    </tableColumn>
    <tableColumn id="10" name="Sep" totalsRowFunction="sum" totalsRowDxfId="19">
      <calculatedColumnFormula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calculatedColumnFormula>
    </tableColumn>
    <tableColumn id="11" name="Oct" totalsRowFunction="sum" totalsRowDxfId="18">
      <calculatedColumnFormula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calculatedColumnFormula>
    </tableColumn>
    <tableColumn id="12" name="Nov" totalsRowFunction="sum" totalsRowDxfId="17">
      <calculatedColumnFormula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calculatedColumnFormula>
    </tableColumn>
    <tableColumn id="13" name="Dec" totalsRowFunction="sum" totalsRowDxfId="16">
      <calculatedColumnFormula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calculatedColumnFormula>
    </tableColumn>
    <tableColumn id="14" name="YEAR" totalsRowFunction="sum" dataDxfId="15" totalsRowDxfId="14">
      <calculatedColumnFormula>SUM(tblTrainVar[[#This Row],[Jan]:[Dec]])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Calculated variances of training/travel costs per month."/>
    </ext>
  </extLst>
</table>
</file>

<file path=xl/tables/table2.xml><?xml version="1.0" encoding="utf-8"?>
<table xmlns="http://schemas.openxmlformats.org/spreadsheetml/2006/main" id="3" name="tblTrainPlan" displayName="tblTrainPlan" ref="B22:O36" totalsRowCount="1" headerRowDxfId="184" dataDxfId="182" headerRowBorderDxfId="183" tableBorderDxfId="181" totalsRowBorderDxfId="180" headerRowCellStyle="Heading 4">
  <autoFilter ref="B22:O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Unit Component Cost" totalsRowLabel="Subtotal" dataDxfId="179" totalsRowDxfId="13"/>
    <tableColumn id="2" name="Jan" totalsRowFunction="sum" dataDxfId="178" totalsRowDxfId="12"/>
    <tableColumn id="3" name="Feb" totalsRowFunction="sum" dataDxfId="177" totalsRowDxfId="11"/>
    <tableColumn id="4" name="Mar" totalsRowFunction="sum" dataDxfId="176" totalsRowDxfId="10"/>
    <tableColumn id="5" name="Apr" totalsRowFunction="sum" dataDxfId="175" totalsRowDxfId="9"/>
    <tableColumn id="6" name="May" totalsRowFunction="sum" dataDxfId="174" totalsRowDxfId="8"/>
    <tableColumn id="7" name="Jun" totalsRowFunction="sum" dataDxfId="173" totalsRowDxfId="7"/>
    <tableColumn id="8" name="Jul" totalsRowFunction="sum" dataDxfId="172" totalsRowDxfId="6"/>
    <tableColumn id="9" name="Aug" totalsRowFunction="sum" dataDxfId="171" totalsRowDxfId="5"/>
    <tableColumn id="10" name="Sep" totalsRowFunction="sum" dataDxfId="170" totalsRowDxfId="4"/>
    <tableColumn id="11" name="Oct" totalsRowFunction="sum" dataDxfId="169" totalsRowDxfId="3"/>
    <tableColumn id="12" name="Nov" totalsRowFunction="sum" dataDxfId="168" totalsRowDxfId="2"/>
    <tableColumn id="13" name="Dec" totalsRowFunction="sum" dataDxfId="167" totalsRowDxfId="1"/>
    <tableColumn id="14" name="YEAR" totalsRowFunction="sum" dataDxfId="166" totalsRowDxfId="0">
      <calculatedColumnFormula>SUM(C23:N23)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raining/Travel table" altTextSummary="Enter training/travel planned costs per month."/>
    </ext>
  </extLst>
</table>
</file>

<file path=xl/tables/table3.xml><?xml version="1.0" encoding="utf-8"?>
<table xmlns="http://schemas.openxmlformats.org/spreadsheetml/2006/main" id="7" name="tblEmplPlan" displayName="tblEmplPlan" ref="B6:O9" totalsRowCount="1">
  <autoFilter ref="B6:O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165" totalsRowDxfId="164"/>
    <tableColumn id="2" name="Jan" totalsRowFunction="sum" totalsRowDxfId="163">
      <calculatedColumnFormula>C6*0.27</calculatedColumnFormula>
    </tableColumn>
    <tableColumn id="3" name="Feb" totalsRowFunction="sum" totalsRowDxfId="162">
      <calculatedColumnFormula>D6*0.27</calculatedColumnFormula>
    </tableColumn>
    <tableColumn id="4" name="Mar" totalsRowFunction="sum" totalsRowDxfId="161">
      <calculatedColumnFormula>E6*0.27</calculatedColumnFormula>
    </tableColumn>
    <tableColumn id="5" name="Apr" totalsRowFunction="sum" totalsRowDxfId="160">
      <calculatedColumnFormula>F6*0.27</calculatedColumnFormula>
    </tableColumn>
    <tableColumn id="6" name="May" totalsRowFunction="sum" totalsRowDxfId="159">
      <calculatedColumnFormula>G6*0.27</calculatedColumnFormula>
    </tableColumn>
    <tableColumn id="7" name="Jun" totalsRowFunction="sum" totalsRowDxfId="158">
      <calculatedColumnFormula>H6*0.27</calculatedColumnFormula>
    </tableColumn>
    <tableColumn id="8" name="Jul" totalsRowFunction="sum" totalsRowDxfId="157">
      <calculatedColumnFormula>I6*0.27</calculatedColumnFormula>
    </tableColumn>
    <tableColumn id="9" name="Aug" totalsRowFunction="sum" totalsRowDxfId="156">
      <calculatedColumnFormula>J6*0.27</calculatedColumnFormula>
    </tableColumn>
    <tableColumn id="10" name="Sep" totalsRowFunction="sum" totalsRowDxfId="155">
      <calculatedColumnFormula>K6*0.27</calculatedColumnFormula>
    </tableColumn>
    <tableColumn id="11" name="Oct" totalsRowFunction="sum" totalsRowDxfId="154">
      <calculatedColumnFormula>L6*0.27</calculatedColumnFormula>
    </tableColumn>
    <tableColumn id="12" name="Nov" totalsRowFunction="sum" totalsRowDxfId="153">
      <calculatedColumnFormula>M6*0.27</calculatedColumnFormula>
    </tableColumn>
    <tableColumn id="13" name="Dec" totalsRowFunction="sum" totalsRowDxfId="152">
      <calculatedColumnFormula>N6*0.27</calculatedColumnFormula>
    </tableColumn>
    <tableColumn id="14" name="YEAR" totalsRowFunction="sum" dataDxfId="151" totalsRowDxfId="150">
      <calculatedColumnFormula>SUM(C7:N7)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Enter planned employee costs."/>
    </ext>
  </extLst>
</table>
</file>

<file path=xl/tables/table4.xml><?xml version="1.0" encoding="utf-8"?>
<table xmlns="http://schemas.openxmlformats.org/spreadsheetml/2006/main" id="4" name="tblOffActual" displayName="tblOffActual" ref="B11:O20" totalsRowCount="1">
  <autoFilter ref="B11:O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totalsRowDxfId="149"/>
    <tableColumn id="2" name="Jan" totalsRowFunction="sum" totalsRowDxfId="148"/>
    <tableColumn id="3" name="Feb" totalsRowFunction="sum" totalsRowDxfId="147"/>
    <tableColumn id="4" name="Mar" totalsRowFunction="sum" totalsRowDxfId="146"/>
    <tableColumn id="5" name="Apr" totalsRowFunction="sum" totalsRowDxfId="145"/>
    <tableColumn id="6" name="May" totalsRowFunction="sum" totalsRowDxfId="144"/>
    <tableColumn id="7" name="Jun" totalsRowFunction="sum" totalsRowDxfId="143"/>
    <tableColumn id="8" name="Jul" totalsRowFunction="sum" totalsRowDxfId="142"/>
    <tableColumn id="9" name="Aug" totalsRowFunction="sum" totalsRowDxfId="141"/>
    <tableColumn id="10" name="Sep" totalsRowFunction="sum" totalsRowDxfId="140"/>
    <tableColumn id="11" name="Oct" totalsRowFunction="sum" totalsRowDxfId="139"/>
    <tableColumn id="12" name="Nov" totalsRowFunction="sum" totalsRowDxfId="138"/>
    <tableColumn id="13" name="Dec" totalsRowFunction="sum" totalsRowDxfId="137"/>
    <tableColumn id="14" name="YEAR" totalsRowFunction="sum" totalsRowDxfId="136">
      <calculatedColumnFormula>SUM(C12:N12)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Enter actual office costs per month."/>
    </ext>
  </extLst>
</table>
</file>

<file path=xl/tables/table5.xml><?xml version="1.0" encoding="utf-8"?>
<table xmlns="http://schemas.openxmlformats.org/spreadsheetml/2006/main" id="5" name="tblMarkActual" displayName="tblMarkActual" ref="B22:O29" totalsRowCount="1">
  <autoFilter ref="B22:O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Marketing Costs" totalsRowLabel="Subtotal" totalsRowDxfId="135"/>
    <tableColumn id="2" name="Jan" totalsRowFunction="sum" totalsRowDxfId="134"/>
    <tableColumn id="3" name="Feb" totalsRowFunction="sum" totalsRowDxfId="133"/>
    <tableColumn id="4" name="Mar" totalsRowFunction="sum" totalsRowDxfId="132"/>
    <tableColumn id="5" name="Apr" totalsRowFunction="sum" totalsRowDxfId="131"/>
    <tableColumn id="6" name="May" totalsRowFunction="sum" totalsRowDxfId="130"/>
    <tableColumn id="7" name="Jun" totalsRowFunction="sum" totalsRowDxfId="129"/>
    <tableColumn id="8" name="Jul" totalsRowFunction="sum" totalsRowDxfId="128"/>
    <tableColumn id="9" name="Aug" totalsRowFunction="sum" totalsRowDxfId="127"/>
    <tableColumn id="10" name="Sep" totalsRowFunction="sum" totalsRowDxfId="126"/>
    <tableColumn id="11" name="Oct" totalsRowFunction="sum" totalsRowDxfId="125"/>
    <tableColumn id="12" name="Nov" totalsRowFunction="sum" totalsRowDxfId="124"/>
    <tableColumn id="13" name="Dec" totalsRowFunction="sum" totalsRowDxfId="123"/>
    <tableColumn id="14" name="YEAR" totalsRowFunction="sum" totalsRowDxfId="122">
      <calculatedColumnFormula>SUM(C23:N23)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Enter actual marketing costs per month."/>
    </ext>
  </extLst>
</table>
</file>

<file path=xl/tables/table6.xml><?xml version="1.0" encoding="utf-8"?>
<table xmlns="http://schemas.openxmlformats.org/spreadsheetml/2006/main" id="6" name="tblTrainActual" displayName="tblTrainActual" ref="B31:O34" totalsRowCount="1">
  <autoFilter ref="B31:O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Training/Travel" totalsRowLabel="Subtotal" totalsRowDxfId="121"/>
    <tableColumn id="2" name="Jan" totalsRowFunction="sum" totalsRowDxfId="120"/>
    <tableColumn id="3" name="Feb" totalsRowFunction="sum" totalsRowDxfId="119"/>
    <tableColumn id="4" name="Mar" totalsRowFunction="sum" totalsRowDxfId="118"/>
    <tableColumn id="5" name="Apr" totalsRowFunction="sum" totalsRowDxfId="117"/>
    <tableColumn id="6" name="May" totalsRowFunction="sum" totalsRowDxfId="116"/>
    <tableColumn id="7" name="Jun" totalsRowFunction="sum" totalsRowDxfId="115"/>
    <tableColumn id="8" name="Jul" totalsRowFunction="sum" totalsRowDxfId="114"/>
    <tableColumn id="9" name="Aug" totalsRowFunction="sum" totalsRowDxfId="113"/>
    <tableColumn id="10" name="Sep" totalsRowFunction="sum" totalsRowDxfId="112"/>
    <tableColumn id="11" name="Oct" totalsRowFunction="sum" totalsRowDxfId="111"/>
    <tableColumn id="12" name="Nov" totalsRowFunction="sum" totalsRowDxfId="110"/>
    <tableColumn id="13" name="Dec" totalsRowFunction="sum" totalsRowDxfId="109"/>
    <tableColumn id="14" name="YEAR" totalsRowFunction="sum" totalsRowDxfId="108">
      <calculatedColumnFormula>SUM(C32:N32)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Enter actual training/travel costs per month."/>
    </ext>
  </extLst>
</table>
</file>

<file path=xl/tables/table7.xml><?xml version="1.0" encoding="utf-8"?>
<table xmlns="http://schemas.openxmlformats.org/spreadsheetml/2006/main" id="8" name="tblEmplActual" displayName="tblEmplActual" ref="B6:O9" totalsRowCount="1">
  <autoFilter ref="B6:O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107" totalsRowDxfId="106"/>
    <tableColumn id="2" name="Jan" totalsRowFunction="sum" totalsRowDxfId="105">
      <calculatedColumnFormula>C6*0.27</calculatedColumnFormula>
    </tableColumn>
    <tableColumn id="3" name="Feb" totalsRowFunction="sum" totalsRowDxfId="104">
      <calculatedColumnFormula>D6*0.27</calculatedColumnFormula>
    </tableColumn>
    <tableColumn id="4" name="Mar" totalsRowFunction="sum" totalsRowDxfId="103">
      <calculatedColumnFormula>E6*0.27</calculatedColumnFormula>
    </tableColumn>
    <tableColumn id="5" name="Apr" totalsRowFunction="sum" totalsRowDxfId="102">
      <calculatedColumnFormula>F6*0.27</calculatedColumnFormula>
    </tableColumn>
    <tableColumn id="6" name="May" totalsRowFunction="sum" totalsRowDxfId="101">
      <calculatedColumnFormula>G6*0.27</calculatedColumnFormula>
    </tableColumn>
    <tableColumn id="7" name="Jun" totalsRowFunction="sum" totalsRowDxfId="100">
      <calculatedColumnFormula>H6*0.27</calculatedColumnFormula>
    </tableColumn>
    <tableColumn id="8" name="Jul" totalsRowFunction="sum" totalsRowDxfId="99"/>
    <tableColumn id="9" name="Aug" totalsRowFunction="sum" totalsRowDxfId="98"/>
    <tableColumn id="10" name="Sep" totalsRowFunction="sum" totalsRowDxfId="97"/>
    <tableColumn id="11" name="Oct" totalsRowFunction="sum" totalsRowDxfId="96"/>
    <tableColumn id="12" name="Nov" totalsRowFunction="sum" totalsRowDxfId="95"/>
    <tableColumn id="13" name="Dec" totalsRowFunction="sum" totalsRowDxfId="94"/>
    <tableColumn id="14" name="YEAR" totalsRowFunction="sum" totalsRowDxfId="93">
      <calculatedColumnFormula>SUM(C7:N7)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Enter actual employee costs per month."/>
    </ext>
  </extLst>
</table>
</file>

<file path=xl/tables/table8.xml><?xml version="1.0" encoding="utf-8"?>
<table xmlns="http://schemas.openxmlformats.org/spreadsheetml/2006/main" id="9" name="tblEmplVar" displayName="tblEmplVar" ref="B6:O9" totalsRowCount="1">
  <autoFilter ref="B6:O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mployee Costs" totalsRowLabel="Subtotal" dataDxfId="92" totalsRowDxfId="91"/>
    <tableColumn id="2" name="Jan" totalsRowFunction="sum" dataDxfId="90" totalsRowDxfId="89">
      <calculatedColumnFormula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calculatedColumnFormula>
    </tableColumn>
    <tableColumn id="3" name="Feb" totalsRowFunction="sum" totalsRowDxfId="88">
      <calculatedColumnFormula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calculatedColumnFormula>
    </tableColumn>
    <tableColumn id="4" name="Mar" totalsRowFunction="sum" totalsRowDxfId="87">
      <calculatedColumnFormula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calculatedColumnFormula>
    </tableColumn>
    <tableColumn id="5" name="Apr" totalsRowFunction="sum" totalsRowDxfId="86">
      <calculatedColumnFormula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calculatedColumnFormula>
    </tableColumn>
    <tableColumn id="6" name="May" totalsRowFunction="sum" totalsRowDxfId="85">
      <calculatedColumnFormula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calculatedColumnFormula>
    </tableColumn>
    <tableColumn id="7" name="Jun" totalsRowFunction="sum" totalsRowDxfId="84">
      <calculatedColumnFormula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calculatedColumnFormula>
    </tableColumn>
    <tableColumn id="8" name="Jul" totalsRowFunction="sum" totalsRowDxfId="83">
      <calculatedColumnFormula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calculatedColumnFormula>
    </tableColumn>
    <tableColumn id="9" name="Aug" totalsRowFunction="sum" totalsRowDxfId="82">
      <calculatedColumnFormula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calculatedColumnFormula>
    </tableColumn>
    <tableColumn id="10" name="Sep" totalsRowFunction="sum" totalsRowDxfId="81">
      <calculatedColumnFormula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calculatedColumnFormula>
    </tableColumn>
    <tableColumn id="11" name="Oct" totalsRowFunction="sum" totalsRowDxfId="80">
      <calculatedColumnFormula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calculatedColumnFormula>
    </tableColumn>
    <tableColumn id="12" name="Nov" totalsRowFunction="sum" totalsRowDxfId="79">
      <calculatedColumnFormula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calculatedColumnFormula>
    </tableColumn>
    <tableColumn id="13" name="Dec" totalsRowFunction="sum" totalsRowDxfId="78">
      <calculatedColumnFormula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calculatedColumnFormula>
    </tableColumn>
    <tableColumn id="14" name="YEAR" totalsRowFunction="sum" dataDxfId="77" totalsRowDxfId="76">
      <calculatedColumnFormula>SUM(tblEmplVar[[#This Row],[Jan]:[Dec]])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Calculated variances of employee costs per month."/>
    </ext>
  </extLst>
</table>
</file>

<file path=xl/tables/table9.xml><?xml version="1.0" encoding="utf-8"?>
<table xmlns="http://schemas.openxmlformats.org/spreadsheetml/2006/main" id="10" name="tblOffVar" displayName="tblOffVar" ref="B11:O20" totalsRowCount="1">
  <autoFilter ref="B11:O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ffice Costs" totalsRowLabel="Subtotal" dataDxfId="75" totalsRowDxfId="74"/>
    <tableColumn id="2" name="Jan" totalsRowFunction="sum" dataDxfId="73" totalsRowDxfId="72">
      <calculatedColumnFormula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calculatedColumnFormula>
    </tableColumn>
    <tableColumn id="3" name="Feb" totalsRowFunction="sum" dataDxfId="71" totalsRowDxfId="70">
      <calculatedColumnFormula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calculatedColumnFormula>
    </tableColumn>
    <tableColumn id="4" name="Mar" totalsRowFunction="sum" dataDxfId="69" totalsRowDxfId="68">
      <calculatedColumnFormula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calculatedColumnFormula>
    </tableColumn>
    <tableColumn id="5" name="Apr" totalsRowFunction="sum" dataDxfId="67" totalsRowDxfId="66">
      <calculatedColumnFormula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calculatedColumnFormula>
    </tableColumn>
    <tableColumn id="6" name="May" totalsRowFunction="sum" dataDxfId="65" totalsRowDxfId="64">
      <calculatedColumnFormula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calculatedColumnFormula>
    </tableColumn>
    <tableColumn id="7" name="Jun" totalsRowFunction="sum" dataDxfId="63" totalsRowDxfId="62">
      <calculatedColumnFormula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calculatedColumnFormula>
    </tableColumn>
    <tableColumn id="8" name="Jul" totalsRowFunction="sum" dataDxfId="61" totalsRowDxfId="60">
      <calculatedColumnFormula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calculatedColumnFormula>
    </tableColumn>
    <tableColumn id="9" name="Aug" totalsRowFunction="sum" dataDxfId="59" totalsRowDxfId="58">
      <calculatedColumnFormula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calculatedColumnFormula>
    </tableColumn>
    <tableColumn id="10" name="Sep" totalsRowFunction="sum" dataDxfId="57" totalsRowDxfId="56">
      <calculatedColumnFormula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calculatedColumnFormula>
    </tableColumn>
    <tableColumn id="11" name="Oct" totalsRowFunction="sum" dataDxfId="55" totalsRowDxfId="54">
      <calculatedColumnFormula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calculatedColumnFormula>
    </tableColumn>
    <tableColumn id="12" name="Nov" totalsRowFunction="sum" dataDxfId="53" totalsRowDxfId="52">
      <calculatedColumnFormula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calculatedColumnFormula>
    </tableColumn>
    <tableColumn id="13" name="Dec" totalsRowFunction="sum" dataDxfId="51" totalsRowDxfId="50">
      <calculatedColumnFormula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calculatedColumnFormula>
    </tableColumn>
    <tableColumn id="14" name="YEAR" totalsRowFunction="sum" dataDxfId="49" totalsRowDxfId="48">
      <calculatedColumnFormula>SUM(tblOffVar[[#This Row],[Jan]:[Dec]])</calculatedColumnFormula>
    </tableColumn>
  </tableColumns>
  <tableStyleInfo name="Detailed expense estimates Table" showFirstColumn="0" showLastColumn="1" showRowStripes="0" showColumnStripes="0"/>
  <extLst>
    <ext xmlns:x14="http://schemas.microsoft.com/office/spreadsheetml/2009/9/main" uri="{504A1905-F514-4f6f-8877-14C23A59335A}">
      <x14:table altText="Table" altTextSummary="Calculated variances of office costs per month."/>
    </ext>
  </extLst>
</table>
</file>

<file path=xl/theme/theme1.xml><?xml version="1.0" encoding="utf-8"?>
<a:theme xmlns:a="http://schemas.openxmlformats.org/drawingml/2006/main" name="Office Theme">
  <a:themeElements>
    <a:clrScheme name="Detailed expense estimate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Detailed expense estimate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autoPageBreaks="0" fitToPage="1"/>
  </sheetPr>
  <dimension ref="A1:O40"/>
  <sheetViews>
    <sheetView showGridLines="0" tabSelected="1" topLeftCell="C24" zoomScaleNormal="100" workbookViewId="0">
      <selection activeCell="B2" sqref="B2:O40"/>
    </sheetView>
  </sheetViews>
  <sheetFormatPr defaultColWidth="9.375" defaultRowHeight="21" customHeight="1" x14ac:dyDescent="0.35"/>
  <cols>
    <col min="1" max="1" width="2" style="1" customWidth="1"/>
    <col min="2" max="2" width="37.25" style="1" customWidth="1"/>
    <col min="3" max="5" width="13.875" style="1" bestFit="1" customWidth="1"/>
    <col min="6" max="6" width="15.375" style="1" customWidth="1"/>
    <col min="7" max="7" width="15.25" style="1" customWidth="1"/>
    <col min="8" max="8" width="15.625" style="1" customWidth="1"/>
    <col min="9" max="9" width="15" style="1" customWidth="1"/>
    <col min="10" max="15" width="15.625" style="1" bestFit="1" customWidth="1"/>
    <col min="16" max="16384" width="9.375" style="1"/>
  </cols>
  <sheetData>
    <row r="1" spans="1:15" ht="9.9" customHeight="1" x14ac:dyDescent="0.35">
      <c r="A1" s="1" t="s">
        <v>49</v>
      </c>
    </row>
    <row r="2" spans="1:15" ht="27" x14ac:dyDescent="0.4">
      <c r="B2" s="22" t="s">
        <v>52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" x14ac:dyDescent="0.35">
      <c r="B3" s="15" t="s">
        <v>0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35">
      <c r="B4" s="37" t="s">
        <v>50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1" customHeight="1" x14ac:dyDescent="0.35">
      <c r="B5" s="19" t="s">
        <v>1</v>
      </c>
      <c r="C5" s="17" t="s">
        <v>2</v>
      </c>
      <c r="D5" s="17" t="s">
        <v>3</v>
      </c>
      <c r="E5" s="18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8" t="s">
        <v>13</v>
      </c>
      <c r="O5" s="17" t="s">
        <v>14</v>
      </c>
    </row>
    <row r="6" spans="1:15" s="9" customFormat="1" ht="21" customHeight="1" x14ac:dyDescent="0.35">
      <c r="B6" s="41" t="s">
        <v>15</v>
      </c>
      <c r="C6" s="48" t="s">
        <v>2</v>
      </c>
      <c r="D6" s="48" t="s">
        <v>3</v>
      </c>
      <c r="E6" s="49" t="s">
        <v>4</v>
      </c>
      <c r="F6" s="48" t="s">
        <v>5</v>
      </c>
      <c r="G6" s="48" t="s">
        <v>6</v>
      </c>
      <c r="H6" s="48" t="s">
        <v>7</v>
      </c>
      <c r="I6" s="48" t="s">
        <v>8</v>
      </c>
      <c r="J6" s="48" t="s">
        <v>9</v>
      </c>
      <c r="K6" s="48" t="s">
        <v>10</v>
      </c>
      <c r="L6" s="48" t="s">
        <v>11</v>
      </c>
      <c r="M6" s="48" t="s">
        <v>12</v>
      </c>
      <c r="N6" s="48" t="s">
        <v>13</v>
      </c>
      <c r="O6" s="48" t="s">
        <v>14</v>
      </c>
    </row>
    <row r="7" spans="1:15" ht="21" customHeight="1" x14ac:dyDescent="0.35">
      <c r="B7" s="42" t="s">
        <v>16</v>
      </c>
      <c r="C7" s="43">
        <v>25000</v>
      </c>
      <c r="D7" s="43">
        <v>25000</v>
      </c>
      <c r="E7" s="43">
        <v>25000</v>
      </c>
      <c r="F7" s="43">
        <v>25000</v>
      </c>
      <c r="G7" s="43">
        <v>25000</v>
      </c>
      <c r="H7" s="43">
        <v>25000</v>
      </c>
      <c r="I7" s="43">
        <v>25000</v>
      </c>
      <c r="J7" s="43">
        <v>25000</v>
      </c>
      <c r="K7" s="43">
        <v>25000</v>
      </c>
      <c r="L7" s="43">
        <v>25000</v>
      </c>
      <c r="M7" s="43">
        <v>25000</v>
      </c>
      <c r="N7" s="43">
        <v>25000</v>
      </c>
      <c r="O7" s="43">
        <f t="shared" ref="O7:O8" si="0">SUM(C7:N7)</f>
        <v>300000</v>
      </c>
    </row>
    <row r="8" spans="1:15" ht="21" customHeight="1" x14ac:dyDescent="0.35">
      <c r="B8" s="42" t="s">
        <v>17</v>
      </c>
      <c r="C8" s="43">
        <f t="shared" ref="C8:N8" si="1">C7*0.27</f>
        <v>6750</v>
      </c>
      <c r="D8" s="43">
        <f t="shared" si="1"/>
        <v>6750</v>
      </c>
      <c r="E8" s="62">
        <f t="shared" si="1"/>
        <v>6750</v>
      </c>
      <c r="F8" s="43">
        <f t="shared" si="1"/>
        <v>6750</v>
      </c>
      <c r="G8" s="43">
        <f t="shared" si="1"/>
        <v>6750</v>
      </c>
      <c r="H8" s="43">
        <f t="shared" si="1"/>
        <v>6750</v>
      </c>
      <c r="I8" s="43">
        <f t="shared" si="1"/>
        <v>6750</v>
      </c>
      <c r="J8" s="43">
        <f t="shared" si="1"/>
        <v>6750</v>
      </c>
      <c r="K8" s="43">
        <f t="shared" si="1"/>
        <v>6750</v>
      </c>
      <c r="L8" s="43">
        <f t="shared" si="1"/>
        <v>6750</v>
      </c>
      <c r="M8" s="43">
        <f t="shared" si="1"/>
        <v>6750</v>
      </c>
      <c r="N8" s="43">
        <f t="shared" si="1"/>
        <v>6750</v>
      </c>
      <c r="O8" s="43">
        <f t="shared" si="0"/>
        <v>81000</v>
      </c>
    </row>
    <row r="9" spans="1:15" ht="21" customHeight="1" x14ac:dyDescent="0.35">
      <c r="B9" s="44" t="s">
        <v>18</v>
      </c>
      <c r="C9" s="50">
        <f>SUBTOTAL(109,tblEmplPlan[Jan])</f>
        <v>31750</v>
      </c>
      <c r="D9" s="50">
        <f>SUBTOTAL(109,tblEmplPlan[Feb])</f>
        <v>31750</v>
      </c>
      <c r="E9" s="50">
        <f>SUBTOTAL(109,tblEmplPlan[Mar])</f>
        <v>31750</v>
      </c>
      <c r="F9" s="50">
        <f>SUBTOTAL(109,tblEmplPlan[Apr])</f>
        <v>31750</v>
      </c>
      <c r="G9" s="50">
        <f>SUBTOTAL(109,tblEmplPlan[May])</f>
        <v>31750</v>
      </c>
      <c r="H9" s="50">
        <f>SUBTOTAL(109,tblEmplPlan[Jun])</f>
        <v>31750</v>
      </c>
      <c r="I9" s="50">
        <f>SUBTOTAL(109,tblEmplPlan[Jul])</f>
        <v>31750</v>
      </c>
      <c r="J9" s="50">
        <f>SUBTOTAL(109,tblEmplPlan[Aug])</f>
        <v>31750</v>
      </c>
      <c r="K9" s="50">
        <f>SUBTOTAL(109,tblEmplPlan[Sep])</f>
        <v>31750</v>
      </c>
      <c r="L9" s="50">
        <f>SUBTOTAL(109,tblEmplPlan[Oct])</f>
        <v>31750</v>
      </c>
      <c r="M9" s="50">
        <f>SUBTOTAL(109,tblEmplPlan[Nov])</f>
        <v>31750</v>
      </c>
      <c r="N9" s="50">
        <f>SUBTOTAL(109,tblEmplPlan[Dec])</f>
        <v>31750</v>
      </c>
      <c r="O9" s="50">
        <f>SUBTOTAL(109,tblEmplPlan[YEAR])</f>
        <v>381000</v>
      </c>
    </row>
    <row r="10" spans="1:15" ht="21" customHeight="1" x14ac:dyDescent="0.35">
      <c r="B10" s="65"/>
      <c r="C10" s="65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5" ht="21" customHeight="1" x14ac:dyDescent="0.35">
      <c r="B11" s="41" t="s">
        <v>19</v>
      </c>
      <c r="C11" s="45" t="s">
        <v>2</v>
      </c>
      <c r="D11" s="45" t="s">
        <v>3</v>
      </c>
      <c r="E11" s="46" t="s">
        <v>4</v>
      </c>
      <c r="F11" s="45" t="s">
        <v>5</v>
      </c>
      <c r="G11" s="45" t="s">
        <v>6</v>
      </c>
      <c r="H11" s="45" t="s">
        <v>7</v>
      </c>
      <c r="I11" s="45" t="s">
        <v>8</v>
      </c>
      <c r="J11" s="45" t="s">
        <v>9</v>
      </c>
      <c r="K11" s="45" t="s">
        <v>10</v>
      </c>
      <c r="L11" s="45" t="s">
        <v>11</v>
      </c>
      <c r="M11" s="45" t="s">
        <v>12</v>
      </c>
      <c r="N11" s="45" t="s">
        <v>13</v>
      </c>
      <c r="O11" s="45" t="s">
        <v>14</v>
      </c>
    </row>
    <row r="12" spans="1:15" ht="21" customHeight="1" x14ac:dyDescent="0.35">
      <c r="B12" s="42" t="s">
        <v>20</v>
      </c>
      <c r="C12" s="43">
        <v>1720</v>
      </c>
      <c r="D12" s="43">
        <v>1720</v>
      </c>
      <c r="E12" s="43">
        <v>1720</v>
      </c>
      <c r="F12" s="43">
        <v>1720</v>
      </c>
      <c r="G12" s="43">
        <v>1720</v>
      </c>
      <c r="H12" s="43">
        <v>1720</v>
      </c>
      <c r="I12" s="43">
        <v>1720</v>
      </c>
      <c r="J12" s="43">
        <v>1720</v>
      </c>
      <c r="K12" s="43">
        <v>1720</v>
      </c>
      <c r="L12" s="43">
        <v>1720</v>
      </c>
      <c r="M12" s="43">
        <v>1720</v>
      </c>
      <c r="N12" s="43">
        <v>1720</v>
      </c>
      <c r="O12" s="43">
        <f t="shared" ref="O12:O18" si="2">SUM(C12:N12)</f>
        <v>20640</v>
      </c>
    </row>
    <row r="13" spans="1:15" ht="21" customHeight="1" x14ac:dyDescent="0.35">
      <c r="B13" s="42" t="s">
        <v>21</v>
      </c>
      <c r="C13" s="43">
        <v>200</v>
      </c>
      <c r="D13" s="43">
        <v>200</v>
      </c>
      <c r="E13" s="43">
        <v>200</v>
      </c>
      <c r="F13" s="43">
        <v>50</v>
      </c>
      <c r="G13" s="43">
        <v>50</v>
      </c>
      <c r="H13" s="43">
        <v>50</v>
      </c>
      <c r="I13" s="43">
        <v>50</v>
      </c>
      <c r="J13" s="43">
        <v>50</v>
      </c>
      <c r="K13" s="43">
        <v>50</v>
      </c>
      <c r="L13" s="43">
        <v>50</v>
      </c>
      <c r="M13" s="43">
        <v>200</v>
      </c>
      <c r="N13" s="43">
        <v>200</v>
      </c>
      <c r="O13" s="43">
        <f t="shared" si="2"/>
        <v>1350</v>
      </c>
    </row>
    <row r="14" spans="1:15" ht="21" customHeight="1" x14ac:dyDescent="0.35">
      <c r="B14" s="42" t="s">
        <v>22</v>
      </c>
      <c r="C14" s="43">
        <v>80</v>
      </c>
      <c r="D14" s="43">
        <v>80</v>
      </c>
      <c r="E14" s="43">
        <v>80</v>
      </c>
      <c r="F14" s="43">
        <v>150</v>
      </c>
      <c r="G14" s="43">
        <v>150</v>
      </c>
      <c r="H14" s="43">
        <v>150</v>
      </c>
      <c r="I14" s="43">
        <v>150</v>
      </c>
      <c r="J14" s="43">
        <v>150</v>
      </c>
      <c r="K14" s="43">
        <v>150</v>
      </c>
      <c r="L14" s="43">
        <v>150</v>
      </c>
      <c r="M14" s="43">
        <v>80</v>
      </c>
      <c r="N14" s="43">
        <v>80</v>
      </c>
      <c r="O14" s="43">
        <f t="shared" si="2"/>
        <v>1450</v>
      </c>
    </row>
    <row r="15" spans="1:15" ht="21" customHeight="1" x14ac:dyDescent="0.35">
      <c r="B15" s="42" t="s">
        <v>23</v>
      </c>
      <c r="C15" s="43">
        <v>25</v>
      </c>
      <c r="D15" s="43">
        <v>25</v>
      </c>
      <c r="E15" s="43">
        <v>25</v>
      </c>
      <c r="F15" s="43">
        <v>25</v>
      </c>
      <c r="G15" s="43">
        <v>25</v>
      </c>
      <c r="H15" s="43">
        <v>25</v>
      </c>
      <c r="I15" s="43">
        <v>25</v>
      </c>
      <c r="J15" s="43">
        <v>25</v>
      </c>
      <c r="K15" s="43">
        <v>25</v>
      </c>
      <c r="L15" s="43">
        <v>25</v>
      </c>
      <c r="M15" s="43">
        <v>25</v>
      </c>
      <c r="N15" s="43">
        <v>25</v>
      </c>
      <c r="O15" s="43">
        <f t="shared" si="2"/>
        <v>300</v>
      </c>
    </row>
    <row r="16" spans="1:15" ht="21" customHeight="1" x14ac:dyDescent="0.35">
      <c r="B16" s="42" t="s">
        <v>24</v>
      </c>
      <c r="C16" s="43">
        <v>25</v>
      </c>
      <c r="D16" s="43">
        <v>25</v>
      </c>
      <c r="E16" s="43">
        <v>25</v>
      </c>
      <c r="F16" s="43">
        <v>25</v>
      </c>
      <c r="G16" s="43">
        <v>25</v>
      </c>
      <c r="H16" s="43">
        <v>25</v>
      </c>
      <c r="I16" s="43">
        <v>25</v>
      </c>
      <c r="J16" s="43">
        <v>25</v>
      </c>
      <c r="K16" s="43">
        <v>25</v>
      </c>
      <c r="L16" s="43">
        <v>25</v>
      </c>
      <c r="M16" s="43">
        <v>25</v>
      </c>
      <c r="N16" s="43">
        <v>25</v>
      </c>
      <c r="O16" s="43">
        <f t="shared" si="2"/>
        <v>300</v>
      </c>
    </row>
    <row r="17" spans="2:15" ht="21" customHeight="1" x14ac:dyDescent="0.35">
      <c r="B17" s="42" t="s">
        <v>25</v>
      </c>
      <c r="C17" s="43">
        <v>75</v>
      </c>
      <c r="D17" s="43">
        <v>75</v>
      </c>
      <c r="E17" s="43">
        <v>75</v>
      </c>
      <c r="F17" s="43">
        <v>75</v>
      </c>
      <c r="G17" s="43">
        <v>75</v>
      </c>
      <c r="H17" s="43">
        <v>75</v>
      </c>
      <c r="I17" s="43">
        <v>75</v>
      </c>
      <c r="J17" s="43">
        <v>75</v>
      </c>
      <c r="K17" s="43">
        <v>75</v>
      </c>
      <c r="L17" s="43">
        <v>75</v>
      </c>
      <c r="M17" s="43">
        <v>75</v>
      </c>
      <c r="N17" s="43">
        <v>75</v>
      </c>
      <c r="O17" s="43">
        <f t="shared" si="2"/>
        <v>900</v>
      </c>
    </row>
    <row r="18" spans="2:15" ht="21" customHeight="1" x14ac:dyDescent="0.35">
      <c r="B18" s="42" t="s">
        <v>26</v>
      </c>
      <c r="C18" s="43">
        <v>40</v>
      </c>
      <c r="D18" s="43">
        <v>40</v>
      </c>
      <c r="E18" s="43">
        <v>40</v>
      </c>
      <c r="F18" s="43">
        <v>40</v>
      </c>
      <c r="G18" s="43">
        <v>40</v>
      </c>
      <c r="H18" s="43">
        <v>40</v>
      </c>
      <c r="I18" s="43">
        <v>40</v>
      </c>
      <c r="J18" s="43">
        <v>40</v>
      </c>
      <c r="K18" s="43">
        <v>40</v>
      </c>
      <c r="L18" s="43">
        <v>40</v>
      </c>
      <c r="M18" s="43">
        <v>40</v>
      </c>
      <c r="N18" s="43">
        <v>40</v>
      </c>
      <c r="O18" s="43">
        <f t="shared" si="2"/>
        <v>480</v>
      </c>
    </row>
    <row r="19" spans="2:15" ht="21" customHeight="1" x14ac:dyDescent="0.35">
      <c r="B19" s="55" t="s">
        <v>18</v>
      </c>
      <c r="C19" s="56">
        <f>SUBTOTAL(109,tblOffPlan[Jan])</f>
        <v>2165</v>
      </c>
      <c r="D19" s="56">
        <f>SUBTOTAL(109,tblOffPlan[Feb])</f>
        <v>2165</v>
      </c>
      <c r="E19" s="56">
        <f>SUBTOTAL(109,tblOffPlan[Mar])</f>
        <v>2165</v>
      </c>
      <c r="F19" s="56">
        <f>SUBTOTAL(109,tblOffPlan[Apr])</f>
        <v>2085</v>
      </c>
      <c r="G19" s="56">
        <f>SUBTOTAL(109,tblOffPlan[May])</f>
        <v>2085</v>
      </c>
      <c r="H19" s="56">
        <f>SUBTOTAL(109,tblOffPlan[Jun])</f>
        <v>2085</v>
      </c>
      <c r="I19" s="56">
        <f>SUBTOTAL(109,tblOffPlan[Jul])</f>
        <v>2085</v>
      </c>
      <c r="J19" s="56">
        <f>SUBTOTAL(109,tblOffPlan[Aug])</f>
        <v>2085</v>
      </c>
      <c r="K19" s="56">
        <f>SUBTOTAL(109,tblOffPlan[Sep])</f>
        <v>2085</v>
      </c>
      <c r="L19" s="56">
        <f>SUBTOTAL(109,tblOffPlan[Oct])</f>
        <v>2085</v>
      </c>
      <c r="M19" s="56">
        <f>SUBTOTAL(109,tblOffPlan[Nov])</f>
        <v>2165</v>
      </c>
      <c r="N19" s="56">
        <f>SUBTOTAL(109,tblOffPlan[Dec])</f>
        <v>2165</v>
      </c>
      <c r="O19" s="56">
        <f>SUBTOTAL(109,tblOffPlan[YEAR])</f>
        <v>25420</v>
      </c>
    </row>
    <row r="20" spans="2:15" ht="21" customHeight="1" x14ac:dyDescent="0.35">
      <c r="B20" s="66"/>
      <c r="C20" s="66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1"/>
    </row>
    <row r="21" spans="2:15" ht="21" customHeight="1" x14ac:dyDescent="0.35">
      <c r="B21" s="60" t="s">
        <v>54</v>
      </c>
      <c r="C21" s="59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5">
      <c r="B22" s="61" t="s">
        <v>53</v>
      </c>
      <c r="C22" s="38" t="s">
        <v>2</v>
      </c>
      <c r="D22" s="38" t="s">
        <v>3</v>
      </c>
      <c r="E22" s="39" t="s">
        <v>4</v>
      </c>
      <c r="F22" s="38" t="s">
        <v>5</v>
      </c>
      <c r="G22" s="38" t="s">
        <v>6</v>
      </c>
      <c r="H22" s="38" t="s">
        <v>7</v>
      </c>
      <c r="I22" s="38" t="s">
        <v>8</v>
      </c>
      <c r="J22" s="38" t="s">
        <v>9</v>
      </c>
      <c r="K22" s="38" t="s">
        <v>10</v>
      </c>
      <c r="L22" s="38" t="s">
        <v>11</v>
      </c>
      <c r="M22" s="38" t="s">
        <v>12</v>
      </c>
      <c r="N22" s="38" t="s">
        <v>13</v>
      </c>
      <c r="O22" s="40" t="s">
        <v>14</v>
      </c>
    </row>
    <row r="23" spans="2:15" ht="21" customHeight="1" x14ac:dyDescent="0.35">
      <c r="B23" s="23" t="s">
        <v>56</v>
      </c>
      <c r="C23" s="24">
        <v>17.98</v>
      </c>
      <c r="D23" s="24"/>
      <c r="E23" s="24"/>
      <c r="F23" s="24"/>
      <c r="G23" s="24"/>
      <c r="H23" s="24"/>
      <c r="I23" s="24"/>
      <c r="J23" s="24"/>
      <c r="K23" s="24"/>
      <c r="L23" s="63"/>
      <c r="M23" s="24"/>
      <c r="N23" s="24"/>
      <c r="O23" s="36">
        <f t="shared" ref="O23:O35" si="3">SUM(C23:N23)</f>
        <v>17.98</v>
      </c>
    </row>
    <row r="24" spans="2:15" ht="21" customHeight="1" x14ac:dyDescent="0.35">
      <c r="B24" s="23" t="s">
        <v>57</v>
      </c>
      <c r="C24" s="57">
        <v>17.98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8">
        <f t="shared" si="3"/>
        <v>17.98</v>
      </c>
    </row>
    <row r="25" spans="2:15" ht="21" customHeight="1" x14ac:dyDescent="0.35">
      <c r="B25" s="23" t="s">
        <v>58</v>
      </c>
      <c r="C25" s="57">
        <v>93.98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8">
        <f t="shared" si="3"/>
        <v>93.98</v>
      </c>
    </row>
    <row r="26" spans="2:15" ht="21" customHeight="1" x14ac:dyDescent="0.35">
      <c r="B26" s="23" t="s">
        <v>59</v>
      </c>
      <c r="C26" s="57">
        <v>798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8">
        <f t="shared" si="3"/>
        <v>798</v>
      </c>
    </row>
    <row r="27" spans="2:15" ht="21" customHeight="1" x14ac:dyDescent="0.35">
      <c r="B27" s="23" t="s">
        <v>60</v>
      </c>
      <c r="C27" s="24">
        <v>549</v>
      </c>
      <c r="D27" s="24"/>
      <c r="E27" s="24"/>
      <c r="F27" s="24"/>
      <c r="G27" s="24"/>
      <c r="H27" s="24"/>
      <c r="I27" s="24"/>
      <c r="J27" s="24"/>
      <c r="K27" s="24"/>
      <c r="L27" s="24"/>
      <c r="M27" s="57"/>
      <c r="N27" s="24"/>
      <c r="O27" s="36">
        <f t="shared" si="3"/>
        <v>549</v>
      </c>
    </row>
    <row r="28" spans="2:15" ht="21" customHeight="1" x14ac:dyDescent="0.35">
      <c r="B28" s="23" t="s">
        <v>61</v>
      </c>
      <c r="C28" s="57">
        <v>292.27999999999997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>
        <f t="shared" si="3"/>
        <v>292.27999999999997</v>
      </c>
    </row>
    <row r="29" spans="2:15" ht="21" customHeight="1" x14ac:dyDescent="0.35">
      <c r="B29" s="23" t="s">
        <v>62</v>
      </c>
      <c r="C29" s="24">
        <v>19.98</v>
      </c>
      <c r="D29" s="24"/>
      <c r="E29" s="24"/>
      <c r="F29" s="24"/>
      <c r="G29" s="24"/>
      <c r="H29" s="24"/>
      <c r="I29" s="24"/>
      <c r="J29" s="24"/>
      <c r="K29" s="24"/>
      <c r="L29" s="57"/>
      <c r="M29" s="24"/>
      <c r="N29" s="24"/>
      <c r="O29" s="36">
        <f t="shared" si="3"/>
        <v>19.98</v>
      </c>
    </row>
    <row r="30" spans="2:15" ht="21" customHeight="1" x14ac:dyDescent="0.35">
      <c r="B30" s="23" t="s">
        <v>63</v>
      </c>
      <c r="C30" s="24">
        <v>38.979999999999997</v>
      </c>
      <c r="D30" s="24"/>
      <c r="E30" s="24"/>
      <c r="F30" s="24"/>
      <c r="G30" s="24"/>
      <c r="H30" s="24"/>
      <c r="I30" s="24"/>
      <c r="J30" s="24"/>
      <c r="K30" s="24"/>
      <c r="L30" s="57"/>
      <c r="M30" s="24"/>
      <c r="N30" s="24"/>
      <c r="O30" s="36">
        <f t="shared" si="3"/>
        <v>38.979999999999997</v>
      </c>
    </row>
    <row r="31" spans="2:15" ht="21" customHeight="1" x14ac:dyDescent="0.35">
      <c r="B31" s="23" t="s">
        <v>65</v>
      </c>
      <c r="C31" s="24">
        <v>11.89</v>
      </c>
      <c r="D31" s="24"/>
      <c r="E31" s="24"/>
      <c r="F31" s="24"/>
      <c r="G31" s="24"/>
      <c r="H31" s="24"/>
      <c r="I31" s="24"/>
      <c r="J31" s="24"/>
      <c r="K31" s="24"/>
      <c r="L31" s="57"/>
      <c r="M31" s="24"/>
      <c r="N31" s="24"/>
      <c r="O31" s="36">
        <f t="shared" si="3"/>
        <v>11.89</v>
      </c>
    </row>
    <row r="32" spans="2:15" ht="21" customHeight="1" x14ac:dyDescent="0.35">
      <c r="B32" s="23" t="s">
        <v>64</v>
      </c>
      <c r="C32" s="57">
        <v>4.6900000000000004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8">
        <f t="shared" si="3"/>
        <v>4.6900000000000004</v>
      </c>
    </row>
    <row r="33" spans="2:15" ht="21" customHeight="1" x14ac:dyDescent="0.35">
      <c r="B33" s="69" t="s">
        <v>66</v>
      </c>
      <c r="C33" s="57"/>
      <c r="D33" s="57">
        <v>10.5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8">
        <f>SUM(C33:N33)</f>
        <v>10.5</v>
      </c>
    </row>
    <row r="34" spans="2:15" ht="21" customHeight="1" x14ac:dyDescent="0.35">
      <c r="B34" s="69" t="s">
        <v>67</v>
      </c>
      <c r="C34" s="57"/>
      <c r="D34" s="57">
        <v>26.99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>
        <f>SUM(C34:N34)</f>
        <v>26.99</v>
      </c>
    </row>
    <row r="35" spans="2:15" ht="21" customHeight="1" x14ac:dyDescent="0.35">
      <c r="B35" s="25" t="s">
        <v>55</v>
      </c>
      <c r="C35" s="26">
        <v>83.11</v>
      </c>
      <c r="D35" s="26"/>
      <c r="E35" s="26"/>
      <c r="F35" s="26"/>
      <c r="G35" s="26"/>
      <c r="H35" s="26"/>
      <c r="I35" s="26"/>
      <c r="J35" s="26"/>
      <c r="K35" s="26"/>
      <c r="L35" s="64"/>
      <c r="M35" s="26"/>
      <c r="N35" s="26"/>
      <c r="O35" s="34">
        <f t="shared" si="3"/>
        <v>83.11</v>
      </c>
    </row>
    <row r="36" spans="2:15" ht="21" customHeight="1" x14ac:dyDescent="0.35">
      <c r="B36" s="55" t="s">
        <v>18</v>
      </c>
      <c r="C36" s="64">
        <f>SUBTOTAL(109,tblTrainPlan[Jan])</f>
        <v>1927.8700000000001</v>
      </c>
      <c r="D36" s="64">
        <f>SUBTOTAL(109,tblTrainPlan[Feb])</f>
        <v>37.489999999999995</v>
      </c>
      <c r="E36" s="64">
        <f>SUBTOTAL(109,tblTrainPlan[Mar])</f>
        <v>0</v>
      </c>
      <c r="F36" s="64">
        <f>SUBTOTAL(109,tblTrainPlan[Apr])</f>
        <v>0</v>
      </c>
      <c r="G36" s="64">
        <f>SUBTOTAL(109,tblTrainPlan[May])</f>
        <v>0</v>
      </c>
      <c r="H36" s="64">
        <f>SUBTOTAL(109,tblTrainPlan[Jun])</f>
        <v>0</v>
      </c>
      <c r="I36" s="64">
        <f>SUBTOTAL(109,tblTrainPlan[Jul])</f>
        <v>0</v>
      </c>
      <c r="J36" s="64">
        <f>SUBTOTAL(109,tblTrainPlan[Aug])</f>
        <v>0</v>
      </c>
      <c r="K36" s="64">
        <f>SUBTOTAL(109,tblTrainPlan[Sep])</f>
        <v>0</v>
      </c>
      <c r="L36" s="64">
        <f>SUBTOTAL(109,tblTrainPlan[Oct])</f>
        <v>0</v>
      </c>
      <c r="M36" s="64">
        <f>SUBTOTAL(109,tblTrainPlan[Nov])</f>
        <v>0</v>
      </c>
      <c r="N36" s="64">
        <f>SUBTOTAL(109,tblTrainPlan[Dec])</f>
        <v>0</v>
      </c>
      <c r="O36" s="64">
        <f>SUBTOTAL(109,tblTrainPlan[YEAR])</f>
        <v>1965.3600000000001</v>
      </c>
    </row>
    <row r="37" spans="2:15" ht="21" customHeight="1" x14ac:dyDescent="0.35">
      <c r="B37" s="65"/>
      <c r="C37" s="65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2:15" ht="21" customHeight="1" x14ac:dyDescent="0.35">
      <c r="B38" s="19" t="s">
        <v>38</v>
      </c>
      <c r="C38" s="20"/>
      <c r="D38" s="20"/>
      <c r="E38" s="21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ht="21" customHeight="1" x14ac:dyDescent="0.35">
      <c r="B39" s="28" t="s">
        <v>39</v>
      </c>
      <c r="C39" s="35">
        <f>tblTrainPlan[[#Totals],[Jan]]+tblOffPlan[[#Totals],[Jan]]+tblEmplPlan[[#Totals],[Jan]]</f>
        <v>35842.870000000003</v>
      </c>
      <c r="D39" s="35">
        <f>tblTrainPlan[[#Totals],[Feb]]+tblOffPlan[[#Totals],[Feb]]+tblEmplPlan[[#Totals],[Feb]]</f>
        <v>33952.49</v>
      </c>
      <c r="E39" s="35">
        <f>tblTrainPlan[[#Totals],[Mar]]+tblOffPlan[[#Totals],[Mar]]+tblEmplPlan[[#Totals],[Mar]]</f>
        <v>33915</v>
      </c>
      <c r="F39" s="35">
        <f>tblTrainPlan[[#Totals],[Apr]]+tblOffPlan[[#Totals],[Apr]]+tblEmplPlan[[#Totals],[Apr]]</f>
        <v>33835</v>
      </c>
      <c r="G39" s="35">
        <f>tblTrainPlan[[#Totals],[May]]+tblOffPlan[[#Totals],[May]]+tblEmplPlan[[#Totals],[May]]</f>
        <v>33835</v>
      </c>
      <c r="H39" s="35">
        <f>tblTrainPlan[[#Totals],[Jun]]+tblOffPlan[[#Totals],[Jun]]+tblEmplPlan[[#Totals],[Jun]]</f>
        <v>33835</v>
      </c>
      <c r="I39" s="35">
        <f>tblTrainPlan[[#Totals],[Jul]]+tblOffPlan[[#Totals],[Jul]]+tblEmplPlan[[#Totals],[Jul]]</f>
        <v>33835</v>
      </c>
      <c r="J39" s="35">
        <f>tblTrainPlan[[#Totals],[Aug]]+tblOffPlan[[#Totals],[Aug]]+tblEmplPlan[[#Totals],[Aug]]</f>
        <v>33835</v>
      </c>
      <c r="K39" s="35">
        <f>tblTrainPlan[[#Totals],[Sep]]+tblOffPlan[[#Totals],[Sep]]+tblEmplPlan[[#Totals],[Sep]]</f>
        <v>33835</v>
      </c>
      <c r="L39" s="35">
        <f>tblTrainPlan[[#Totals],[Oct]]+tblOffPlan[[#Totals],[Oct]]+tblEmplPlan[[#Totals],[Oct]]</f>
        <v>33835</v>
      </c>
      <c r="M39" s="35">
        <f>tblTrainPlan[[#Totals],[Nov]]+tblOffPlan[[#Totals],[Nov]]+tblEmplPlan[[#Totals],[Nov]]</f>
        <v>33915</v>
      </c>
      <c r="N39" s="35">
        <f>tblTrainPlan[[#Totals],[Dec]]+tblOffPlan[[#Totals],[Dec]]+tblEmplPlan[[#Totals],[Dec]]</f>
        <v>33915</v>
      </c>
      <c r="O39" s="35">
        <f>tblTrainPlan[[#Totals],[YEAR]]+tblOffPlan[[#Totals],[YEAR]]+tblEmplPlan[[#Totals],[YEAR]]</f>
        <v>408385.36</v>
      </c>
    </row>
    <row r="40" spans="2:15" ht="21" customHeight="1" x14ac:dyDescent="0.35">
      <c r="B40" s="28" t="s">
        <v>40</v>
      </c>
      <c r="C40" s="35">
        <f>SUM($C$39:C39)</f>
        <v>35842.870000000003</v>
      </c>
      <c r="D40" s="35">
        <f>SUM($C$39:D39)</f>
        <v>69795.360000000001</v>
      </c>
      <c r="E40" s="35">
        <f>SUM($C$39:E39)</f>
        <v>103710.36</v>
      </c>
      <c r="F40" s="35">
        <f>SUM($C$39:F39)</f>
        <v>137545.35999999999</v>
      </c>
      <c r="G40" s="35">
        <f>SUM($C$39:G39)</f>
        <v>171380.36</v>
      </c>
      <c r="H40" s="35">
        <f>SUM($C$39:H39)</f>
        <v>205215.35999999999</v>
      </c>
      <c r="I40" s="35">
        <f>SUM($C$39:I39)</f>
        <v>239050.36</v>
      </c>
      <c r="J40" s="35">
        <f>SUM($C$39:J39)</f>
        <v>272885.36</v>
      </c>
      <c r="K40" s="35">
        <f>SUM($C$39:K39)</f>
        <v>306720.36</v>
      </c>
      <c r="L40" s="35">
        <f>SUM($C$39:L39)</f>
        <v>340555.36</v>
      </c>
      <c r="M40" s="35">
        <f>SUM($C$39:M39)</f>
        <v>374470.36</v>
      </c>
      <c r="N40" s="35">
        <f>SUM($C$39:N39)</f>
        <v>408385.36</v>
      </c>
      <c r="O40" s="27"/>
    </row>
  </sheetData>
  <mergeCells count="3">
    <mergeCell ref="B37:C37"/>
    <mergeCell ref="B20:C20"/>
    <mergeCell ref="B10:C10"/>
  </mergeCells>
  <printOptions horizontalCentered="1"/>
  <pageMargins left="0.4" right="0.4" top="0.4" bottom="0.4" header="0.3" footer="0.3"/>
  <pageSetup scale="68" fitToHeight="0" orientation="landscape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autoPageBreaks="0" fitToPage="1"/>
  </sheetPr>
  <dimension ref="B1:O42"/>
  <sheetViews>
    <sheetView showGridLines="0" zoomScaleNormal="100" workbookViewId="0"/>
  </sheetViews>
  <sheetFormatPr defaultColWidth="9.375" defaultRowHeight="21" customHeight="1" x14ac:dyDescent="0.35"/>
  <cols>
    <col min="1" max="1" width="2" style="13" customWidth="1"/>
    <col min="2" max="2" width="31.625" style="13" customWidth="1"/>
    <col min="3" max="9" width="13.875" style="13" bestFit="1" customWidth="1"/>
    <col min="10" max="15" width="15.625" style="13" bestFit="1" customWidth="1"/>
    <col min="16" max="16384" width="9.375" style="13"/>
  </cols>
  <sheetData>
    <row r="1" spans="2:15" ht="9.9" customHeight="1" x14ac:dyDescent="0.35">
      <c r="N1" s="1"/>
      <c r="O1" s="1"/>
    </row>
    <row r="2" spans="2:15" ht="27" x14ac:dyDescent="0.4">
      <c r="B2" s="22" t="str">
        <f>'PLANNED EXPENSES'!B2</f>
        <v>Project P.E.T.E.R.S.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x14ac:dyDescent="0.35">
      <c r="B3" s="15" t="s">
        <v>0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customHeight="1" x14ac:dyDescent="0.35">
      <c r="B4" s="37" t="s">
        <v>50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s="1" customFormat="1" ht="21" customHeight="1" x14ac:dyDescent="0.35">
      <c r="B5" s="19" t="s">
        <v>41</v>
      </c>
      <c r="C5" s="17" t="s">
        <v>2</v>
      </c>
      <c r="D5" s="17" t="s">
        <v>3</v>
      </c>
      <c r="E5" s="18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8" t="s">
        <v>13</v>
      </c>
      <c r="O5" s="17" t="s">
        <v>14</v>
      </c>
    </row>
    <row r="6" spans="2:15" s="14" customFormat="1" ht="21" customHeight="1" x14ac:dyDescent="0.35">
      <c r="B6" s="41" t="s">
        <v>15</v>
      </c>
      <c r="C6" s="48" t="s">
        <v>2</v>
      </c>
      <c r="D6" s="48" t="s">
        <v>3</v>
      </c>
      <c r="E6" s="49" t="s">
        <v>4</v>
      </c>
      <c r="F6" s="48" t="s">
        <v>5</v>
      </c>
      <c r="G6" s="48" t="s">
        <v>6</v>
      </c>
      <c r="H6" s="48" t="s">
        <v>7</v>
      </c>
      <c r="I6" s="48" t="s">
        <v>8</v>
      </c>
      <c r="J6" s="48" t="s">
        <v>9</v>
      </c>
      <c r="K6" s="48" t="s">
        <v>10</v>
      </c>
      <c r="L6" s="48" t="s">
        <v>11</v>
      </c>
      <c r="M6" s="48" t="s">
        <v>12</v>
      </c>
      <c r="N6" s="48" t="s">
        <v>13</v>
      </c>
      <c r="O6" s="48" t="s">
        <v>14</v>
      </c>
    </row>
    <row r="7" spans="2:15" s="14" customFormat="1" ht="21" customHeight="1" x14ac:dyDescent="0.35">
      <c r="B7" s="42" t="s">
        <v>16</v>
      </c>
      <c r="C7" s="43">
        <v>85000</v>
      </c>
      <c r="D7" s="43">
        <v>85000</v>
      </c>
      <c r="E7" s="43">
        <v>85000</v>
      </c>
      <c r="F7" s="43">
        <v>88000</v>
      </c>
      <c r="G7" s="43">
        <v>88000</v>
      </c>
      <c r="H7" s="43">
        <v>88000</v>
      </c>
      <c r="I7" s="43"/>
      <c r="J7" s="43"/>
      <c r="K7" s="43"/>
      <c r="L7" s="43"/>
      <c r="M7" s="43"/>
      <c r="N7" s="43"/>
      <c r="O7" s="43">
        <f>SUM(C7:N7)</f>
        <v>519000</v>
      </c>
    </row>
    <row r="8" spans="2:15" s="14" customFormat="1" ht="21" customHeight="1" x14ac:dyDescent="0.35">
      <c r="B8" s="42" t="s">
        <v>17</v>
      </c>
      <c r="C8" s="54">
        <f t="shared" ref="C8:N8" si="0">C7*0.27</f>
        <v>22950</v>
      </c>
      <c r="D8" s="54">
        <f t="shared" si="0"/>
        <v>22950</v>
      </c>
      <c r="E8" s="54">
        <f t="shared" si="0"/>
        <v>22950</v>
      </c>
      <c r="F8" s="54">
        <f t="shared" si="0"/>
        <v>23760</v>
      </c>
      <c r="G8" s="54">
        <f t="shared" si="0"/>
        <v>23760</v>
      </c>
      <c r="H8" s="54">
        <f t="shared" si="0"/>
        <v>23760</v>
      </c>
      <c r="I8" s="54">
        <f t="shared" si="0"/>
        <v>0</v>
      </c>
      <c r="J8" s="54">
        <f t="shared" si="0"/>
        <v>0</v>
      </c>
      <c r="K8" s="54">
        <f t="shared" si="0"/>
        <v>0</v>
      </c>
      <c r="L8" s="54">
        <f t="shared" si="0"/>
        <v>0</v>
      </c>
      <c r="M8" s="54">
        <f t="shared" si="0"/>
        <v>0</v>
      </c>
      <c r="N8" s="54">
        <f t="shared" si="0"/>
        <v>0</v>
      </c>
      <c r="O8" s="43">
        <f>SUM(C8:N8)</f>
        <v>140130</v>
      </c>
    </row>
    <row r="9" spans="2:15" ht="21" customHeight="1" x14ac:dyDescent="0.35">
      <c r="B9" s="53" t="s">
        <v>18</v>
      </c>
      <c r="C9" s="51">
        <f>SUBTOTAL(109,tblEmplActual[Jan])</f>
        <v>107950</v>
      </c>
      <c r="D9" s="51">
        <f>SUBTOTAL(109,tblEmplActual[Feb])</f>
        <v>107950</v>
      </c>
      <c r="E9" s="51">
        <f>SUBTOTAL(109,tblEmplActual[Mar])</f>
        <v>107950</v>
      </c>
      <c r="F9" s="51">
        <f>SUBTOTAL(109,tblEmplActual[Apr])</f>
        <v>111760</v>
      </c>
      <c r="G9" s="51">
        <f>SUBTOTAL(109,tblEmplActual[May])</f>
        <v>111760</v>
      </c>
      <c r="H9" s="51">
        <f>SUBTOTAL(109,tblEmplActual[Jun])</f>
        <v>111760</v>
      </c>
      <c r="I9" s="51">
        <f>SUBTOTAL(109,tblEmplActual[Jul])</f>
        <v>0</v>
      </c>
      <c r="J9" s="51">
        <f>SUBTOTAL(109,tblEmplActual[Aug])</f>
        <v>0</v>
      </c>
      <c r="K9" s="51">
        <f>SUBTOTAL(109,tblEmplActual[Sep])</f>
        <v>0</v>
      </c>
      <c r="L9" s="51">
        <f>SUBTOTAL(109,tblEmplActual[Oct])</f>
        <v>0</v>
      </c>
      <c r="M9" s="51">
        <f>SUBTOTAL(109,tblEmplActual[Nov])</f>
        <v>0</v>
      </c>
      <c r="N9" s="51">
        <f>SUBTOTAL(109,tblEmplActual[Dec])</f>
        <v>0</v>
      </c>
      <c r="O9" s="51">
        <f>SUBTOTAL(109,tblEmplActual[YEAR])</f>
        <v>659130</v>
      </c>
    </row>
    <row r="10" spans="2:15" ht="21" customHeight="1" x14ac:dyDescent="0.35">
      <c r="B10" s="67"/>
      <c r="C10" s="6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ht="21" customHeight="1" x14ac:dyDescent="0.35">
      <c r="B11" s="41" t="s">
        <v>19</v>
      </c>
      <c r="C11" s="48" t="s">
        <v>2</v>
      </c>
      <c r="D11" s="48" t="s">
        <v>3</v>
      </c>
      <c r="E11" s="49" t="s">
        <v>4</v>
      </c>
      <c r="F11" s="48" t="s">
        <v>5</v>
      </c>
      <c r="G11" s="48" t="s">
        <v>6</v>
      </c>
      <c r="H11" s="48" t="s">
        <v>7</v>
      </c>
      <c r="I11" s="48" t="s">
        <v>8</v>
      </c>
      <c r="J11" s="48" t="s">
        <v>9</v>
      </c>
      <c r="K11" s="48" t="s">
        <v>10</v>
      </c>
      <c r="L11" s="48" t="s">
        <v>11</v>
      </c>
      <c r="M11" s="48" t="s">
        <v>12</v>
      </c>
      <c r="N11" s="48" t="s">
        <v>13</v>
      </c>
      <c r="O11" s="48" t="s">
        <v>14</v>
      </c>
    </row>
    <row r="12" spans="2:15" ht="21" customHeight="1" x14ac:dyDescent="0.35">
      <c r="B12" s="42" t="s">
        <v>20</v>
      </c>
      <c r="C12" s="43">
        <v>9800</v>
      </c>
      <c r="D12" s="43">
        <v>9800</v>
      </c>
      <c r="E12" s="43">
        <v>9800</v>
      </c>
      <c r="F12" s="43">
        <v>9800</v>
      </c>
      <c r="G12" s="43">
        <v>9800</v>
      </c>
      <c r="H12" s="43">
        <v>9800</v>
      </c>
      <c r="I12" s="43"/>
      <c r="J12" s="43"/>
      <c r="K12" s="43"/>
      <c r="L12" s="43"/>
      <c r="M12" s="43"/>
      <c r="N12" s="43"/>
      <c r="O12" s="43">
        <f t="shared" ref="O12:O19" si="1">SUM(C12:N12)</f>
        <v>58800</v>
      </c>
    </row>
    <row r="13" spans="2:15" ht="21" customHeight="1" x14ac:dyDescent="0.35">
      <c r="B13" s="42" t="s">
        <v>21</v>
      </c>
      <c r="C13" s="43">
        <v>4</v>
      </c>
      <c r="D13" s="43">
        <v>430</v>
      </c>
      <c r="E13" s="43">
        <v>385</v>
      </c>
      <c r="F13" s="43">
        <v>230</v>
      </c>
      <c r="G13" s="43">
        <v>87</v>
      </c>
      <c r="H13" s="43">
        <v>88</v>
      </c>
      <c r="I13" s="43"/>
      <c r="J13" s="43"/>
      <c r="K13" s="43"/>
      <c r="L13" s="43"/>
      <c r="M13" s="43"/>
      <c r="N13" s="43"/>
      <c r="O13" s="43">
        <f t="shared" si="1"/>
        <v>1224</v>
      </c>
    </row>
    <row r="14" spans="2:15" ht="21" customHeight="1" x14ac:dyDescent="0.35">
      <c r="B14" s="42" t="s">
        <v>22</v>
      </c>
      <c r="C14" s="43">
        <v>288</v>
      </c>
      <c r="D14" s="43">
        <v>278</v>
      </c>
      <c r="E14" s="43">
        <v>268</v>
      </c>
      <c r="F14" s="43">
        <v>299</v>
      </c>
      <c r="G14" s="43">
        <v>306</v>
      </c>
      <c r="H14" s="43">
        <v>290</v>
      </c>
      <c r="I14" s="43"/>
      <c r="J14" s="43"/>
      <c r="K14" s="43"/>
      <c r="L14" s="43"/>
      <c r="M14" s="43"/>
      <c r="N14" s="43"/>
      <c r="O14" s="43">
        <f t="shared" si="1"/>
        <v>1729</v>
      </c>
    </row>
    <row r="15" spans="2:15" ht="21" customHeight="1" x14ac:dyDescent="0.35">
      <c r="B15" s="42" t="s">
        <v>23</v>
      </c>
      <c r="C15" s="43">
        <v>35</v>
      </c>
      <c r="D15" s="43">
        <v>33</v>
      </c>
      <c r="E15" s="43">
        <v>34</v>
      </c>
      <c r="F15" s="43">
        <v>36</v>
      </c>
      <c r="G15" s="43">
        <v>34</v>
      </c>
      <c r="H15" s="43">
        <v>36</v>
      </c>
      <c r="I15" s="43"/>
      <c r="J15" s="43"/>
      <c r="K15" s="43"/>
      <c r="L15" s="43"/>
      <c r="M15" s="43"/>
      <c r="N15" s="43"/>
      <c r="O15" s="43">
        <f t="shared" si="1"/>
        <v>208</v>
      </c>
    </row>
    <row r="16" spans="2:15" ht="21" customHeight="1" x14ac:dyDescent="0.35">
      <c r="B16" s="42" t="s">
        <v>24</v>
      </c>
      <c r="C16" s="43">
        <v>224</v>
      </c>
      <c r="D16" s="43">
        <v>235</v>
      </c>
      <c r="E16" s="43">
        <v>265</v>
      </c>
      <c r="F16" s="43">
        <v>245</v>
      </c>
      <c r="G16" s="43">
        <v>245</v>
      </c>
      <c r="H16" s="43">
        <v>220</v>
      </c>
      <c r="I16" s="43"/>
      <c r="J16" s="43"/>
      <c r="K16" s="43"/>
      <c r="L16" s="43"/>
      <c r="M16" s="43"/>
      <c r="N16" s="43"/>
      <c r="O16" s="43">
        <f t="shared" si="1"/>
        <v>1434</v>
      </c>
    </row>
    <row r="17" spans="2:15" ht="21" customHeight="1" x14ac:dyDescent="0.35">
      <c r="B17" s="42" t="s">
        <v>25</v>
      </c>
      <c r="C17" s="43">
        <v>180</v>
      </c>
      <c r="D17" s="43">
        <v>180</v>
      </c>
      <c r="E17" s="43">
        <v>180</v>
      </c>
      <c r="F17" s="43">
        <v>180</v>
      </c>
      <c r="G17" s="43">
        <v>180</v>
      </c>
      <c r="H17" s="43">
        <v>180</v>
      </c>
      <c r="I17" s="43"/>
      <c r="J17" s="43"/>
      <c r="K17" s="43"/>
      <c r="L17" s="43"/>
      <c r="M17" s="43"/>
      <c r="N17" s="43"/>
      <c r="O17" s="43">
        <f t="shared" si="1"/>
        <v>1080</v>
      </c>
    </row>
    <row r="18" spans="2:15" ht="21" customHeight="1" x14ac:dyDescent="0.35">
      <c r="B18" s="42" t="s">
        <v>26</v>
      </c>
      <c r="C18" s="43">
        <v>256</v>
      </c>
      <c r="D18" s="43">
        <v>142</v>
      </c>
      <c r="E18" s="43">
        <v>160</v>
      </c>
      <c r="F18" s="43">
        <v>221</v>
      </c>
      <c r="G18" s="43">
        <v>256</v>
      </c>
      <c r="H18" s="43">
        <v>240</v>
      </c>
      <c r="I18" s="43"/>
      <c r="J18" s="43"/>
      <c r="K18" s="43"/>
      <c r="L18" s="43"/>
      <c r="M18" s="43"/>
      <c r="N18" s="43"/>
      <c r="O18" s="43">
        <f t="shared" si="1"/>
        <v>1275</v>
      </c>
    </row>
    <row r="19" spans="2:15" ht="21" customHeight="1" x14ac:dyDescent="0.35">
      <c r="B19" s="42" t="s">
        <v>27</v>
      </c>
      <c r="C19" s="43">
        <v>600</v>
      </c>
      <c r="D19" s="43">
        <v>600</v>
      </c>
      <c r="E19" s="43">
        <v>600</v>
      </c>
      <c r="F19" s="43">
        <v>600</v>
      </c>
      <c r="G19" s="43">
        <v>600</v>
      </c>
      <c r="H19" s="43">
        <v>600</v>
      </c>
      <c r="I19" s="43"/>
      <c r="J19" s="43"/>
      <c r="K19" s="43"/>
      <c r="L19" s="43"/>
      <c r="M19" s="43"/>
      <c r="N19" s="43"/>
      <c r="O19" s="43">
        <f t="shared" si="1"/>
        <v>3600</v>
      </c>
    </row>
    <row r="20" spans="2:15" ht="21" customHeight="1" x14ac:dyDescent="0.35">
      <c r="B20" s="44" t="s">
        <v>18</v>
      </c>
      <c r="C20" s="43">
        <f>SUBTOTAL(109,tblOffActual[Jan])</f>
        <v>11387</v>
      </c>
      <c r="D20" s="43">
        <f>SUBTOTAL(109,tblOffActual[Feb])</f>
        <v>11698</v>
      </c>
      <c r="E20" s="43">
        <f>SUBTOTAL(109,tblOffActual[Mar])</f>
        <v>11692</v>
      </c>
      <c r="F20" s="43">
        <f>SUBTOTAL(109,tblOffActual[Apr])</f>
        <v>11611</v>
      </c>
      <c r="G20" s="43">
        <f>SUBTOTAL(109,tblOffActual[May])</f>
        <v>11508</v>
      </c>
      <c r="H20" s="43">
        <f>SUBTOTAL(109,tblOffActual[Jun])</f>
        <v>11454</v>
      </c>
      <c r="I20" s="43">
        <f>SUBTOTAL(109,tblOffActual[Jul])</f>
        <v>0</v>
      </c>
      <c r="J20" s="43">
        <f>SUBTOTAL(109,tblOffActual[Aug])</f>
        <v>0</v>
      </c>
      <c r="K20" s="43">
        <f>SUBTOTAL(109,tblOffActual[Sep])</f>
        <v>0</v>
      </c>
      <c r="L20" s="43">
        <f>SUBTOTAL(109,tblOffActual[Oct])</f>
        <v>0</v>
      </c>
      <c r="M20" s="43">
        <f>SUBTOTAL(109,tblOffActual[Nov])</f>
        <v>0</v>
      </c>
      <c r="N20" s="43">
        <f>SUBTOTAL(109,tblOffActual[Dec])</f>
        <v>0</v>
      </c>
      <c r="O20" s="43">
        <f>SUBTOTAL(109,tblOffActual[YEAR])</f>
        <v>69350</v>
      </c>
    </row>
    <row r="21" spans="2:15" ht="21" customHeight="1" x14ac:dyDescent="0.35">
      <c r="B21" s="66"/>
      <c r="C21" s="66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5">
      <c r="B22" s="41" t="s">
        <v>28</v>
      </c>
      <c r="C22" s="48" t="s">
        <v>2</v>
      </c>
      <c r="D22" s="48" t="s">
        <v>3</v>
      </c>
      <c r="E22" s="49" t="s">
        <v>4</v>
      </c>
      <c r="F22" s="48" t="s">
        <v>5</v>
      </c>
      <c r="G22" s="48" t="s">
        <v>6</v>
      </c>
      <c r="H22" s="48" t="s">
        <v>7</v>
      </c>
      <c r="I22" s="48" t="s">
        <v>8</v>
      </c>
      <c r="J22" s="48" t="s">
        <v>9</v>
      </c>
      <c r="K22" s="48" t="s">
        <v>10</v>
      </c>
      <c r="L22" s="48" t="s">
        <v>11</v>
      </c>
      <c r="M22" s="48" t="s">
        <v>12</v>
      </c>
      <c r="N22" s="48" t="s">
        <v>13</v>
      </c>
      <c r="O22" s="48" t="s">
        <v>14</v>
      </c>
    </row>
    <row r="23" spans="2:15" ht="21" customHeight="1" x14ac:dyDescent="0.35">
      <c r="B23" s="42" t="s">
        <v>29</v>
      </c>
      <c r="C23" s="43">
        <v>500</v>
      </c>
      <c r="D23" s="43">
        <v>500</v>
      </c>
      <c r="E23" s="43">
        <v>500</v>
      </c>
      <c r="F23" s="43">
        <v>500</v>
      </c>
      <c r="G23" s="43">
        <v>500</v>
      </c>
      <c r="H23" s="43">
        <v>500</v>
      </c>
      <c r="I23" s="43"/>
      <c r="J23" s="43"/>
      <c r="K23" s="43"/>
      <c r="L23" s="43"/>
      <c r="M23" s="43"/>
      <c r="N23" s="43"/>
      <c r="O23" s="43">
        <f t="shared" ref="O23:O28" si="2">SUM(C23:N23)</f>
        <v>3000</v>
      </c>
    </row>
    <row r="24" spans="2:15" ht="21" customHeight="1" x14ac:dyDescent="0.35">
      <c r="B24" s="42" t="s">
        <v>30</v>
      </c>
      <c r="C24" s="43">
        <v>200</v>
      </c>
      <c r="D24" s="43">
        <v>200</v>
      </c>
      <c r="E24" s="43">
        <v>200</v>
      </c>
      <c r="F24" s="43">
        <v>200</v>
      </c>
      <c r="G24" s="43">
        <v>200</v>
      </c>
      <c r="H24" s="43">
        <v>1500</v>
      </c>
      <c r="I24" s="43"/>
      <c r="J24" s="43"/>
      <c r="K24" s="43"/>
      <c r="L24" s="43"/>
      <c r="M24" s="43"/>
      <c r="N24" s="43"/>
      <c r="O24" s="43">
        <f t="shared" si="2"/>
        <v>2500</v>
      </c>
    </row>
    <row r="25" spans="2:15" ht="21" customHeight="1" x14ac:dyDescent="0.35">
      <c r="B25" s="42" t="s">
        <v>31</v>
      </c>
      <c r="C25" s="43">
        <v>4800</v>
      </c>
      <c r="D25" s="43">
        <v>0</v>
      </c>
      <c r="E25" s="43">
        <v>0</v>
      </c>
      <c r="F25" s="43">
        <v>5500</v>
      </c>
      <c r="G25" s="43">
        <v>0</v>
      </c>
      <c r="H25" s="43">
        <v>0</v>
      </c>
      <c r="I25" s="43"/>
      <c r="J25" s="43"/>
      <c r="K25" s="43"/>
      <c r="L25" s="43"/>
      <c r="M25" s="43"/>
      <c r="N25" s="43"/>
      <c r="O25" s="43">
        <f t="shared" si="2"/>
        <v>10300</v>
      </c>
    </row>
    <row r="26" spans="2:15" ht="21" customHeight="1" x14ac:dyDescent="0.35">
      <c r="B26" s="42" t="s">
        <v>32</v>
      </c>
      <c r="C26" s="43">
        <v>100</v>
      </c>
      <c r="D26" s="43">
        <v>500</v>
      </c>
      <c r="E26" s="43">
        <v>100</v>
      </c>
      <c r="F26" s="43">
        <v>100</v>
      </c>
      <c r="G26" s="43">
        <v>600</v>
      </c>
      <c r="H26" s="43">
        <v>180</v>
      </c>
      <c r="I26" s="43"/>
      <c r="J26" s="43"/>
      <c r="K26" s="43"/>
      <c r="L26" s="43"/>
      <c r="M26" s="43"/>
      <c r="N26" s="43"/>
      <c r="O26" s="43">
        <f t="shared" si="2"/>
        <v>1580</v>
      </c>
    </row>
    <row r="27" spans="2:15" ht="21" customHeight="1" x14ac:dyDescent="0.35">
      <c r="B27" s="42" t="s">
        <v>33</v>
      </c>
      <c r="C27" s="43">
        <v>1800</v>
      </c>
      <c r="D27" s="43">
        <v>2200</v>
      </c>
      <c r="E27" s="43">
        <v>2200</v>
      </c>
      <c r="F27" s="43">
        <v>4700</v>
      </c>
      <c r="G27" s="43">
        <v>1500</v>
      </c>
      <c r="H27" s="43">
        <v>2300</v>
      </c>
      <c r="I27" s="43"/>
      <c r="J27" s="43"/>
      <c r="K27" s="43"/>
      <c r="L27" s="43"/>
      <c r="M27" s="43"/>
      <c r="N27" s="43"/>
      <c r="O27" s="43">
        <f t="shared" si="2"/>
        <v>14700</v>
      </c>
    </row>
    <row r="28" spans="2:15" ht="21" customHeight="1" x14ac:dyDescent="0.35">
      <c r="B28" s="42" t="s">
        <v>34</v>
      </c>
      <c r="C28" s="43">
        <v>145</v>
      </c>
      <c r="D28" s="43">
        <v>156</v>
      </c>
      <c r="E28" s="43">
        <v>123</v>
      </c>
      <c r="F28" s="43">
        <v>223</v>
      </c>
      <c r="G28" s="43">
        <v>187</v>
      </c>
      <c r="H28" s="43">
        <v>245</v>
      </c>
      <c r="I28" s="43"/>
      <c r="J28" s="43"/>
      <c r="K28" s="43"/>
      <c r="L28" s="43"/>
      <c r="M28" s="43"/>
      <c r="N28" s="43"/>
      <c r="O28" s="43">
        <f t="shared" si="2"/>
        <v>1079</v>
      </c>
    </row>
    <row r="29" spans="2:15" ht="21" customHeight="1" x14ac:dyDescent="0.35">
      <c r="B29" s="44" t="s">
        <v>18</v>
      </c>
      <c r="C29" s="43">
        <f>SUBTOTAL(109,tblMarkActual[Jan])</f>
        <v>7545</v>
      </c>
      <c r="D29" s="43">
        <f>SUBTOTAL(109,tblMarkActual[Feb])</f>
        <v>3556</v>
      </c>
      <c r="E29" s="43">
        <f>SUBTOTAL(109,tblMarkActual[Mar])</f>
        <v>3123</v>
      </c>
      <c r="F29" s="43">
        <f>SUBTOTAL(109,tblMarkActual[Apr])</f>
        <v>11223</v>
      </c>
      <c r="G29" s="43">
        <f>SUBTOTAL(109,tblMarkActual[May])</f>
        <v>2987</v>
      </c>
      <c r="H29" s="43">
        <f>SUBTOTAL(109,tblMarkActual[Jun])</f>
        <v>4725</v>
      </c>
      <c r="I29" s="43">
        <f>SUBTOTAL(109,tblMarkActual[Jul])</f>
        <v>0</v>
      </c>
      <c r="J29" s="43">
        <f>SUBTOTAL(109,tblMarkActual[Aug])</f>
        <v>0</v>
      </c>
      <c r="K29" s="43">
        <f>SUBTOTAL(109,tblMarkActual[Sep])</f>
        <v>0</v>
      </c>
      <c r="L29" s="43">
        <f>SUBTOTAL(109,tblMarkActual[Oct])</f>
        <v>0</v>
      </c>
      <c r="M29" s="43">
        <f>SUBTOTAL(109,tblMarkActual[Nov])</f>
        <v>0</v>
      </c>
      <c r="N29" s="43">
        <f>SUBTOTAL(109,tblMarkActual[Dec])</f>
        <v>0</v>
      </c>
      <c r="O29" s="43">
        <f>SUBTOTAL(109,tblMarkActual[YEAR])</f>
        <v>33159</v>
      </c>
    </row>
    <row r="30" spans="2:15" ht="21" customHeight="1" x14ac:dyDescent="0.35">
      <c r="B30" s="65"/>
      <c r="C30" s="6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</row>
    <row r="31" spans="2:15" ht="21" customHeight="1" x14ac:dyDescent="0.35">
      <c r="B31" s="41" t="s">
        <v>35</v>
      </c>
      <c r="C31" s="48" t="s">
        <v>2</v>
      </c>
      <c r="D31" s="48" t="s">
        <v>3</v>
      </c>
      <c r="E31" s="49" t="s">
        <v>4</v>
      </c>
      <c r="F31" s="48" t="s">
        <v>5</v>
      </c>
      <c r="G31" s="48" t="s">
        <v>6</v>
      </c>
      <c r="H31" s="48" t="s">
        <v>7</v>
      </c>
      <c r="I31" s="48" t="s">
        <v>8</v>
      </c>
      <c r="J31" s="48" t="s">
        <v>9</v>
      </c>
      <c r="K31" s="48" t="s">
        <v>10</v>
      </c>
      <c r="L31" s="48" t="s">
        <v>11</v>
      </c>
      <c r="M31" s="48" t="s">
        <v>12</v>
      </c>
      <c r="N31" s="48" t="s">
        <v>13</v>
      </c>
      <c r="O31" s="48" t="s">
        <v>14</v>
      </c>
    </row>
    <row r="32" spans="2:15" ht="21" customHeight="1" x14ac:dyDescent="0.35">
      <c r="B32" s="42" t="s">
        <v>36</v>
      </c>
      <c r="C32" s="43">
        <v>1600</v>
      </c>
      <c r="D32" s="43">
        <v>2400</v>
      </c>
      <c r="E32" s="43">
        <v>1400</v>
      </c>
      <c r="F32" s="43">
        <v>1600</v>
      </c>
      <c r="G32" s="43">
        <v>1200</v>
      </c>
      <c r="H32" s="43">
        <v>2800</v>
      </c>
      <c r="I32" s="43"/>
      <c r="J32" s="43"/>
      <c r="K32" s="43"/>
      <c r="L32" s="43"/>
      <c r="M32" s="43"/>
      <c r="N32" s="43"/>
      <c r="O32" s="43">
        <f>SUM(C32:N32)</f>
        <v>11000</v>
      </c>
    </row>
    <row r="33" spans="2:15" ht="21" customHeight="1" x14ac:dyDescent="0.35">
      <c r="B33" s="42" t="s">
        <v>37</v>
      </c>
      <c r="C33" s="43">
        <v>1200</v>
      </c>
      <c r="D33" s="43">
        <v>2200</v>
      </c>
      <c r="E33" s="43">
        <v>1400</v>
      </c>
      <c r="F33" s="43">
        <v>1200</v>
      </c>
      <c r="G33" s="43">
        <v>800</v>
      </c>
      <c r="H33" s="43">
        <v>3500</v>
      </c>
      <c r="I33" s="43"/>
      <c r="J33" s="43"/>
      <c r="K33" s="43"/>
      <c r="L33" s="43"/>
      <c r="M33" s="43"/>
      <c r="N33" s="43"/>
      <c r="O33" s="43">
        <f>SUM(C33:N33)</f>
        <v>10300</v>
      </c>
    </row>
    <row r="34" spans="2:15" ht="21" customHeight="1" x14ac:dyDescent="0.35">
      <c r="B34" s="44" t="s">
        <v>18</v>
      </c>
      <c r="C34" s="43">
        <f>SUBTOTAL(109,tblTrainActual[Jan])</f>
        <v>2800</v>
      </c>
      <c r="D34" s="43">
        <f>SUBTOTAL(109,tblTrainActual[Feb])</f>
        <v>4600</v>
      </c>
      <c r="E34" s="43">
        <f>SUBTOTAL(109,tblTrainActual[Mar])</f>
        <v>2800</v>
      </c>
      <c r="F34" s="43">
        <f>SUBTOTAL(109,tblTrainActual[Apr])</f>
        <v>2800</v>
      </c>
      <c r="G34" s="43">
        <f>SUBTOTAL(109,tblTrainActual[May])</f>
        <v>2000</v>
      </c>
      <c r="H34" s="43">
        <f>SUBTOTAL(109,tblTrainActual[Jun])</f>
        <v>6300</v>
      </c>
      <c r="I34" s="43">
        <f>SUBTOTAL(109,tblTrainActual[Jul])</f>
        <v>0</v>
      </c>
      <c r="J34" s="43">
        <f>SUBTOTAL(109,tblTrainActual[Aug])</f>
        <v>0</v>
      </c>
      <c r="K34" s="43">
        <f>SUBTOTAL(109,tblTrainActual[Sep])</f>
        <v>0</v>
      </c>
      <c r="L34" s="43">
        <f>SUBTOTAL(109,tblTrainActual[Oct])</f>
        <v>0</v>
      </c>
      <c r="M34" s="43">
        <f>SUBTOTAL(109,tblTrainActual[Nov])</f>
        <v>0</v>
      </c>
      <c r="N34" s="43">
        <f>SUBTOTAL(109,tblTrainActual[Dec])</f>
        <v>0</v>
      </c>
      <c r="O34" s="43">
        <f>SUBTOTAL(109,tblTrainActual[YEAR])</f>
        <v>21300</v>
      </c>
    </row>
    <row r="35" spans="2:15" ht="21" customHeight="1" x14ac:dyDescent="0.35">
      <c r="B35" s="65"/>
      <c r="C35" s="65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ht="21" customHeight="1" x14ac:dyDescent="0.35">
      <c r="B36" s="19" t="s">
        <v>40</v>
      </c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ht="21" customHeight="1" x14ac:dyDescent="0.35">
      <c r="B37" s="33" t="s">
        <v>42</v>
      </c>
      <c r="C37" s="36">
        <f>tblTrainActual[[#Totals],[Jan]]+tblMarkActual[[#Totals],[Jan]]+tblOffActual[[#Totals],[Jan]]+tblEmplActual[[#Totals],[Jan]]</f>
        <v>129682</v>
      </c>
      <c r="D37" s="36">
        <f>tblTrainActual[[#Totals],[Feb]]+tblMarkActual[[#Totals],[Feb]]+tblOffActual[[#Totals],[Feb]]+tblEmplActual[[#Totals],[Feb]]</f>
        <v>127804</v>
      </c>
      <c r="E37" s="36">
        <f>tblTrainActual[[#Totals],[Mar]]+tblMarkActual[[#Totals],[Mar]]+tblOffActual[[#Totals],[Mar]]+tblEmplActual[[#Totals],[Mar]]</f>
        <v>125565</v>
      </c>
      <c r="F37" s="36">
        <f>tblTrainActual[[#Totals],[Apr]]+tblMarkActual[[#Totals],[Apr]]+tblOffActual[[#Totals],[Apr]]+tblEmplActual[[#Totals],[Apr]]</f>
        <v>137394</v>
      </c>
      <c r="G37" s="36">
        <f>tblTrainActual[[#Totals],[May]]+tblMarkActual[[#Totals],[May]]+tblOffActual[[#Totals],[May]]+tblEmplActual[[#Totals],[May]]</f>
        <v>128255</v>
      </c>
      <c r="H37" s="36">
        <f>tblTrainActual[[#Totals],[Jun]]+tblMarkActual[[#Totals],[Jun]]+tblOffActual[[#Totals],[Jun]]+tblEmplActual[[#Totals],[Jun]]</f>
        <v>134239</v>
      </c>
      <c r="I37" s="36">
        <f>tblTrainActual[[#Totals],[Jul]]+tblMarkActual[[#Totals],[Jul]]+tblOffActual[[#Totals],[Jul]]+tblEmplActual[[#Totals],[Jul]]</f>
        <v>0</v>
      </c>
      <c r="J37" s="36">
        <f>tblTrainActual[[#Totals],[Aug]]+tblMarkActual[[#Totals],[Aug]]+tblOffActual[[#Totals],[Aug]]+tblEmplActual[[#Totals],[Aug]]</f>
        <v>0</v>
      </c>
      <c r="K37" s="36">
        <f>tblTrainActual[[#Totals],[Sep]]+tblMarkActual[[#Totals],[Sep]]+tblOffActual[[#Totals],[Sep]]+tblEmplActual[[#Totals],[Sep]]</f>
        <v>0</v>
      </c>
      <c r="L37" s="36">
        <f>tblTrainActual[[#Totals],[Oct]]+tblMarkActual[[#Totals],[Oct]]+tblOffActual[[#Totals],[Oct]]+tblEmplActual[[#Totals],[Oct]]</f>
        <v>0</v>
      </c>
      <c r="M37" s="36">
        <f>tblTrainActual[[#Totals],[Nov]]+tblMarkActual[[#Totals],[Nov]]+tblOffActual[[#Totals],[Nov]]+tblEmplActual[[#Totals],[Nov]]</f>
        <v>0</v>
      </c>
      <c r="N37" s="36">
        <f>tblTrainActual[[#Totals],[Dec]]+tblMarkActual[[#Totals],[Dec]]+tblOffActual[[#Totals],[Dec]]+tblEmplActual[[#Totals],[Dec]]</f>
        <v>0</v>
      </c>
      <c r="O37" s="36">
        <f>tblTrainActual[[#Totals],[YEAR]]+tblMarkActual[[#Totals],[YEAR]]+tblOffActual[[#Totals],[YEAR]]+tblEmplActual[[#Totals],[YEAR]]</f>
        <v>782939</v>
      </c>
    </row>
    <row r="38" spans="2:15" ht="21" customHeight="1" x14ac:dyDescent="0.35">
      <c r="B38" s="33" t="s">
        <v>43</v>
      </c>
      <c r="C38" s="36">
        <f>SUM($C$37:C37)</f>
        <v>129682</v>
      </c>
      <c r="D38" s="36">
        <f>SUM($C$37:D37)</f>
        <v>257486</v>
      </c>
      <c r="E38" s="36">
        <f>SUM($C$37:E37)</f>
        <v>383051</v>
      </c>
      <c r="F38" s="36">
        <f>SUM($C$37:F37)</f>
        <v>520445</v>
      </c>
      <c r="G38" s="36">
        <f>SUM($C$37:G37)</f>
        <v>648700</v>
      </c>
      <c r="H38" s="36">
        <f>SUM($C$37:H37)</f>
        <v>782939</v>
      </c>
      <c r="I38" s="36">
        <f>SUM($C$37:I37)</f>
        <v>782939</v>
      </c>
      <c r="J38" s="36">
        <f>SUM($C$37:J37)</f>
        <v>782939</v>
      </c>
      <c r="K38" s="36">
        <f>SUM($C$37:K37)</f>
        <v>782939</v>
      </c>
      <c r="L38" s="36">
        <f>SUM($C$37:L37)</f>
        <v>782939</v>
      </c>
      <c r="M38" s="36">
        <f>SUM($C$37:M37)</f>
        <v>782939</v>
      </c>
      <c r="N38" s="36">
        <f>SUM($C$37:N37)</f>
        <v>782939</v>
      </c>
      <c r="O38" s="24"/>
    </row>
    <row r="39" spans="2:15" ht="21" customHeight="1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5" ht="21" customHeight="1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2:15" ht="21" customHeight="1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5" ht="21" customHeight="1" x14ac:dyDescent="0.3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</sheetData>
  <mergeCells count="4">
    <mergeCell ref="B35:C35"/>
    <mergeCell ref="B30:C30"/>
    <mergeCell ref="B21:C21"/>
    <mergeCell ref="B10:C10"/>
  </mergeCell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ignoredErrors>
    <ignoredError sqref="C7 D7:H7" calculatedColumn="1"/>
  </ignoredErrors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B1:O39"/>
  <sheetViews>
    <sheetView showGridLines="0" zoomScaleNormal="100" workbookViewId="0"/>
  </sheetViews>
  <sheetFormatPr defaultColWidth="9.375" defaultRowHeight="21" customHeight="1" x14ac:dyDescent="0.35"/>
  <cols>
    <col min="1" max="1" width="2" style="13" customWidth="1"/>
    <col min="2" max="2" width="31.625" style="13" customWidth="1"/>
    <col min="3" max="9" width="13.875" style="13" bestFit="1" customWidth="1"/>
    <col min="10" max="15" width="15.625" style="13" bestFit="1" customWidth="1"/>
    <col min="16" max="16384" width="9.375" style="13"/>
  </cols>
  <sheetData>
    <row r="1" spans="2:15" ht="9.9" customHeight="1" x14ac:dyDescent="0.35">
      <c r="N1" s="1"/>
      <c r="O1" s="1"/>
    </row>
    <row r="2" spans="2:15" ht="27" x14ac:dyDescent="0.4">
      <c r="B2" s="22" t="str">
        <f>'PLANNED EXPENSES'!B2</f>
        <v>Project P.E.T.E.R.S.</v>
      </c>
      <c r="C2" s="2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x14ac:dyDescent="0.35">
      <c r="B3" s="15" t="s">
        <v>0</v>
      </c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customHeight="1" x14ac:dyDescent="0.35">
      <c r="B4" s="37" t="s">
        <v>51</v>
      </c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s="1" customFormat="1" ht="21" customHeight="1" x14ac:dyDescent="0.35">
      <c r="B5" s="19" t="s">
        <v>44</v>
      </c>
      <c r="C5" s="17" t="s">
        <v>2</v>
      </c>
      <c r="D5" s="17" t="s">
        <v>3</v>
      </c>
      <c r="E5" s="18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8" t="s">
        <v>13</v>
      </c>
      <c r="O5" s="17" t="s">
        <v>14</v>
      </c>
    </row>
    <row r="6" spans="2:15" s="14" customFormat="1" ht="21" customHeight="1" x14ac:dyDescent="0.35">
      <c r="B6" s="41" t="s">
        <v>15</v>
      </c>
      <c r="C6" s="48" t="s">
        <v>2</v>
      </c>
      <c r="D6" s="48" t="s">
        <v>3</v>
      </c>
      <c r="E6" s="49" t="s">
        <v>4</v>
      </c>
      <c r="F6" s="48" t="s">
        <v>5</v>
      </c>
      <c r="G6" s="48" t="s">
        <v>6</v>
      </c>
      <c r="H6" s="48" t="s">
        <v>7</v>
      </c>
      <c r="I6" s="48" t="s">
        <v>8</v>
      </c>
      <c r="J6" s="48" t="s">
        <v>9</v>
      </c>
      <c r="K6" s="48" t="s">
        <v>10</v>
      </c>
      <c r="L6" s="48" t="s">
        <v>11</v>
      </c>
      <c r="M6" s="48" t="s">
        <v>12</v>
      </c>
      <c r="N6" s="48" t="s">
        <v>13</v>
      </c>
      <c r="O6" s="48" t="s">
        <v>14</v>
      </c>
    </row>
    <row r="7" spans="2:15" ht="21" customHeight="1" x14ac:dyDescent="0.35">
      <c r="B7" s="42" t="s">
        <v>16</v>
      </c>
      <c r="C7" s="43">
        <f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f>
        <v>-60000</v>
      </c>
      <c r="D7" s="43">
        <f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f>
        <v>-60000</v>
      </c>
      <c r="E7" s="43">
        <f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f>
        <v>-60000</v>
      </c>
      <c r="F7" s="43">
        <f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f>
        <v>-63000</v>
      </c>
      <c r="G7" s="43">
        <f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f>
        <v>-63000</v>
      </c>
      <c r="H7" s="43">
        <f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f>
        <v>-63000</v>
      </c>
      <c r="I7" s="43">
        <f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f>
        <v>25000</v>
      </c>
      <c r="J7" s="43">
        <f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f>
        <v>25000</v>
      </c>
      <c r="K7" s="43">
        <f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f>
        <v>25000</v>
      </c>
      <c r="L7" s="43">
        <f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f>
        <v>25000</v>
      </c>
      <c r="M7" s="43">
        <f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f>
        <v>25000</v>
      </c>
      <c r="N7" s="43">
        <f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f>
        <v>25000</v>
      </c>
      <c r="O7" s="43">
        <f>SUM(tblEmplVar[[#This Row],[Jan]:[Dec]])</f>
        <v>-219000</v>
      </c>
    </row>
    <row r="8" spans="2:15" ht="21" customHeight="1" x14ac:dyDescent="0.35">
      <c r="B8" s="42" t="s">
        <v>17</v>
      </c>
      <c r="C8" s="43">
        <f>INDEX(tblEmplPlan[],MATCH(INDEX(tblEmplVar[],ROW()-ROW(tblEmplVar[[#Headers],[Jan]]),1),INDEX(tblEmplPlan[],,1),0),MATCH(tblEmplVar[[#Headers],[Jan]],tblEmplPlan[#Headers],0))-INDEX(tblEmplActual[],MATCH(INDEX(tblEmplVar[],ROW()-ROW(tblEmplVar[[#Headers],[Jan]]),1),INDEX(tblEmplPlan[],,1),0),MATCH(tblEmplVar[[#Headers],[Jan]],tblEmplActual[#Headers],0))</f>
        <v>-16200</v>
      </c>
      <c r="D8" s="43">
        <f>INDEX(tblEmplPlan[],MATCH(INDEX(tblEmplVar[],ROW()-ROW(tblEmplVar[[#Headers],[Feb]]),1),INDEX(tblEmplPlan[],,1),0),MATCH(tblEmplVar[[#Headers],[Feb]],tblEmplPlan[#Headers],0))-INDEX(tblEmplActual[],MATCH(INDEX(tblEmplVar[],ROW()-ROW(tblEmplVar[[#Headers],[Feb]]),1),INDEX(tblEmplPlan[],,1),0),MATCH(tblEmplVar[[#Headers],[Feb]],tblEmplActual[#Headers],0))</f>
        <v>-16200</v>
      </c>
      <c r="E8" s="43">
        <f>INDEX(tblEmplPlan[],MATCH(INDEX(tblEmplVar[],ROW()-ROW(tblEmplVar[[#Headers],[Mar]]),1),INDEX(tblEmplPlan[],,1),0),MATCH(tblEmplVar[[#Headers],[Mar]],tblEmplPlan[#Headers],0))-INDEX(tblEmplActual[],MATCH(INDEX(tblEmplVar[],ROW()-ROW(tblEmplVar[[#Headers],[Mar]]),1),INDEX(tblEmplPlan[],,1),0),MATCH(tblEmplVar[[#Headers],[Mar]],tblEmplActual[#Headers],0))</f>
        <v>-16200</v>
      </c>
      <c r="F8" s="43">
        <f>INDEX(tblEmplPlan[],MATCH(INDEX(tblEmplVar[],ROW()-ROW(tblEmplVar[[#Headers],[Apr]]),1),INDEX(tblEmplPlan[],,1),0),MATCH(tblEmplVar[[#Headers],[Apr]],tblEmplPlan[#Headers],0))-INDEX(tblEmplActual[],MATCH(INDEX(tblEmplVar[],ROW()-ROW(tblEmplVar[[#Headers],[Apr]]),1),INDEX(tblEmplPlan[],,1),0),MATCH(tblEmplVar[[#Headers],[Apr]],tblEmplActual[#Headers],0))</f>
        <v>-17010</v>
      </c>
      <c r="G8" s="43">
        <f>INDEX(tblEmplPlan[],MATCH(INDEX(tblEmplVar[],ROW()-ROW(tblEmplVar[[#Headers],[May]]),1),INDEX(tblEmplPlan[],,1),0),MATCH(tblEmplVar[[#Headers],[May]],tblEmplPlan[#Headers],0))-INDEX(tblEmplActual[],MATCH(INDEX(tblEmplVar[],ROW()-ROW(tblEmplVar[[#Headers],[May]]),1),INDEX(tblEmplPlan[],,1),0),MATCH(tblEmplVar[[#Headers],[May]],tblEmplActual[#Headers],0))</f>
        <v>-17010</v>
      </c>
      <c r="H8" s="43">
        <f>INDEX(tblEmplPlan[],MATCH(INDEX(tblEmplVar[],ROW()-ROW(tblEmplVar[[#Headers],[Jun]]),1),INDEX(tblEmplPlan[],,1),0),MATCH(tblEmplVar[[#Headers],[Jun]],tblEmplPlan[#Headers],0))-INDEX(tblEmplActual[],MATCH(INDEX(tblEmplVar[],ROW()-ROW(tblEmplVar[[#Headers],[Jun]]),1),INDEX(tblEmplPlan[],,1),0),MATCH(tblEmplVar[[#Headers],[Jun]],tblEmplActual[#Headers],0))</f>
        <v>-17010</v>
      </c>
      <c r="I8" s="43">
        <f>INDEX(tblEmplPlan[],MATCH(INDEX(tblEmplVar[],ROW()-ROW(tblEmplVar[[#Headers],[Jul]]),1),INDEX(tblEmplPlan[],,1),0),MATCH(tblEmplVar[[#Headers],[Jul]],tblEmplPlan[#Headers],0))-INDEX(tblEmplActual[],MATCH(INDEX(tblEmplVar[],ROW()-ROW(tblEmplVar[[#Headers],[Jul]]),1),INDEX(tblEmplPlan[],,1),0),MATCH(tblEmplVar[[#Headers],[Jul]],tblEmplActual[#Headers],0))</f>
        <v>6750</v>
      </c>
      <c r="J8" s="43">
        <f>INDEX(tblEmplPlan[],MATCH(INDEX(tblEmplVar[],ROW()-ROW(tblEmplVar[[#Headers],[Aug]]),1),INDEX(tblEmplPlan[],,1),0),MATCH(tblEmplVar[[#Headers],[Aug]],tblEmplPlan[#Headers],0))-INDEX(tblEmplActual[],MATCH(INDEX(tblEmplVar[],ROW()-ROW(tblEmplVar[[#Headers],[Aug]]),1),INDEX(tblEmplPlan[],,1),0),MATCH(tblEmplVar[[#Headers],[Aug]],tblEmplActual[#Headers],0))</f>
        <v>6750</v>
      </c>
      <c r="K8" s="43">
        <f>INDEX(tblEmplPlan[],MATCH(INDEX(tblEmplVar[],ROW()-ROW(tblEmplVar[[#Headers],[Sep]]),1),INDEX(tblEmplPlan[],,1),0),MATCH(tblEmplVar[[#Headers],[Sep]],tblEmplPlan[#Headers],0))-INDEX(tblEmplActual[],MATCH(INDEX(tblEmplVar[],ROW()-ROW(tblEmplVar[[#Headers],[Sep]]),1),INDEX(tblEmplPlan[],,1),0),MATCH(tblEmplVar[[#Headers],[Sep]],tblEmplActual[#Headers],0))</f>
        <v>6750</v>
      </c>
      <c r="L8" s="43">
        <f>INDEX(tblEmplPlan[],MATCH(INDEX(tblEmplVar[],ROW()-ROW(tblEmplVar[[#Headers],[Oct]]),1),INDEX(tblEmplPlan[],,1),0),MATCH(tblEmplVar[[#Headers],[Oct]],tblEmplPlan[#Headers],0))-INDEX(tblEmplActual[],MATCH(INDEX(tblEmplVar[],ROW()-ROW(tblEmplVar[[#Headers],[Oct]]),1),INDEX(tblEmplPlan[],,1),0),MATCH(tblEmplVar[[#Headers],[Oct]],tblEmplActual[#Headers],0))</f>
        <v>6750</v>
      </c>
      <c r="M8" s="43">
        <f>INDEX(tblEmplPlan[],MATCH(INDEX(tblEmplVar[],ROW()-ROW(tblEmplVar[[#Headers],[Nov]]),1),INDEX(tblEmplPlan[],,1),0),MATCH(tblEmplVar[[#Headers],[Nov]],tblEmplPlan[#Headers],0))-INDEX(tblEmplActual[],MATCH(INDEX(tblEmplVar[],ROW()-ROW(tblEmplVar[[#Headers],[Nov]]),1),INDEX(tblEmplPlan[],,1),0),MATCH(tblEmplVar[[#Headers],[Nov]],tblEmplActual[#Headers],0))</f>
        <v>6750</v>
      </c>
      <c r="N8" s="43">
        <f>INDEX(tblEmplPlan[],MATCH(INDEX(tblEmplVar[],ROW()-ROW(tblEmplVar[[#Headers],[Dec]]),1),INDEX(tblEmplPlan[],,1),0),MATCH(tblEmplVar[[#Headers],[Dec]],tblEmplPlan[#Headers],0))-INDEX(tblEmplActual[],MATCH(INDEX(tblEmplVar[],ROW()-ROW(tblEmplVar[[#Headers],[Dec]]),1),INDEX(tblEmplPlan[],,1),0),MATCH(tblEmplVar[[#Headers],[Dec]],tblEmplActual[#Headers],0))</f>
        <v>6750</v>
      </c>
      <c r="O8" s="43">
        <f>SUM(tblEmplVar[[#This Row],[Jan]:[Dec]])</f>
        <v>-59130</v>
      </c>
    </row>
    <row r="9" spans="2:15" ht="21" customHeight="1" x14ac:dyDescent="0.35">
      <c r="B9" s="47" t="s">
        <v>18</v>
      </c>
      <c r="C9" s="51">
        <f>SUBTOTAL(109,tblEmplVar[Jan])</f>
        <v>-76200</v>
      </c>
      <c r="D9" s="51">
        <f>SUBTOTAL(109,tblEmplVar[Feb])</f>
        <v>-76200</v>
      </c>
      <c r="E9" s="51">
        <f>SUBTOTAL(109,tblEmplVar[Mar])</f>
        <v>-76200</v>
      </c>
      <c r="F9" s="51">
        <f>SUBTOTAL(109,tblEmplVar[Apr])</f>
        <v>-80010</v>
      </c>
      <c r="G9" s="51">
        <f>SUBTOTAL(109,tblEmplVar[May])</f>
        <v>-80010</v>
      </c>
      <c r="H9" s="51">
        <f>SUBTOTAL(109,tblEmplVar[Jun])</f>
        <v>-80010</v>
      </c>
      <c r="I9" s="51">
        <f>SUBTOTAL(109,tblEmplVar[Jul])</f>
        <v>31750</v>
      </c>
      <c r="J9" s="51">
        <f>SUBTOTAL(109,tblEmplVar[Aug])</f>
        <v>31750</v>
      </c>
      <c r="K9" s="51">
        <f>SUBTOTAL(109,tblEmplVar[Sep])</f>
        <v>31750</v>
      </c>
      <c r="L9" s="51">
        <f>SUBTOTAL(109,tblEmplVar[Oct])</f>
        <v>31750</v>
      </c>
      <c r="M9" s="51">
        <f>SUBTOTAL(109,tblEmplVar[Nov])</f>
        <v>31750</v>
      </c>
      <c r="N9" s="51">
        <f>SUBTOTAL(109,tblEmplVar[Dec])</f>
        <v>31750</v>
      </c>
      <c r="O9" s="51">
        <f>SUBTOTAL(109,tblEmplVar[YEAR])</f>
        <v>-278130</v>
      </c>
    </row>
    <row r="10" spans="2:15" ht="21" customHeight="1" x14ac:dyDescent="0.35">
      <c r="B10" s="67"/>
      <c r="C10" s="6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ht="21" customHeight="1" x14ac:dyDescent="0.35">
      <c r="B11" s="41" t="s">
        <v>19</v>
      </c>
      <c r="C11" s="48" t="s">
        <v>2</v>
      </c>
      <c r="D11" s="48" t="s">
        <v>3</v>
      </c>
      <c r="E11" s="49" t="s">
        <v>4</v>
      </c>
      <c r="F11" s="48" t="s">
        <v>5</v>
      </c>
      <c r="G11" s="48" t="s">
        <v>6</v>
      </c>
      <c r="H11" s="48" t="s">
        <v>7</v>
      </c>
      <c r="I11" s="48" t="s">
        <v>8</v>
      </c>
      <c r="J11" s="48" t="s">
        <v>9</v>
      </c>
      <c r="K11" s="48" t="s">
        <v>10</v>
      </c>
      <c r="L11" s="48" t="s">
        <v>11</v>
      </c>
      <c r="M11" s="48" t="s">
        <v>12</v>
      </c>
      <c r="N11" s="48" t="s">
        <v>13</v>
      </c>
      <c r="O11" s="48" t="s">
        <v>14</v>
      </c>
    </row>
    <row r="12" spans="2:15" ht="21" customHeight="1" x14ac:dyDescent="0.35">
      <c r="B12" s="42" t="s">
        <v>20</v>
      </c>
      <c r="C12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-8080</v>
      </c>
      <c r="D12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-8080</v>
      </c>
      <c r="E12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-8080</v>
      </c>
      <c r="F12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-8080</v>
      </c>
      <c r="G12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-8080</v>
      </c>
      <c r="H12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-8080</v>
      </c>
      <c r="I12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1720</v>
      </c>
      <c r="J12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1720</v>
      </c>
      <c r="K12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1720</v>
      </c>
      <c r="L12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1720</v>
      </c>
      <c r="M12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1720</v>
      </c>
      <c r="N12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1720</v>
      </c>
      <c r="O12" s="43">
        <f>SUM(tblOffVar[[#This Row],[Jan]:[Dec]])</f>
        <v>-38160</v>
      </c>
    </row>
    <row r="13" spans="2:15" ht="21" customHeight="1" x14ac:dyDescent="0.35">
      <c r="B13" s="42" t="s">
        <v>21</v>
      </c>
      <c r="C13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196</v>
      </c>
      <c r="D13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-230</v>
      </c>
      <c r="E13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-185</v>
      </c>
      <c r="F13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-180</v>
      </c>
      <c r="G13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-37</v>
      </c>
      <c r="H13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-38</v>
      </c>
      <c r="I13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50</v>
      </c>
      <c r="J13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50</v>
      </c>
      <c r="K13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50</v>
      </c>
      <c r="L13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50</v>
      </c>
      <c r="M13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200</v>
      </c>
      <c r="N13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200</v>
      </c>
      <c r="O13" s="43">
        <f>SUM(tblOffVar[[#This Row],[Jan]:[Dec]])</f>
        <v>126</v>
      </c>
    </row>
    <row r="14" spans="2:15" ht="21" customHeight="1" x14ac:dyDescent="0.35">
      <c r="B14" s="42" t="s">
        <v>22</v>
      </c>
      <c r="C14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-208</v>
      </c>
      <c r="D14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-198</v>
      </c>
      <c r="E14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-188</v>
      </c>
      <c r="F14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-149</v>
      </c>
      <c r="G14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-156</v>
      </c>
      <c r="H14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-140</v>
      </c>
      <c r="I14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150</v>
      </c>
      <c r="J14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150</v>
      </c>
      <c r="K14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150</v>
      </c>
      <c r="L14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150</v>
      </c>
      <c r="M14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80</v>
      </c>
      <c r="N14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80</v>
      </c>
      <c r="O14" s="43">
        <f>SUM(tblOffVar[[#This Row],[Jan]:[Dec]])</f>
        <v>-279</v>
      </c>
    </row>
    <row r="15" spans="2:15" ht="21" customHeight="1" x14ac:dyDescent="0.35">
      <c r="B15" s="42" t="s">
        <v>23</v>
      </c>
      <c r="C15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-10</v>
      </c>
      <c r="D15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-8</v>
      </c>
      <c r="E15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-9</v>
      </c>
      <c r="F15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-11</v>
      </c>
      <c r="G15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-9</v>
      </c>
      <c r="H15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-11</v>
      </c>
      <c r="I15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25</v>
      </c>
      <c r="J15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25</v>
      </c>
      <c r="K15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25</v>
      </c>
      <c r="L15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25</v>
      </c>
      <c r="M15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25</v>
      </c>
      <c r="N15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25</v>
      </c>
      <c r="O15" s="43">
        <f>SUM(tblOffVar[[#This Row],[Jan]:[Dec]])</f>
        <v>92</v>
      </c>
    </row>
    <row r="16" spans="2:15" ht="21" customHeight="1" x14ac:dyDescent="0.35">
      <c r="B16" s="42" t="s">
        <v>24</v>
      </c>
      <c r="C16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-199</v>
      </c>
      <c r="D16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-210</v>
      </c>
      <c r="E16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-240</v>
      </c>
      <c r="F16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-220</v>
      </c>
      <c r="G16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-220</v>
      </c>
      <c r="H16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-195</v>
      </c>
      <c r="I16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25</v>
      </c>
      <c r="J16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25</v>
      </c>
      <c r="K16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25</v>
      </c>
      <c r="L16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25</v>
      </c>
      <c r="M16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25</v>
      </c>
      <c r="N16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25</v>
      </c>
      <c r="O16" s="43">
        <f>SUM(tblOffVar[[#This Row],[Jan]:[Dec]])</f>
        <v>-1134</v>
      </c>
    </row>
    <row r="17" spans="2:15" ht="21" customHeight="1" x14ac:dyDescent="0.35">
      <c r="B17" s="42" t="s">
        <v>25</v>
      </c>
      <c r="C17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-105</v>
      </c>
      <c r="D17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-105</v>
      </c>
      <c r="E17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-105</v>
      </c>
      <c r="F17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-105</v>
      </c>
      <c r="G17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-105</v>
      </c>
      <c r="H17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-105</v>
      </c>
      <c r="I17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75</v>
      </c>
      <c r="J17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75</v>
      </c>
      <c r="K17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75</v>
      </c>
      <c r="L17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75</v>
      </c>
      <c r="M17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75</v>
      </c>
      <c r="N17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75</v>
      </c>
      <c r="O17" s="43">
        <f>SUM(tblOffVar[[#This Row],[Jan]:[Dec]])</f>
        <v>-180</v>
      </c>
    </row>
    <row r="18" spans="2:15" ht="21" customHeight="1" x14ac:dyDescent="0.35">
      <c r="B18" s="42" t="s">
        <v>26</v>
      </c>
      <c r="C18" s="43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-216</v>
      </c>
      <c r="D18" s="43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-102</v>
      </c>
      <c r="E18" s="43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-120</v>
      </c>
      <c r="F18" s="43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-181</v>
      </c>
      <c r="G18" s="43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-216</v>
      </c>
      <c r="H18" s="43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-200</v>
      </c>
      <c r="I18" s="43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40</v>
      </c>
      <c r="J18" s="43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40</v>
      </c>
      <c r="K18" s="43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40</v>
      </c>
      <c r="L18" s="43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40</v>
      </c>
      <c r="M18" s="43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40</v>
      </c>
      <c r="N18" s="43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40</v>
      </c>
      <c r="O18" s="43">
        <f>SUM(tblOffVar[[#This Row],[Jan]:[Dec]])</f>
        <v>-795</v>
      </c>
    </row>
    <row r="19" spans="2:15" ht="21" customHeight="1" x14ac:dyDescent="0.35">
      <c r="B19" s="42" t="s">
        <v>27</v>
      </c>
      <c r="C19" s="43" t="e">
        <f>INDEX(tblOffPlan[],MATCH(INDEX(tblOffVar[],ROW()-ROW(tblOffVar[[#Headers],[Jan]]),1),INDEX(tblOffPlan[],,1),0),MATCH(tblOffVar[[#Headers],[Jan]],tblOffPlan[#Headers],0))-INDEX(tblOffActual[],MATCH(INDEX(tblOffVar[],ROW()-ROW(tblOffVar[[#Headers],[Jan]]),1),INDEX(tblOffPlan[],,1),0),MATCH(tblOffVar[[#Headers],[Jan]],tblOffActual[#Headers],0))</f>
        <v>#N/A</v>
      </c>
      <c r="D19" s="43" t="e">
        <f>INDEX(tblOffPlan[],MATCH(INDEX(tblOffVar[],ROW()-ROW(tblOffVar[[#Headers],[Feb]]),1),INDEX(tblOffPlan[],,1),0),MATCH(tblOffVar[[#Headers],[Feb]],tblOffPlan[#Headers],0))-INDEX(tblOffActual[],MATCH(INDEX(tblOffVar[],ROW()-ROW(tblOffVar[[#Headers],[Feb]]),1),INDEX(tblOffPlan[],,1),0),MATCH(tblOffVar[[#Headers],[Feb]],tblOffActual[#Headers],0))</f>
        <v>#N/A</v>
      </c>
      <c r="E19" s="43" t="e">
        <f>INDEX(tblOffPlan[],MATCH(INDEX(tblOffVar[],ROW()-ROW(tblOffVar[[#Headers],[Mar]]),1),INDEX(tblOffPlan[],,1),0),MATCH(tblOffVar[[#Headers],[Mar]],tblOffPlan[#Headers],0))-INDEX(tblOffActual[],MATCH(INDEX(tblOffVar[],ROW()-ROW(tblOffVar[[#Headers],[Mar]]),1),INDEX(tblOffPlan[],,1),0),MATCH(tblOffVar[[#Headers],[Mar]],tblOffActual[#Headers],0))</f>
        <v>#N/A</v>
      </c>
      <c r="F19" s="43" t="e">
        <f>INDEX(tblOffPlan[],MATCH(INDEX(tblOffVar[],ROW()-ROW(tblOffVar[[#Headers],[Apr]]),1),INDEX(tblOffPlan[],,1),0),MATCH(tblOffVar[[#Headers],[Apr]],tblOffPlan[#Headers],0))-INDEX(tblOffActual[],MATCH(INDEX(tblOffVar[],ROW()-ROW(tblOffVar[[#Headers],[Apr]]),1),INDEX(tblOffPlan[],,1),0),MATCH(tblOffVar[[#Headers],[Apr]],tblOffActual[#Headers],0))</f>
        <v>#N/A</v>
      </c>
      <c r="G19" s="43" t="e">
        <f>INDEX(tblOffPlan[],MATCH(INDEX(tblOffVar[],ROW()-ROW(tblOffVar[[#Headers],[May]]),1),INDEX(tblOffPlan[],,1),0),MATCH(tblOffVar[[#Headers],[May]],tblOffPlan[#Headers],0))-INDEX(tblOffActual[],MATCH(INDEX(tblOffVar[],ROW()-ROW(tblOffVar[[#Headers],[May]]),1),INDEX(tblOffPlan[],,1),0),MATCH(tblOffVar[[#Headers],[May]],tblOffActual[#Headers],0))</f>
        <v>#N/A</v>
      </c>
      <c r="H19" s="43" t="e">
        <f>INDEX(tblOffPlan[],MATCH(INDEX(tblOffVar[],ROW()-ROW(tblOffVar[[#Headers],[Jun]]),1),INDEX(tblOffPlan[],,1),0),MATCH(tblOffVar[[#Headers],[Jun]],tblOffPlan[#Headers],0))-INDEX(tblOffActual[],MATCH(INDEX(tblOffVar[],ROW()-ROW(tblOffVar[[#Headers],[Jun]]),1),INDEX(tblOffPlan[],,1),0),MATCH(tblOffVar[[#Headers],[Jun]],tblOffActual[#Headers],0))</f>
        <v>#N/A</v>
      </c>
      <c r="I19" s="43" t="e">
        <f>INDEX(tblOffPlan[],MATCH(INDEX(tblOffVar[],ROW()-ROW(tblOffVar[[#Headers],[Jul]]),1),INDEX(tblOffPlan[],,1),0),MATCH(tblOffVar[[#Headers],[Jul]],tblOffPlan[#Headers],0))-INDEX(tblOffActual[],MATCH(INDEX(tblOffVar[],ROW()-ROW(tblOffVar[[#Headers],[Jul]]),1),INDEX(tblOffPlan[],,1),0),MATCH(tblOffVar[[#Headers],[Jul]],tblOffActual[#Headers],0))</f>
        <v>#N/A</v>
      </c>
      <c r="J19" s="43" t="e">
        <f>INDEX(tblOffPlan[],MATCH(INDEX(tblOffVar[],ROW()-ROW(tblOffVar[[#Headers],[Aug]]),1),INDEX(tblOffPlan[],,1),0),MATCH(tblOffVar[[#Headers],[Aug]],tblOffPlan[#Headers],0))-INDEX(tblOffActual[],MATCH(INDEX(tblOffVar[],ROW()-ROW(tblOffVar[[#Headers],[Aug]]),1),INDEX(tblOffPlan[],,1),0),MATCH(tblOffVar[[#Headers],[Aug]],tblOffActual[#Headers],0))</f>
        <v>#N/A</v>
      </c>
      <c r="K19" s="43" t="e">
        <f>INDEX(tblOffPlan[],MATCH(INDEX(tblOffVar[],ROW()-ROW(tblOffVar[[#Headers],[Sep]]),1),INDEX(tblOffPlan[],,1),0),MATCH(tblOffVar[[#Headers],[Sep]],tblOffPlan[#Headers],0))-INDEX(tblOffActual[],MATCH(INDEX(tblOffVar[],ROW()-ROW(tblOffVar[[#Headers],[Sep]]),1),INDEX(tblOffPlan[],,1),0),MATCH(tblOffVar[[#Headers],[Sep]],tblOffActual[#Headers],0))</f>
        <v>#N/A</v>
      </c>
      <c r="L19" s="43" t="e">
        <f>INDEX(tblOffPlan[],MATCH(INDEX(tblOffVar[],ROW()-ROW(tblOffVar[[#Headers],[Oct]]),1),INDEX(tblOffPlan[],,1),0),MATCH(tblOffVar[[#Headers],[Oct]],tblOffPlan[#Headers],0))-INDEX(tblOffActual[],MATCH(INDEX(tblOffVar[],ROW()-ROW(tblOffVar[[#Headers],[Oct]]),1),INDEX(tblOffPlan[],,1),0),MATCH(tblOffVar[[#Headers],[Oct]],tblOffActual[#Headers],0))</f>
        <v>#N/A</v>
      </c>
      <c r="M19" s="43" t="e">
        <f>INDEX(tblOffPlan[],MATCH(INDEX(tblOffVar[],ROW()-ROW(tblOffVar[[#Headers],[Nov]]),1),INDEX(tblOffPlan[],,1),0),MATCH(tblOffVar[[#Headers],[Nov]],tblOffPlan[#Headers],0))-INDEX(tblOffActual[],MATCH(INDEX(tblOffVar[],ROW()-ROW(tblOffVar[[#Headers],[Nov]]),1),INDEX(tblOffPlan[],,1),0),MATCH(tblOffVar[[#Headers],[Nov]],tblOffActual[#Headers],0))</f>
        <v>#N/A</v>
      </c>
      <c r="N19" s="43" t="e">
        <f>INDEX(tblOffPlan[],MATCH(INDEX(tblOffVar[],ROW()-ROW(tblOffVar[[#Headers],[Dec]]),1),INDEX(tblOffPlan[],,1),0),MATCH(tblOffVar[[#Headers],[Dec]],tblOffPlan[#Headers],0))-INDEX(tblOffActual[],MATCH(INDEX(tblOffVar[],ROW()-ROW(tblOffVar[[#Headers],[Dec]]),1),INDEX(tblOffPlan[],,1),0),MATCH(tblOffVar[[#Headers],[Dec]],tblOffActual[#Headers],0))</f>
        <v>#N/A</v>
      </c>
      <c r="O19" s="43" t="e">
        <f>SUM(tblOffVar[[#This Row],[Jan]:[Dec]])</f>
        <v>#N/A</v>
      </c>
    </row>
    <row r="20" spans="2:15" ht="21" customHeight="1" x14ac:dyDescent="0.35">
      <c r="B20" s="47" t="s">
        <v>18</v>
      </c>
      <c r="C20" s="51" t="e">
        <f>SUBTOTAL(109,tblOffVar[Jan])</f>
        <v>#N/A</v>
      </c>
      <c r="D20" s="51" t="e">
        <f>SUBTOTAL(109,tblOffVar[Feb])</f>
        <v>#N/A</v>
      </c>
      <c r="E20" s="51" t="e">
        <f>SUBTOTAL(109,tblOffVar[Mar])</f>
        <v>#N/A</v>
      </c>
      <c r="F20" s="51" t="e">
        <f>SUBTOTAL(109,tblOffVar[Apr])</f>
        <v>#N/A</v>
      </c>
      <c r="G20" s="51" t="e">
        <f>SUBTOTAL(109,tblOffVar[May])</f>
        <v>#N/A</v>
      </c>
      <c r="H20" s="51" t="e">
        <f>SUBTOTAL(109,tblOffVar[Jun])</f>
        <v>#N/A</v>
      </c>
      <c r="I20" s="51" t="e">
        <f>SUBTOTAL(109,tblOffVar[Jul])</f>
        <v>#N/A</v>
      </c>
      <c r="J20" s="51" t="e">
        <f>SUBTOTAL(109,tblOffVar[Aug])</f>
        <v>#N/A</v>
      </c>
      <c r="K20" s="51" t="e">
        <f>SUBTOTAL(109,tblOffVar[Sep])</f>
        <v>#N/A</v>
      </c>
      <c r="L20" s="51" t="e">
        <f>SUBTOTAL(109,tblOffVar[Oct])</f>
        <v>#N/A</v>
      </c>
      <c r="M20" s="51" t="e">
        <f>SUBTOTAL(109,tblOffVar[Nov])</f>
        <v>#N/A</v>
      </c>
      <c r="N20" s="51" t="e">
        <f>SUBTOTAL(109,tblOffVar[Dec])</f>
        <v>#N/A</v>
      </c>
      <c r="O20" s="51" t="e">
        <f>SUBTOTAL(109,tblOffVar[YEAR])</f>
        <v>#N/A</v>
      </c>
    </row>
    <row r="21" spans="2:15" ht="21" customHeight="1" x14ac:dyDescent="0.35">
      <c r="B21" s="68"/>
      <c r="C21" s="68"/>
      <c r="D21" s="10"/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1"/>
    </row>
    <row r="22" spans="2:15" ht="21" customHeight="1" x14ac:dyDescent="0.35">
      <c r="B22" s="41" t="s">
        <v>28</v>
      </c>
      <c r="C22" s="48" t="s">
        <v>2</v>
      </c>
      <c r="D22" s="48" t="s">
        <v>3</v>
      </c>
      <c r="E22" s="49" t="s">
        <v>4</v>
      </c>
      <c r="F22" s="48" t="s">
        <v>5</v>
      </c>
      <c r="G22" s="48" t="s">
        <v>6</v>
      </c>
      <c r="H22" s="48" t="s">
        <v>7</v>
      </c>
      <c r="I22" s="48" t="s">
        <v>8</v>
      </c>
      <c r="J22" s="48" t="s">
        <v>9</v>
      </c>
      <c r="K22" s="48" t="s">
        <v>10</v>
      </c>
      <c r="L22" s="48" t="s">
        <v>11</v>
      </c>
      <c r="M22" s="48" t="s">
        <v>12</v>
      </c>
      <c r="N22" s="48" t="s">
        <v>13</v>
      </c>
      <c r="O22" s="48" t="s">
        <v>14</v>
      </c>
    </row>
    <row r="23" spans="2:15" ht="21" customHeight="1" x14ac:dyDescent="0.35">
      <c r="B23" s="42" t="s">
        <v>29</v>
      </c>
      <c r="C23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3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3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3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3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3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3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3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3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3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3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3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3" s="43" t="e">
        <f>SUM(tblMarkVar[[#This Row],[Jan]:[Dec]])</f>
        <v>#REF!</v>
      </c>
    </row>
    <row r="24" spans="2:15" ht="21" customHeight="1" x14ac:dyDescent="0.35">
      <c r="B24" s="42" t="s">
        <v>30</v>
      </c>
      <c r="C24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4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4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4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4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4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4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4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4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4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4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4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4" s="43" t="e">
        <f>SUM(tblMarkVar[[#This Row],[Jan]:[Dec]])</f>
        <v>#REF!</v>
      </c>
    </row>
    <row r="25" spans="2:15" ht="21" customHeight="1" x14ac:dyDescent="0.35">
      <c r="B25" s="42" t="s">
        <v>31</v>
      </c>
      <c r="C25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5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5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5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5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5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5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5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5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5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5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5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5" s="43" t="e">
        <f>SUM(tblMarkVar[[#This Row],[Jan]:[Dec]])</f>
        <v>#REF!</v>
      </c>
    </row>
    <row r="26" spans="2:15" ht="21" customHeight="1" x14ac:dyDescent="0.35">
      <c r="B26" s="42" t="s">
        <v>32</v>
      </c>
      <c r="C26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6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6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6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6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6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6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6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6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6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6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6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6" s="43" t="e">
        <f>SUM(tblMarkVar[[#This Row],[Jan]:[Dec]])</f>
        <v>#REF!</v>
      </c>
    </row>
    <row r="27" spans="2:15" ht="21" customHeight="1" x14ac:dyDescent="0.35">
      <c r="B27" s="42" t="s">
        <v>33</v>
      </c>
      <c r="C27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7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7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7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7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7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7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7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7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7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7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7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7" s="43" t="e">
        <f>SUM(tblMarkVar[[#This Row],[Jan]:[Dec]])</f>
        <v>#REF!</v>
      </c>
    </row>
    <row r="28" spans="2:15" ht="21" customHeight="1" x14ac:dyDescent="0.35">
      <c r="B28" s="42" t="s">
        <v>34</v>
      </c>
      <c r="C28" s="43" t="e">
        <f>INDEX(#REF!,MATCH(INDEX(tblMarkVar[],ROW()-ROW(tblMarkVar[[#Headers],[Jan]]),1),INDEX(#REF!,,1),0),MATCH(tblMarkVar[[#Headers],[Jan]],#REF!,0))-INDEX(tblMarkActual[],MATCH(INDEX(tblMarkVar[],ROW()-ROW(tblMarkVar[[#Headers],[Jan]]),1),INDEX(#REF!,,1),0),MATCH(tblMarkVar[[#Headers],[Jan]],tblMarkActual[#Headers],0))</f>
        <v>#REF!</v>
      </c>
      <c r="D28" s="43" t="e">
        <f>INDEX(#REF!,MATCH(INDEX(tblMarkVar[],ROW()-ROW(tblMarkVar[[#Headers],[Feb]]),1),INDEX(#REF!,,1),0),MATCH(tblMarkVar[[#Headers],[Feb]],#REF!,0))-INDEX(tblMarkActual[],MATCH(INDEX(tblMarkVar[],ROW()-ROW(tblMarkVar[[#Headers],[Feb]]),1),INDEX(#REF!,,1),0),MATCH(tblMarkVar[[#Headers],[Feb]],tblMarkActual[#Headers],0))</f>
        <v>#REF!</v>
      </c>
      <c r="E28" s="43" t="e">
        <f>INDEX(#REF!,MATCH(INDEX(tblMarkVar[],ROW()-ROW(tblMarkVar[[#Headers],[Mar]]),1),INDEX(#REF!,,1),0),MATCH(tblMarkVar[[#Headers],[Mar]],#REF!,0))-INDEX(tblMarkActual[],MATCH(INDEX(tblMarkVar[],ROW()-ROW(tblMarkVar[[#Headers],[Mar]]),1),INDEX(#REF!,,1),0),MATCH(tblMarkVar[[#Headers],[Mar]],tblMarkActual[#Headers],0))</f>
        <v>#REF!</v>
      </c>
      <c r="F28" s="43" t="e">
        <f>INDEX(#REF!,MATCH(INDEX(tblMarkVar[],ROW()-ROW(tblMarkVar[[#Headers],[Apr]]),1),INDEX(#REF!,,1),0),MATCH(tblMarkVar[[#Headers],[Apr]],#REF!,0))-INDEX(tblMarkActual[],MATCH(INDEX(tblMarkVar[],ROW()-ROW(tblMarkVar[[#Headers],[Apr]]),1),INDEX(#REF!,,1),0),MATCH(tblMarkVar[[#Headers],[Apr]],tblMarkActual[#Headers],0))</f>
        <v>#REF!</v>
      </c>
      <c r="G28" s="43" t="e">
        <f>INDEX(#REF!,MATCH(INDEX(tblMarkVar[],ROW()-ROW(tblMarkVar[[#Headers],[May]]),1),INDEX(#REF!,,1),0),MATCH(tblMarkVar[[#Headers],[May]],#REF!,0))-INDEX(tblMarkActual[],MATCH(INDEX(tblMarkVar[],ROW()-ROW(tblMarkVar[[#Headers],[May]]),1),INDEX(#REF!,,1),0),MATCH(tblMarkVar[[#Headers],[May]],tblMarkActual[#Headers],0))</f>
        <v>#REF!</v>
      </c>
      <c r="H28" s="43" t="e">
        <f>INDEX(#REF!,MATCH(INDEX(tblMarkVar[],ROW()-ROW(tblMarkVar[[#Headers],[Jun]]),1),INDEX(#REF!,,1),0),MATCH(tblMarkVar[[#Headers],[Jun]],#REF!,0))-INDEX(tblMarkActual[],MATCH(INDEX(tblMarkVar[],ROW()-ROW(tblMarkVar[[#Headers],[Jun]]),1),INDEX(#REF!,,1),0),MATCH(tblMarkVar[[#Headers],[Jun]],tblMarkActual[#Headers],0))</f>
        <v>#REF!</v>
      </c>
      <c r="I28" s="43" t="e">
        <f>INDEX(#REF!,MATCH(INDEX(tblMarkVar[],ROW()-ROW(tblMarkVar[[#Headers],[Jul]]),1),INDEX(#REF!,,1),0),MATCH(tblMarkVar[[#Headers],[Jul]],#REF!,0))-INDEX(tblMarkActual[],MATCH(INDEX(tblMarkVar[],ROW()-ROW(tblMarkVar[[#Headers],[Jul]]),1),INDEX(#REF!,,1),0),MATCH(tblMarkVar[[#Headers],[Jul]],tblMarkActual[#Headers],0))</f>
        <v>#REF!</v>
      </c>
      <c r="J28" s="43" t="e">
        <f>INDEX(#REF!,MATCH(INDEX(tblMarkVar[],ROW()-ROW(tblMarkVar[[#Headers],[Aug]]),1),INDEX(#REF!,,1),0),MATCH(tblMarkVar[[#Headers],[Aug]],#REF!,0))-INDEX(tblMarkActual[],MATCH(INDEX(tblMarkVar[],ROW()-ROW(tblMarkVar[[#Headers],[Aug]]),1),INDEX(#REF!,,1),0),MATCH(tblMarkVar[[#Headers],[Aug]],tblMarkActual[#Headers],0))</f>
        <v>#REF!</v>
      </c>
      <c r="K28" s="43" t="e">
        <f>INDEX(#REF!,MATCH(INDEX(tblMarkVar[],ROW()-ROW(tblMarkVar[[#Headers],[Sep]]),1),INDEX(#REF!,,1),0),MATCH(tblMarkVar[[#Headers],[Sep]],#REF!,0))-INDEX(tblMarkActual[],MATCH(INDEX(tblMarkVar[],ROW()-ROW(tblMarkVar[[#Headers],[Sep]]),1),INDEX(#REF!,,1),0),MATCH(tblMarkVar[[#Headers],[Sep]],tblMarkActual[#Headers],0))</f>
        <v>#REF!</v>
      </c>
      <c r="L28" s="43" t="e">
        <f>INDEX(#REF!,MATCH(INDEX(tblMarkVar[],ROW()-ROW(tblMarkVar[[#Headers],[Oct]]),1),INDEX(#REF!,,1),0),MATCH(tblMarkVar[[#Headers],[Oct]],#REF!,0))-INDEX(tblMarkActual[],MATCH(INDEX(tblMarkVar[],ROW()-ROW(tblMarkVar[[#Headers],[Oct]]),1),INDEX(#REF!,,1),0),MATCH(tblMarkVar[[#Headers],[Oct]],tblMarkActual[#Headers],0))</f>
        <v>#REF!</v>
      </c>
      <c r="M28" s="43" t="e">
        <f>INDEX(#REF!,MATCH(INDEX(tblMarkVar[],ROW()-ROW(tblMarkVar[[#Headers],[Nov]]),1),INDEX(#REF!,,1),0),MATCH(tblMarkVar[[#Headers],[Nov]],#REF!,0))-INDEX(tblMarkActual[],MATCH(INDEX(tblMarkVar[],ROW()-ROW(tblMarkVar[[#Headers],[Nov]]),1),INDEX(#REF!,,1),0),MATCH(tblMarkVar[[#Headers],[Nov]],tblMarkActual[#Headers],0))</f>
        <v>#REF!</v>
      </c>
      <c r="N28" s="43" t="e">
        <f>INDEX(#REF!,MATCH(INDEX(tblMarkVar[],ROW()-ROW(tblMarkVar[[#Headers],[Dec]]),1),INDEX(#REF!,,1),0),MATCH(tblMarkVar[[#Headers],[Dec]],#REF!,0))-INDEX(tblMarkActual[],MATCH(INDEX(tblMarkVar[],ROW()-ROW(tblMarkVar[[#Headers],[Dec]]),1),INDEX(#REF!,,1),0),MATCH(tblMarkVar[[#Headers],[Dec]],tblMarkActual[#Headers],0))</f>
        <v>#REF!</v>
      </c>
      <c r="O28" s="43" t="e">
        <f>SUM(tblMarkVar[[#This Row],[Jan]:[Dec]])</f>
        <v>#REF!</v>
      </c>
    </row>
    <row r="29" spans="2:15" ht="21" customHeight="1" x14ac:dyDescent="0.35">
      <c r="B29" s="47" t="s">
        <v>18</v>
      </c>
      <c r="C29" s="51" t="e">
        <f>SUBTOTAL(109,tblMarkVar[Jan])</f>
        <v>#REF!</v>
      </c>
      <c r="D29" s="51" t="e">
        <f>SUBTOTAL(109,tblMarkVar[Feb])</f>
        <v>#REF!</v>
      </c>
      <c r="E29" s="51" t="e">
        <f>SUBTOTAL(109,tblMarkVar[Mar])</f>
        <v>#REF!</v>
      </c>
      <c r="F29" s="51" t="e">
        <f>SUBTOTAL(109,tblMarkVar[Apr])</f>
        <v>#REF!</v>
      </c>
      <c r="G29" s="51" t="e">
        <f>SUBTOTAL(109,tblMarkVar[May])</f>
        <v>#REF!</v>
      </c>
      <c r="H29" s="51" t="e">
        <f>SUBTOTAL(109,tblMarkVar[Jun])</f>
        <v>#REF!</v>
      </c>
      <c r="I29" s="51" t="e">
        <f>SUBTOTAL(109,tblMarkVar[Jul])</f>
        <v>#REF!</v>
      </c>
      <c r="J29" s="51" t="e">
        <f>SUBTOTAL(109,tblMarkVar[Aug])</f>
        <v>#REF!</v>
      </c>
      <c r="K29" s="51" t="e">
        <f>SUBTOTAL(109,tblMarkVar[Sep])</f>
        <v>#REF!</v>
      </c>
      <c r="L29" s="51" t="e">
        <f>SUBTOTAL(109,tblMarkVar[Oct])</f>
        <v>#REF!</v>
      </c>
      <c r="M29" s="51" t="e">
        <f>SUBTOTAL(109,tblMarkVar[Nov])</f>
        <v>#REF!</v>
      </c>
      <c r="N29" s="51" t="e">
        <f>SUBTOTAL(109,tblMarkVar[Dec])</f>
        <v>#REF!</v>
      </c>
      <c r="O29" s="51" t="e">
        <f>SUBTOTAL(109,tblMarkVar[YEAR])</f>
        <v>#REF!</v>
      </c>
    </row>
    <row r="30" spans="2:15" ht="21" customHeight="1" x14ac:dyDescent="0.35">
      <c r="B30" s="67"/>
      <c r="C30" s="67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1"/>
    </row>
    <row r="31" spans="2:15" ht="21" customHeight="1" x14ac:dyDescent="0.35">
      <c r="B31" s="41" t="s">
        <v>35</v>
      </c>
      <c r="C31" s="48" t="s">
        <v>2</v>
      </c>
      <c r="D31" s="48" t="s">
        <v>3</v>
      </c>
      <c r="E31" s="49" t="s">
        <v>4</v>
      </c>
      <c r="F31" s="48" t="s">
        <v>5</v>
      </c>
      <c r="G31" s="48" t="s">
        <v>6</v>
      </c>
      <c r="H31" s="48" t="s">
        <v>7</v>
      </c>
      <c r="I31" s="48" t="s">
        <v>8</v>
      </c>
      <c r="J31" s="48" t="s">
        <v>9</v>
      </c>
      <c r="K31" s="48" t="s">
        <v>10</v>
      </c>
      <c r="L31" s="48" t="s">
        <v>11</v>
      </c>
      <c r="M31" s="48" t="s">
        <v>12</v>
      </c>
      <c r="N31" s="48" t="s">
        <v>13</v>
      </c>
      <c r="O31" s="48" t="s">
        <v>14</v>
      </c>
    </row>
    <row r="32" spans="2:15" ht="21" customHeight="1" x14ac:dyDescent="0.35">
      <c r="B32" s="42" t="s">
        <v>36</v>
      </c>
      <c r="C32" s="43" t="e">
        <f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f>
        <v>#N/A</v>
      </c>
      <c r="D32" s="43" t="e">
        <f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f>
        <v>#N/A</v>
      </c>
      <c r="E32" s="43" t="e">
        <f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f>
        <v>#N/A</v>
      </c>
      <c r="F32" s="43" t="e">
        <f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f>
        <v>#N/A</v>
      </c>
      <c r="G32" s="43" t="e">
        <f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f>
        <v>#N/A</v>
      </c>
      <c r="H32" s="43" t="e">
        <f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f>
        <v>#N/A</v>
      </c>
      <c r="I32" s="43" t="e">
        <f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f>
        <v>#N/A</v>
      </c>
      <c r="J32" s="43" t="e">
        <f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f>
        <v>#N/A</v>
      </c>
      <c r="K32" s="43" t="e">
        <f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f>
        <v>#N/A</v>
      </c>
      <c r="L32" s="43" t="e">
        <f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f>
        <v>#N/A</v>
      </c>
      <c r="M32" s="43" t="e">
        <f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f>
        <v>#N/A</v>
      </c>
      <c r="N32" s="43" t="e">
        <f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f>
        <v>#N/A</v>
      </c>
      <c r="O32" s="43" t="e">
        <f>SUM(tblTrainVar[[#This Row],[Jan]:[Dec]])</f>
        <v>#N/A</v>
      </c>
    </row>
    <row r="33" spans="2:15" ht="21" customHeight="1" x14ac:dyDescent="0.35">
      <c r="B33" s="42" t="s">
        <v>37</v>
      </c>
      <c r="C33" s="43" t="e">
        <f>INDEX(tblTrainPlan[],MATCH(INDEX(tblTrainVar[],ROW()-ROW(tblTrainVar[[#Headers],[Jan]]),1),INDEX(tblTrainPlan[],,1),0),MATCH(tblTrainVar[[#Headers],[Jan]],tblTrainPlan[#Headers],0))-INDEX(tblTrainActual[],MATCH(INDEX(tblTrainVar[],ROW()-ROW(tblTrainVar[[#Headers],[Jan]]),1),INDEX(tblTrainPlan[],,1),0),MATCH(tblTrainVar[[#Headers],[Jan]],tblTrainActual[#Headers],0))</f>
        <v>#N/A</v>
      </c>
      <c r="D33" s="43" t="e">
        <f>INDEX(tblTrainPlan[],MATCH(INDEX(tblTrainVar[],ROW()-ROW(tblTrainVar[[#Headers],[Feb]]),1),INDEX(tblTrainPlan[],,1),0),MATCH(tblTrainVar[[#Headers],[Feb]],tblTrainPlan[#Headers],0))-INDEX(tblTrainActual[],MATCH(INDEX(tblTrainVar[],ROW()-ROW(tblTrainVar[[#Headers],[Feb]]),1),INDEX(tblTrainPlan[],,1),0),MATCH(tblTrainVar[[#Headers],[Feb]],tblTrainActual[#Headers],0))</f>
        <v>#N/A</v>
      </c>
      <c r="E33" s="43" t="e">
        <f>INDEX(tblTrainPlan[],MATCH(INDEX(tblTrainVar[],ROW()-ROW(tblTrainVar[[#Headers],[Mar]]),1),INDEX(tblTrainPlan[],,1),0),MATCH(tblTrainVar[[#Headers],[Mar]],tblTrainPlan[#Headers],0))-INDEX(tblTrainActual[],MATCH(INDEX(tblTrainVar[],ROW()-ROW(tblTrainVar[[#Headers],[Mar]]),1),INDEX(tblTrainPlan[],,1),0),MATCH(tblTrainVar[[#Headers],[Mar]],tblTrainActual[#Headers],0))</f>
        <v>#N/A</v>
      </c>
      <c r="F33" s="43" t="e">
        <f>INDEX(tblTrainPlan[],MATCH(INDEX(tblTrainVar[],ROW()-ROW(tblTrainVar[[#Headers],[Apr]]),1),INDEX(tblTrainPlan[],,1),0),MATCH(tblTrainVar[[#Headers],[Apr]],tblTrainPlan[#Headers],0))-INDEX(tblTrainActual[],MATCH(INDEX(tblTrainVar[],ROW()-ROW(tblTrainVar[[#Headers],[Apr]]),1),INDEX(tblTrainPlan[],,1),0),MATCH(tblTrainVar[[#Headers],[Apr]],tblTrainActual[#Headers],0))</f>
        <v>#N/A</v>
      </c>
      <c r="G33" s="43" t="e">
        <f>INDEX(tblTrainPlan[],MATCH(INDEX(tblTrainVar[],ROW()-ROW(tblTrainVar[[#Headers],[May]]),1),INDEX(tblTrainPlan[],,1),0),MATCH(tblTrainVar[[#Headers],[May]],tblTrainPlan[#Headers],0))-INDEX(tblTrainActual[],MATCH(INDEX(tblTrainVar[],ROW()-ROW(tblTrainVar[[#Headers],[May]]),1),INDEX(tblTrainPlan[],,1),0),MATCH(tblTrainVar[[#Headers],[May]],tblTrainActual[#Headers],0))</f>
        <v>#N/A</v>
      </c>
      <c r="H33" s="43" t="e">
        <f>INDEX(tblTrainPlan[],MATCH(INDEX(tblTrainVar[],ROW()-ROW(tblTrainVar[[#Headers],[Jun]]),1),INDEX(tblTrainPlan[],,1),0),MATCH(tblTrainVar[[#Headers],[Jun]],tblTrainPlan[#Headers],0))-INDEX(tblTrainActual[],MATCH(INDEX(tblTrainVar[],ROW()-ROW(tblTrainVar[[#Headers],[Jun]]),1),INDEX(tblTrainPlan[],,1),0),MATCH(tblTrainVar[[#Headers],[Jun]],tblTrainActual[#Headers],0))</f>
        <v>#N/A</v>
      </c>
      <c r="I33" s="43" t="e">
        <f>INDEX(tblTrainPlan[],MATCH(INDEX(tblTrainVar[],ROW()-ROW(tblTrainVar[[#Headers],[Jul]]),1),INDEX(tblTrainPlan[],,1),0),MATCH(tblTrainVar[[#Headers],[Jul]],tblTrainPlan[#Headers],0))-INDEX(tblTrainActual[],MATCH(INDEX(tblTrainVar[],ROW()-ROW(tblTrainVar[[#Headers],[Jul]]),1),INDEX(tblTrainPlan[],,1),0),MATCH(tblTrainVar[[#Headers],[Jul]],tblTrainActual[#Headers],0))</f>
        <v>#N/A</v>
      </c>
      <c r="J33" s="43" t="e">
        <f>INDEX(tblTrainPlan[],MATCH(INDEX(tblTrainVar[],ROW()-ROW(tblTrainVar[[#Headers],[Aug]]),1),INDEX(tblTrainPlan[],,1),0),MATCH(tblTrainVar[[#Headers],[Aug]],tblTrainPlan[#Headers],0))-INDEX(tblTrainActual[],MATCH(INDEX(tblTrainVar[],ROW()-ROW(tblTrainVar[[#Headers],[Aug]]),1),INDEX(tblTrainPlan[],,1),0),MATCH(tblTrainVar[[#Headers],[Aug]],tblTrainActual[#Headers],0))</f>
        <v>#N/A</v>
      </c>
      <c r="K33" s="43" t="e">
        <f>INDEX(tblTrainPlan[],MATCH(INDEX(tblTrainVar[],ROW()-ROW(tblTrainVar[[#Headers],[Sep]]),1),INDEX(tblTrainPlan[],,1),0),MATCH(tblTrainVar[[#Headers],[Sep]],tblTrainPlan[#Headers],0))-INDEX(tblTrainActual[],MATCH(INDEX(tblTrainVar[],ROW()-ROW(tblTrainVar[[#Headers],[Sep]]),1),INDEX(tblTrainPlan[],,1),0),MATCH(tblTrainVar[[#Headers],[Sep]],tblTrainActual[#Headers],0))</f>
        <v>#N/A</v>
      </c>
      <c r="L33" s="43" t="e">
        <f>INDEX(tblTrainPlan[],MATCH(INDEX(tblTrainVar[],ROW()-ROW(tblTrainVar[[#Headers],[Oct]]),1),INDEX(tblTrainPlan[],,1),0),MATCH(tblTrainVar[[#Headers],[Oct]],tblTrainPlan[#Headers],0))-INDEX(tblTrainActual[],MATCH(INDEX(tblTrainVar[],ROW()-ROW(tblTrainVar[[#Headers],[Oct]]),1),INDEX(tblTrainPlan[],,1),0),MATCH(tblTrainVar[[#Headers],[Oct]],tblTrainActual[#Headers],0))</f>
        <v>#N/A</v>
      </c>
      <c r="M33" s="43" t="e">
        <f>INDEX(tblTrainPlan[],MATCH(INDEX(tblTrainVar[],ROW()-ROW(tblTrainVar[[#Headers],[Nov]]),1),INDEX(tblTrainPlan[],,1),0),MATCH(tblTrainVar[[#Headers],[Nov]],tblTrainPlan[#Headers],0))-INDEX(tblTrainActual[],MATCH(INDEX(tblTrainVar[],ROW()-ROW(tblTrainVar[[#Headers],[Nov]]),1),INDEX(tblTrainPlan[],,1),0),MATCH(tblTrainVar[[#Headers],[Nov]],tblTrainActual[#Headers],0))</f>
        <v>#N/A</v>
      </c>
      <c r="N33" s="43" t="e">
        <f>INDEX(tblTrainPlan[],MATCH(INDEX(tblTrainVar[],ROW()-ROW(tblTrainVar[[#Headers],[Dec]]),1),INDEX(tblTrainPlan[],,1),0),MATCH(tblTrainVar[[#Headers],[Dec]],tblTrainPlan[#Headers],0))-INDEX(tblTrainActual[],MATCH(INDEX(tblTrainVar[],ROW()-ROW(tblTrainVar[[#Headers],[Dec]]),1),INDEX(tblTrainPlan[],,1),0),MATCH(tblTrainVar[[#Headers],[Dec]],tblTrainActual[#Headers],0))</f>
        <v>#N/A</v>
      </c>
      <c r="O33" s="43" t="e">
        <f>SUM(tblTrainVar[[#This Row],[Jan]:[Dec]])</f>
        <v>#N/A</v>
      </c>
    </row>
    <row r="34" spans="2:15" ht="21" customHeight="1" x14ac:dyDescent="0.35">
      <c r="B34" s="47" t="s">
        <v>18</v>
      </c>
      <c r="C34" s="51" t="e">
        <f>SUBTOTAL(109,tblTrainVar[Jan])</f>
        <v>#N/A</v>
      </c>
      <c r="D34" s="51" t="e">
        <f>SUBTOTAL(109,tblTrainVar[Feb])</f>
        <v>#N/A</v>
      </c>
      <c r="E34" s="51" t="e">
        <f>SUBTOTAL(109,tblTrainVar[Mar])</f>
        <v>#N/A</v>
      </c>
      <c r="F34" s="51" t="e">
        <f>SUBTOTAL(109,tblTrainVar[Apr])</f>
        <v>#N/A</v>
      </c>
      <c r="G34" s="51" t="e">
        <f>SUBTOTAL(109,tblTrainVar[May])</f>
        <v>#N/A</v>
      </c>
      <c r="H34" s="51" t="e">
        <f>SUBTOTAL(109,tblTrainVar[Jun])</f>
        <v>#N/A</v>
      </c>
      <c r="I34" s="51" t="e">
        <f>SUBTOTAL(109,tblTrainVar[Jul])</f>
        <v>#N/A</v>
      </c>
      <c r="J34" s="51" t="e">
        <f>SUBTOTAL(109,tblTrainVar[Aug])</f>
        <v>#N/A</v>
      </c>
      <c r="K34" s="51" t="e">
        <f>SUBTOTAL(109,tblTrainVar[Sep])</f>
        <v>#N/A</v>
      </c>
      <c r="L34" s="51" t="e">
        <f>SUBTOTAL(109,tblTrainVar[Oct])</f>
        <v>#N/A</v>
      </c>
      <c r="M34" s="51" t="e">
        <f>SUBTOTAL(109,tblTrainVar[Nov])</f>
        <v>#N/A</v>
      </c>
      <c r="N34" s="51" t="e">
        <f>SUBTOTAL(109,tblTrainVar[Dec])</f>
        <v>#N/A</v>
      </c>
      <c r="O34" s="51" t="e">
        <f>SUBTOTAL(109,tblTrainVar[YEAR])</f>
        <v>#N/A</v>
      </c>
    </row>
    <row r="35" spans="2:15" ht="21" customHeight="1" x14ac:dyDescent="0.35">
      <c r="B35" s="67"/>
      <c r="C35" s="6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ht="21" customHeight="1" x14ac:dyDescent="0.35">
      <c r="B36" s="19" t="s">
        <v>38</v>
      </c>
      <c r="C36" s="20"/>
      <c r="D36" s="20"/>
      <c r="E36" s="21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ht="21" customHeight="1" x14ac:dyDescent="0.35">
      <c r="B37" s="28" t="s">
        <v>45</v>
      </c>
      <c r="C37" s="52" t="e">
        <f>tblTrainVar[[#Totals],[Jan]]+tblMarkVar[[#Totals],[Jan]]+tblOffVar[[#Totals],[Jan]]+tblEmplVar[[#Totals],[Jan]]</f>
        <v>#N/A</v>
      </c>
      <c r="D37" s="52" t="e">
        <f>tblTrainVar[[#Totals],[Feb]]+tblMarkVar[[#Totals],[Feb]]+tblOffVar[[#Totals],[Feb]]+tblEmplVar[[#Totals],[Feb]]</f>
        <v>#N/A</v>
      </c>
      <c r="E37" s="52" t="e">
        <f>tblTrainVar[[#Totals],[Mar]]+tblMarkVar[[#Totals],[Mar]]+tblOffVar[[#Totals],[Mar]]+tblEmplVar[[#Totals],[Mar]]</f>
        <v>#N/A</v>
      </c>
      <c r="F37" s="52" t="e">
        <f>tblTrainVar[[#Totals],[Apr]]+tblMarkVar[[#Totals],[Apr]]+tblOffVar[[#Totals],[Apr]]+tblEmplVar[[#Totals],[Apr]]</f>
        <v>#N/A</v>
      </c>
      <c r="G37" s="52" t="e">
        <f>tblTrainVar[[#Totals],[May]]+tblMarkVar[[#Totals],[May]]+tblOffVar[[#Totals],[May]]+tblEmplVar[[#Totals],[May]]</f>
        <v>#N/A</v>
      </c>
      <c r="H37" s="52" t="e">
        <f>tblTrainVar[[#Totals],[Jun]]+tblMarkVar[[#Totals],[Jun]]+tblOffVar[[#Totals],[Jun]]+tblEmplVar[[#Totals],[Jun]]</f>
        <v>#N/A</v>
      </c>
      <c r="I37" s="52" t="e">
        <f>tblTrainVar[[#Totals],[Jul]]+tblMarkVar[[#Totals],[Jul]]+tblOffVar[[#Totals],[Jul]]+tblEmplVar[[#Totals],[Jul]]</f>
        <v>#N/A</v>
      </c>
      <c r="J37" s="52" t="e">
        <f>tblTrainVar[[#Totals],[Aug]]+tblMarkVar[[#Totals],[Aug]]+tblOffVar[[#Totals],[Aug]]+tblEmplVar[[#Totals],[Aug]]</f>
        <v>#N/A</v>
      </c>
      <c r="K37" s="52" t="e">
        <f>tblTrainVar[[#Totals],[Sep]]+tblMarkVar[[#Totals],[Sep]]+tblOffVar[[#Totals],[Sep]]+tblEmplVar[[#Totals],[Sep]]</f>
        <v>#N/A</v>
      </c>
      <c r="L37" s="52" t="e">
        <f>tblTrainVar[[#Totals],[Oct]]+tblMarkVar[[#Totals],[Oct]]+tblOffVar[[#Totals],[Oct]]+tblEmplVar[[#Totals],[Oct]]</f>
        <v>#N/A</v>
      </c>
      <c r="M37" s="52" t="e">
        <f>tblTrainVar[[#Totals],[Nov]]+tblMarkVar[[#Totals],[Nov]]+tblOffVar[[#Totals],[Nov]]+tblEmplVar[[#Totals],[Nov]]</f>
        <v>#N/A</v>
      </c>
      <c r="N37" s="52" t="e">
        <f>tblTrainVar[[#Totals],[Dec]]+tblMarkVar[[#Totals],[Dec]]+tblOffVar[[#Totals],[Dec]]+tblEmplVar[[#Totals],[Dec]]</f>
        <v>#N/A</v>
      </c>
      <c r="O37" s="52" t="e">
        <f>tblTrainVar[[#Totals],[YEAR]]+tblMarkVar[[#Totals],[YEAR]]+tblOffVar[[#Totals],[YEAR]]+tblEmplVar[[#Totals],[YEAR]]</f>
        <v>#N/A</v>
      </c>
    </row>
    <row r="38" spans="2:15" ht="21" customHeight="1" x14ac:dyDescent="0.35">
      <c r="B38" s="28" t="s">
        <v>46</v>
      </c>
      <c r="C38" s="52" t="e">
        <f>SUM($C$37:C37)</f>
        <v>#N/A</v>
      </c>
      <c r="D38" s="52" t="e">
        <f>SUM($C$37:D37)</f>
        <v>#N/A</v>
      </c>
      <c r="E38" s="52" t="e">
        <f>SUM($C$37:E37)</f>
        <v>#N/A</v>
      </c>
      <c r="F38" s="52" t="e">
        <f>SUM($C$37:F37)</f>
        <v>#N/A</v>
      </c>
      <c r="G38" s="52" t="e">
        <f>SUM($C$37:G37)</f>
        <v>#N/A</v>
      </c>
      <c r="H38" s="52" t="e">
        <f>SUM($C$37:H37)</f>
        <v>#N/A</v>
      </c>
      <c r="I38" s="52" t="e">
        <f>SUM($C$37:I37)</f>
        <v>#N/A</v>
      </c>
      <c r="J38" s="52" t="e">
        <f>SUM($C$37:J37)</f>
        <v>#N/A</v>
      </c>
      <c r="K38" s="52" t="e">
        <f>SUM($C$37:K37)</f>
        <v>#N/A</v>
      </c>
      <c r="L38" s="52" t="e">
        <f>SUM($C$37:L37)</f>
        <v>#N/A</v>
      </c>
      <c r="M38" s="52" t="e">
        <f>SUM($C$37:M37)</f>
        <v>#N/A</v>
      </c>
      <c r="N38" s="52" t="e">
        <f>SUM($C$37:N37)</f>
        <v>#N/A</v>
      </c>
      <c r="O38" s="27"/>
    </row>
    <row r="39" spans="2:15" ht="21" customHeight="1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</sheetData>
  <mergeCells count="4">
    <mergeCell ref="B35:C35"/>
    <mergeCell ref="B30:C30"/>
    <mergeCell ref="B21:C21"/>
    <mergeCell ref="B10:C10"/>
  </mergeCell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/>
    <pageSetUpPr autoPageBreaks="0" fitToPage="1"/>
  </sheetPr>
  <dimension ref="B1:F11"/>
  <sheetViews>
    <sheetView showGridLines="0" workbookViewId="0"/>
  </sheetViews>
  <sheetFormatPr defaultColWidth="9.375" defaultRowHeight="14.4" x14ac:dyDescent="0.35"/>
  <cols>
    <col min="1" max="1" width="2" style="13" customWidth="1"/>
    <col min="2" max="2" width="25.375" style="13" customWidth="1"/>
    <col min="3" max="3" width="23.375" style="13" customWidth="1"/>
    <col min="4" max="4" width="24.375" style="13" customWidth="1"/>
    <col min="5" max="5" width="22.875" style="13" customWidth="1"/>
    <col min="6" max="6" width="24.625" style="13" customWidth="1"/>
    <col min="7" max="16384" width="9.375" style="13"/>
  </cols>
  <sheetData>
    <row r="1" spans="2:6" ht="9.9" customHeight="1" x14ac:dyDescent="0.35"/>
    <row r="2" spans="2:6" ht="27" x14ac:dyDescent="0.4">
      <c r="B2" s="22" t="str">
        <f>'PLANNED EXPENSES'!B2</f>
        <v>Project P.E.T.E.R.S.</v>
      </c>
      <c r="C2" s="22"/>
      <c r="D2" s="2"/>
      <c r="E2" s="3"/>
      <c r="F2" s="2"/>
    </row>
    <row r="3" spans="2:6" ht="18" x14ac:dyDescent="0.35">
      <c r="B3" s="15" t="s">
        <v>0</v>
      </c>
      <c r="C3" s="4"/>
      <c r="D3" s="4"/>
      <c r="E3" s="5"/>
      <c r="F3" s="4"/>
    </row>
    <row r="4" spans="2:6" x14ac:dyDescent="0.35">
      <c r="B4" s="6"/>
      <c r="C4" s="6"/>
      <c r="D4" s="6"/>
      <c r="E4" s="6"/>
      <c r="F4" s="6"/>
    </row>
    <row r="5" spans="2:6" x14ac:dyDescent="0.35">
      <c r="B5" s="19" t="s">
        <v>47</v>
      </c>
      <c r="C5" s="16" t="s">
        <v>1</v>
      </c>
      <c r="D5" s="16" t="s">
        <v>41</v>
      </c>
      <c r="E5" s="16" t="s">
        <v>44</v>
      </c>
      <c r="F5" s="16" t="s">
        <v>48</v>
      </c>
    </row>
    <row r="6" spans="2:6" x14ac:dyDescent="0.35">
      <c r="B6" s="23" t="s">
        <v>15</v>
      </c>
      <c r="C6" s="24">
        <f>tblEmplPlan[[#Totals],[YEAR]]</f>
        <v>381000</v>
      </c>
      <c r="D6" s="24">
        <f>tblEmplActual[[#Totals],[YEAR]]</f>
        <v>659130</v>
      </c>
      <c r="E6" s="24">
        <f>C6-D6</f>
        <v>-278130</v>
      </c>
      <c r="F6" s="29">
        <f>E6/C6</f>
        <v>-0.73</v>
      </c>
    </row>
    <row r="7" spans="2:6" x14ac:dyDescent="0.35">
      <c r="B7" s="23" t="str">
        <f>'PLANNED EXPENSES'!B11</f>
        <v>Office Costs</v>
      </c>
      <c r="C7" s="24">
        <f>tblOffPlan[[#Totals],[YEAR]]</f>
        <v>25420</v>
      </c>
      <c r="D7" s="24">
        <f>tblOffActual[[#Totals],[YEAR]]</f>
        <v>69350</v>
      </c>
      <c r="E7" s="24">
        <f>C7-D7</f>
        <v>-43930</v>
      </c>
      <c r="F7" s="29">
        <f>E7/C7</f>
        <v>-1.7281667977970103</v>
      </c>
    </row>
    <row r="8" spans="2:6" x14ac:dyDescent="0.35">
      <c r="B8" s="23" t="e">
        <f>'PLANNED EXPENSES'!#REF!</f>
        <v>#REF!</v>
      </c>
      <c r="C8" s="24" t="e">
        <f>#REF!</f>
        <v>#REF!</v>
      </c>
      <c r="D8" s="24">
        <f>tblMarkActual[[#Totals],[YEAR]]</f>
        <v>33159</v>
      </c>
      <c r="E8" s="24" t="e">
        <f>C8-D8</f>
        <v>#REF!</v>
      </c>
      <c r="F8" s="29" t="e">
        <f>E8/C8</f>
        <v>#REF!</v>
      </c>
    </row>
    <row r="9" spans="2:6" x14ac:dyDescent="0.35">
      <c r="B9" s="23" t="str">
        <f>'PLANNED EXPENSES'!B22</f>
        <v>Unit Component Cost</v>
      </c>
      <c r="C9" s="24">
        <f>tblTrainPlan[[#Totals],[YEAR]]</f>
        <v>1965.3600000000001</v>
      </c>
      <c r="D9" s="24">
        <f>tblTrainActual[[#Totals],[YEAR]]</f>
        <v>21300</v>
      </c>
      <c r="E9" s="24">
        <f>C9-D9</f>
        <v>-19334.64</v>
      </c>
      <c r="F9" s="29">
        <f>E9/C9</f>
        <v>-9.8377091219929156</v>
      </c>
    </row>
    <row r="10" spans="2:6" x14ac:dyDescent="0.35">
      <c r="B10" s="23" t="str">
        <f>'PLANNED EXPENSES'!B38</f>
        <v>TOTALS</v>
      </c>
      <c r="C10" s="24">
        <f>'PLANNED EXPENSES'!O39</f>
        <v>408385.36</v>
      </c>
      <c r="D10" s="24">
        <f>'ACTUAL EXPENSES'!O37</f>
        <v>782939</v>
      </c>
      <c r="E10" s="24">
        <f>C10-D10</f>
        <v>-374553.64</v>
      </c>
      <c r="F10" s="29">
        <f>E10/C10</f>
        <v>-0.91715736332957687</v>
      </c>
    </row>
    <row r="11" spans="2:6" x14ac:dyDescent="0.35">
      <c r="B11" s="30"/>
      <c r="C11" s="31"/>
      <c r="D11" s="31"/>
      <c r="E11" s="31"/>
      <c r="F11" s="32"/>
    </row>
  </sheetData>
  <printOptions horizontalCentered="1"/>
  <pageMargins left="0.4" right="0.4" top="0.4" bottom="0.4" header="0.3" footer="0.3"/>
  <pageSetup scale="8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77AB5A-9534-47E8-8B32-90E670A627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PLANNED EXPENSES</vt:lpstr>
      <vt:lpstr>ACTUAL EXPENSES</vt:lpstr>
      <vt:lpstr>EXPENSE VARIANCES</vt:lpstr>
      <vt:lpstr>EXPENSE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Antonio Foster</dc:creator>
  <cp:keywords/>
  <cp:lastModifiedBy>Antonio Foster</cp:lastModifiedBy>
  <dcterms:created xsi:type="dcterms:W3CDTF">2015-11-16T22:16:39Z</dcterms:created>
  <dcterms:modified xsi:type="dcterms:W3CDTF">2016-02-29T02:06:30Z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TC040354899991</vt:lpwstr>
  </property>
</Properties>
</file>